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3"/>
    <sheet state="visible" name="10_ASSEMBLY" sheetId="2" r:id="rId4"/>
    <sheet state="visible" name="11_ANALYSIS" sheetId="3" r:id="rId5"/>
    <sheet state="visible" name="12_AVIONICS" sheetId="4" r:id="rId6"/>
    <sheet state="visible" name="13_PROPULSION" sheetId="5" r:id="rId7"/>
    <sheet state="visible" name="14_STRUCTURES" sheetId="6" r:id="rId8"/>
    <sheet state="visible" name="15_SYSTEMS" sheetId="7" r:id="rId9"/>
    <sheet state="visible" name="16_FASTENERS" sheetId="8" r:id="rId10"/>
    <sheet state="hidden" name="Hidden Magic Sheet " sheetId="9" r:id="rId11"/>
  </sheets>
  <definedNames/>
  <calcPr/>
</workbook>
</file>

<file path=xl/sharedStrings.xml><?xml version="1.0" encoding="utf-8"?>
<sst xmlns="http://schemas.openxmlformats.org/spreadsheetml/2006/main" count="3155" uniqueCount="680">
  <si>
    <t>PART NUMBER</t>
  </si>
  <si>
    <t>REVISION</t>
  </si>
  <si>
    <t>COMMON NAME</t>
  </si>
  <si>
    <t>DEPARTMENT</t>
  </si>
  <si>
    <t>PROGRAM</t>
  </si>
  <si>
    <t>PROJECT</t>
  </si>
  <si>
    <t>DESCRIPTION</t>
  </si>
  <si>
    <t>MATERIAL</t>
  </si>
  <si>
    <t>UNITS</t>
  </si>
  <si>
    <t>CREATED BY</t>
  </si>
  <si>
    <t>DATE CREATED</t>
  </si>
  <si>
    <t>LINK</t>
  </si>
  <si>
    <t>STATE</t>
  </si>
  <si>
    <t>000001</t>
  </si>
  <si>
    <t>R01</t>
  </si>
  <si>
    <t>Inv_Injector</t>
  </si>
  <si>
    <t>Analysis</t>
  </si>
  <si>
    <t>Solidworks/ANSYS</t>
  </si>
  <si>
    <t>Marginal Stability</t>
  </si>
  <si>
    <t>Inv. geom. for CFD</t>
  </si>
  <si>
    <t>N/A</t>
  </si>
  <si>
    <t>Imperial</t>
  </si>
  <si>
    <t>Jonathan Zhang</t>
  </si>
  <si>
    <t>R14</t>
  </si>
  <si>
    <t>Marginal_Stability_Assembly</t>
  </si>
  <si>
    <t>Structures</t>
  </si>
  <si>
    <t>SolidWorks</t>
  </si>
  <si>
    <t>Primary 8" vehicle assembly with current versions of parts</t>
  </si>
  <si>
    <t>Multiple</t>
  </si>
  <si>
    <t>Joshua Elmer</t>
  </si>
  <si>
    <t>https://drive.google.com/open?id=1noHuwCSEkvqI1xknd8j9MHQTjYJJ14jH</t>
  </si>
  <si>
    <t>https://drive.google.com/open?id=1bdJ9ns6-CuUPH6e-EA8DdvkD2jxBaETV</t>
  </si>
  <si>
    <t>In progress</t>
  </si>
  <si>
    <t>C</t>
  </si>
  <si>
    <t>000002</t>
  </si>
  <si>
    <t>R03</t>
  </si>
  <si>
    <t>Fin_Assembly</t>
  </si>
  <si>
    <t>Assembly of fins</t>
  </si>
  <si>
    <t>Harrison McCorkle</t>
  </si>
  <si>
    <t>https://drive.google.com/open?id=1J1JgiIaDe-UVmuuoyPsjyfWX5h_Xqv0Y</t>
  </si>
  <si>
    <t>000003</t>
  </si>
  <si>
    <t>000004</t>
  </si>
  <si>
    <t>000005</t>
  </si>
  <si>
    <t>R02</t>
  </si>
  <si>
    <t>Nose_Cone</t>
  </si>
  <si>
    <t>Assembly of Nose Cone</t>
  </si>
  <si>
    <t>000006</t>
  </si>
  <si>
    <t>Mathew Lok</t>
  </si>
  <si>
    <t>https://drive.google.com/open?id=1jDjs2Hw2T3HGTmtF-s-Qxh8RlcR6SeOB</t>
  </si>
  <si>
    <t>000007</t>
  </si>
  <si>
    <t>000008</t>
  </si>
  <si>
    <t>Recovery_System</t>
  </si>
  <si>
    <t>Recovery System meant to push off nose cone and attatch parachute to the rocket</t>
  </si>
  <si>
    <t>000009</t>
  </si>
  <si>
    <t>Bryce Borders</t>
  </si>
  <si>
    <t>https://drive.google.com/open?id=1cKiYH51b5fbb80OGpfzp98Lk2H6ysmut</t>
  </si>
  <si>
    <t>000010</t>
  </si>
  <si>
    <t>000011</t>
  </si>
  <si>
    <t>Pressurant_Tank_Mount</t>
  </si>
  <si>
    <t>This is our current design to secure the pressurant tank</t>
  </si>
  <si>
    <t>6061_T6</t>
  </si>
  <si>
    <t>000012</t>
  </si>
  <si>
    <t>Jalene Hernandez</t>
  </si>
  <si>
    <t>https://drive.google.com/open?id=1zK9wBxFYlzhDcqrwu8CuXhBkB0_S0GAu</t>
  </si>
  <si>
    <t>000013</t>
  </si>
  <si>
    <t>000014</t>
  </si>
  <si>
    <t>Testing Manifold</t>
  </si>
  <si>
    <t>Propulsion</t>
  </si>
  <si>
    <t>Universal Manifold used to test individual injector post prototypes</t>
  </si>
  <si>
    <t>Joseph Murad</t>
  </si>
  <si>
    <t>https://drive.google.com/open?id=1C5nQF59g-MMyCO5AG2QPSsBEU7dq7nNm</t>
  </si>
  <si>
    <t>000015</t>
  </si>
  <si>
    <t>000016</t>
  </si>
  <si>
    <t>000017</t>
  </si>
  <si>
    <t>Launch Lug</t>
  </si>
  <si>
    <t>000018</t>
  </si>
  <si>
    <t>Holds the rocket to the launch rail.</t>
  </si>
  <si>
    <t>Andre Shahinian</t>
  </si>
  <si>
    <t>https://drive.google.com/open?id=1lS8FcEh-06_VJIh0zEmOw0zsHaHcvpWs</t>
  </si>
  <si>
    <t>000019</t>
  </si>
  <si>
    <t>000020</t>
  </si>
  <si>
    <t>000021</t>
  </si>
  <si>
    <t>R06</t>
  </si>
  <si>
    <t>Lower Avionics Bay</t>
  </si>
  <si>
    <t>Holds avionics stuff.</t>
  </si>
  <si>
    <t>6061 T6</t>
  </si>
  <si>
    <t>Matthew Lok</t>
  </si>
  <si>
    <t>https://drive.google.com/open?id=1CIDYVvDB-IQ5QeciZEDx2vJYQe8JuR0J</t>
  </si>
  <si>
    <t>000022</t>
  </si>
  <si>
    <t>000023</t>
  </si>
  <si>
    <t>R04</t>
  </si>
  <si>
    <t>Upper Avionics Bay</t>
  </si>
  <si>
    <t>https://drive.google.com/open?id=1fngf05DfW2_i1JEiQBInp8snbbK4DQBc</t>
  </si>
  <si>
    <t>000024</t>
  </si>
  <si>
    <t>000025</t>
  </si>
  <si>
    <t>000026</t>
  </si>
  <si>
    <t>In Progress</t>
  </si>
  <si>
    <t>000029</t>
  </si>
  <si>
    <t>Injector</t>
  </si>
  <si>
    <t>Injector Plate housing Injector Elements</t>
  </si>
  <si>
    <t>Luis Perez</t>
  </si>
  <si>
    <t>https://drive.google.com/open?id=1zAih9B8GDgVsnWmRULLxlQzSgQuYqHeZ</t>
  </si>
  <si>
    <t>000030</t>
  </si>
  <si>
    <t>000031</t>
  </si>
  <si>
    <t>000032</t>
  </si>
  <si>
    <t>000033</t>
  </si>
  <si>
    <t>000034</t>
  </si>
  <si>
    <t>000035</t>
  </si>
  <si>
    <t>Drogue Release System</t>
  </si>
  <si>
    <t>Holds and Releases Drogue Chute</t>
  </si>
  <si>
    <t>000036</t>
  </si>
  <si>
    <t>Kyle Gore</t>
  </si>
  <si>
    <t>https://drive.google.com/open?id=15K35jV9WxQmHUaEZr2PeHojzMyImxzkM</t>
  </si>
  <si>
    <t>000037</t>
  </si>
  <si>
    <t>000038</t>
  </si>
  <si>
    <t>Propellant Tank Assembly</t>
  </si>
  <si>
    <t>000039</t>
  </si>
  <si>
    <t>Fuel tanks with internal plumbing</t>
  </si>
  <si>
    <t>6061-T6</t>
  </si>
  <si>
    <t>Joshua Elmer/Alex Pallesco</t>
  </si>
  <si>
    <t>Engine</t>
  </si>
  <si>
    <t>Engine with Thrust Mount and Injector</t>
  </si>
  <si>
    <t>Luis Perez and Nick Ashforth</t>
  </si>
  <si>
    <t>000040</t>
  </si>
  <si>
    <t>https://drive.google.com/open?id=1-dMp_CAW1KVqk_0ZGOH_QEvGDHnSwNlR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</si>
  <si>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</si>
  <si>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</si>
  <si>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</si>
  <si>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</si>
  <si>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</si>
  <si>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</si>
  <si>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</si>
  <si>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</si>
  <si>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</si>
  <si>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</si>
  <si>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</si>
  <si>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</si>
  <si>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</si>
  <si>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</si>
  <si>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</si>
  <si>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</si>
  <si>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</si>
  <si>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</si>
  <si>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</si>
  <si>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</si>
  <si>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</si>
  <si>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</si>
  <si>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</si>
  <si>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</si>
  <si>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</si>
  <si>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</si>
  <si>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</si>
  <si>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</si>
  <si>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</si>
  <si>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</si>
  <si>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</si>
  <si>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</si>
  <si>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</si>
  <si>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</si>
  <si>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</si>
  <si>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</si>
  <si>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</si>
  <si>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</si>
  <si>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</si>
  <si>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</si>
  <si>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</si>
  <si>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</si>
  <si>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</si>
  <si>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</si>
  <si>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</si>
  <si>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</si>
  <si>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</si>
  <si>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</si>
  <si>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</si>
  <si>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</si>
  <si>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</si>
  <si>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</si>
  <si>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</si>
  <si>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</si>
  <si>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</si>
  <si>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</si>
  <si>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</si>
  <si>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</si>
  <si>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</si>
  <si>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</si>
  <si>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</si>
  <si>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</si>
  <si>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</si>
  <si>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</si>
  <si>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</si>
  <si>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</si>
  <si>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</si>
  <si>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</si>
  <si>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</si>
  <si>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</si>
  <si>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</si>
  <si>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</si>
  <si>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</si>
  <si>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</si>
  <si>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</si>
  <si>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</si>
  <si>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</si>
  <si>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</si>
  <si>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</si>
  <si>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</si>
  <si>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</si>
  <si>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</si>
  <si>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</si>
  <si>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</si>
  <si>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</si>
  <si>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</si>
  <si>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</si>
  <si>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</si>
  <si>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</si>
  <si>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</si>
  <si>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</si>
  <si>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</si>
  <si>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</si>
  <si>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</si>
  <si>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</si>
  <si>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</si>
  <si>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</si>
  <si>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</si>
  <si>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</si>
  <si>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</si>
  <si>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</si>
  <si>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</si>
  <si>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</si>
  <si>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</si>
  <si>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</si>
  <si>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</si>
  <si>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000148</t>
  </si>
  <si>
    <t>000149</t>
  </si>
  <si>
    <t>000150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</si>
  <si>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</si>
  <si>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</si>
  <si>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</si>
  <si>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</si>
  <si>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</si>
  <si>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</si>
  <si>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</si>
  <si>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</si>
  <si>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</si>
  <si>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</si>
  <si>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</si>
  <si>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</si>
  <si>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</si>
  <si>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</si>
  <si>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</si>
  <si>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</si>
  <si>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</si>
  <si>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</si>
  <si>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</si>
  <si>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000170</t>
  </si>
  <si>
    <t>000171</t>
  </si>
  <si>
    <t>000172</t>
  </si>
  <si>
    <t>000173</t>
  </si>
  <si>
    <t>000174</t>
  </si>
  <si>
    <t>000175</t>
  </si>
  <si>
    <t>000176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</si>
  <si>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</si>
  <si>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</si>
  <si>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</si>
  <si>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</si>
  <si>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</si>
  <si>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</si>
  <si>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</si>
  <si>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</si>
  <si>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</si>
  <si>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</si>
  <si>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</si>
  <si>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</si>
  <si>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</si>
  <si>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</si>
  <si>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</si>
  <si>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</si>
  <si>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</si>
  <si>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</si>
  <si>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</si>
  <si>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</si>
  <si>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</si>
  <si>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</si>
  <si>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</si>
  <si>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000200</t>
  </si>
  <si>
    <t>000201</t>
  </si>
  <si>
    <t>000202</t>
  </si>
  <si>
    <t>000203</t>
  </si>
  <si>
    <t>000204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</si>
  <si>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</si>
  <si>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</si>
  <si>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</si>
  <si>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</si>
  <si>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</si>
  <si>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</si>
  <si>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</si>
  <si>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</si>
  <si>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</si>
  <si>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</si>
  <si>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</si>
  <si>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</si>
  <si>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</si>
  <si>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</si>
  <si>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</si>
  <si>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</si>
  <si>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</si>
  <si>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</si>
  <si>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</si>
  <si>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</si>
  <si>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</si>
  <si>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</si>
  <si>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</si>
  <si>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</si>
  <si>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</si>
  <si>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</si>
  <si>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</si>
  <si>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</si>
  <si>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</si>
  <si>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</si>
  <si>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</si>
  <si>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</si>
  <si>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</si>
  <si>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</si>
  <si>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</si>
  <si>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</si>
  <si>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</si>
  <si>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</si>
  <si>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</si>
  <si>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</si>
  <si>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</si>
  <si>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</si>
  <si>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</si>
  <si>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</si>
  <si>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</si>
  <si>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</si>
  <si>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1</t>
  </si>
  <si>
    <t>Avionics Mounting Plate</t>
  </si>
  <si>
    <t>Avionics</t>
  </si>
  <si>
    <t>Plate for attaching avionics boards</t>
  </si>
  <si>
    <t>Plastic (PLA)</t>
  </si>
  <si>
    <t>Sept/2018</t>
  </si>
  <si>
    <t>https://drive.google.com/open?id=1iP9XnC6Iwpwwyu6fgmwRvxW6UYsde2Zv</t>
  </si>
  <si>
    <t>Thrust Plate</t>
  </si>
  <si>
    <t>Mount for attaching motor to lower airframe</t>
  </si>
  <si>
    <t>Injector Post</t>
  </si>
  <si>
    <t>Individual injector element</t>
  </si>
  <si>
    <t>https://drive.google.com/open?id=11GLzImQMjyVOKcHgnrQfa_RsutA5upaQ</t>
  </si>
  <si>
    <t>Lower Manifold</t>
  </si>
  <si>
    <t>Bottom Piece of Testing Manifold</t>
  </si>
  <si>
    <t>https://drive.google.com/open?id=1Lzo24uD2x3Fd724ObEwTFdAwTX4I98iN</t>
  </si>
  <si>
    <t>Upper Manifold</t>
  </si>
  <si>
    <t>Top Piece of Testing Manifold</t>
  </si>
  <si>
    <t>https://drive.google.com/open?id=15EONwBHUxUhPonA38wNA8QomMfEkuzki</t>
  </si>
  <si>
    <t>Manifold Collar</t>
  </si>
  <si>
    <t>https://drive.google.com/open?id=1JRLlKoq7Q6YJiYtDq6vGGAF04ELHjpDS</t>
  </si>
  <si>
    <t>Bot Collar</t>
  </si>
  <si>
    <t>? ask joseph</t>
  </si>
  <si>
    <t>Thrust Mount</t>
  </si>
  <si>
    <t>Injector - Aerostructure Interface</t>
  </si>
  <si>
    <t>Al 6061-T6</t>
  </si>
  <si>
    <t>Luis Calle</t>
  </si>
  <si>
    <t>https://drive.google.com/open?id=1iROIOWN2H3OVrmbOyx4elAgc0Su02Uvn</t>
  </si>
  <si>
    <t>Injector Plate</t>
  </si>
  <si>
    <t>Injector Plate interfacing with TCA</t>
  </si>
  <si>
    <t>https://drive.google.com/open?id=1Xs5DumGkjYO--vLFcwFjdFdRstTMob4K</t>
  </si>
  <si>
    <t>LOX Dome</t>
  </si>
  <si>
    <t>Dome for the LOx side of the Injector</t>
  </si>
  <si>
    <t>Stainless Steel 303</t>
  </si>
  <si>
    <t>Thrust Chamber</t>
  </si>
  <si>
    <t>Main engine body</t>
  </si>
  <si>
    <t>Inconel 718</t>
  </si>
  <si>
    <t>Nicholas Ashforth</t>
  </si>
  <si>
    <t>TCA Gasket</t>
  </si>
  <si>
    <t>Gasket between TCA and Injector</t>
  </si>
  <si>
    <t>Copper</t>
  </si>
  <si>
    <t>Initial carbon-fiber nose cone mockup, gold-toned for better contrast</t>
  </si>
  <si>
    <t>Carbon fiber</t>
  </si>
  <si>
    <t>Ross Libman</t>
  </si>
  <si>
    <t>https://drive.google.com/open?id=1XG6XpoKgHJIuK-rC99yPlm19kRrlGlpZ</t>
  </si>
  <si>
    <t>RP-1_Bulkhead</t>
  </si>
  <si>
    <t>Added indexed ridge for mounting airframe, implemented global variables, fillets on internal edges</t>
  </si>
  <si>
    <t>https://drive.google.com/open?id=1Mdq3pE2tntVH615Oe7XgjoqRWKZFEtst</t>
  </si>
  <si>
    <t>Completed</t>
  </si>
  <si>
    <t>R07</t>
  </si>
  <si>
    <t xml:space="preserve">Welded redesign with improved weld surfaces (chamfer) to weld to tank walls, reduced port reinforcement. LOX/Anullar Port to engine, He Engine Purge Port, and RP-1 to engine Port </t>
  </si>
  <si>
    <t>Alexander Pallesco</t>
  </si>
  <si>
    <t>https://drive.google.com/open?id=1FFGUaHZOgoEqLJqpjtXBCaFby6YMEVGi</t>
  </si>
  <si>
    <t>Common_Bulkhead</t>
  </si>
  <si>
    <t>Common internal double-walled bulkhead dividing tanks, with port for LOx outlet</t>
  </si>
  <si>
    <t>https://drive.google.com/open?id=1Q3MXF6ikM6S-2RtAIflugmwm1NwX9htx</t>
  </si>
  <si>
    <t>14003</t>
  </si>
  <si>
    <t xml:space="preserve">Welded redesign with improved weld surfaces (chamfer) to weld to tank walls, reduced port reinforcement. LOX passthrough, He Engine Purge passthrough, RP-1 pressurization, and RP-1 fill. </t>
  </si>
  <si>
    <t>https://drive.google.com/open?id=1J1CoVTK6WLqAvfzfnTBfDDe5gkQBirtm</t>
  </si>
  <si>
    <t>LOx_Bulkhead</t>
  </si>
  <si>
    <t>https://drive.google.com/open?id=1tQzI1sFwpB9NwCMe6lwGSTrOJz8MwaFo</t>
  </si>
  <si>
    <t>R08</t>
  </si>
  <si>
    <t>LOX_Bulkhead</t>
  </si>
  <si>
    <t>Welded redesign with improved weld surfaces (chamfer) to weld to tank walls, reduced port reinforcement. LOX Fill Port, RP-1 Fill Port, He Purge Port, LOX Pressurization Port, RP-1 Pressurization Port, Pressure Transducer</t>
  </si>
  <si>
    <t>https://drive.google.com/open?id=1spU2LsVXF0U6aayZbQnOgfV6gI1rBedy</t>
  </si>
  <si>
    <t>LOx_Tank_Wall</t>
  </si>
  <si>
    <t>Outer wall of LOx tank (600 psi, FS 4)</t>
  </si>
  <si>
    <t>https://drive.google.com/open?id=1_uaz2wDxHWPvSqQ0TdpyvWGPqwYVvDci</t>
  </si>
  <si>
    <t>RP-1_Tank_Wall</t>
  </si>
  <si>
    <t>Outer wall of RP-1 Tank (600 psi, FS 4)</t>
  </si>
  <si>
    <t>https://drive.google.com/open?id=1jxl6DU6_rDRsXwdwYjHH0JrfaQymys9Q</t>
  </si>
  <si>
    <t>Airframe_Sec1</t>
  </si>
  <si>
    <t>First section of the rocket body tube, above the pressurant tank assembly, storing avionics and recovery</t>
  </si>
  <si>
    <t>Joshua Hedgpeth</t>
  </si>
  <si>
    <t>https://drive.google.com/a/ucsd.edu/file/d/1JkVf2S1hkxiJx2SDtlUpDhQ_q_UjBaa9/view?usp=sharing</t>
  </si>
  <si>
    <t>Airframe_Sec2</t>
  </si>
  <si>
    <t>Second section of the body tube which contains the pressurant tank assembly</t>
  </si>
  <si>
    <t>https://drive.google.com/open?id=13_WQGznCK2Te6_iOrqA2ys1_0BLNgaWD</t>
  </si>
  <si>
    <t>Raceway</t>
  </si>
  <si>
    <t>Protective cover for running plumbing and electrical from upper airframe to lower tanks and airframe</t>
  </si>
  <si>
    <t>Joshua Elmer
Gerui (Ray) Sheng</t>
  </si>
  <si>
    <t>https://drive.google.com/open?id=17nlMmuJdl5hBU4JxtBoXKveDDreg4DP7
https://drive.google.com/open?id=1jRjTDvT-Ey6YO1S3o1mHQ-GnPtwFuXpC
https://drive.google.com/open?id=1g1ASKn7hhVEoA57-XTF_W6kPHjAJ8m4t</t>
  </si>
  <si>
    <t>R05</t>
  </si>
  <si>
    <t>Fin</t>
  </si>
  <si>
    <t>Fins for stability during flight</t>
  </si>
  <si>
    <t>Andrew Bilan</t>
  </si>
  <si>
    <t>https://drive.google.com/open?id=1pxv5yOgPuQ4qqavFZKrMMezzVvmXoJNv</t>
  </si>
  <si>
    <t>Recovery_Mounting_Plate</t>
  </si>
  <si>
    <t>The Mounting Plate that attatches the parachute and actuator to the rocket body</t>
  </si>
  <si>
    <t>Steel</t>
  </si>
  <si>
    <t>https://drive.google.com/open?id=1qXb8koDwF2kn29clhQizMFKqQMShJq7n</t>
  </si>
  <si>
    <t>RO5</t>
  </si>
  <si>
    <t>Avionics_Bulkhead</t>
  </si>
  <si>
    <t>Holds the threaded rods that supports the avionics platform.</t>
  </si>
  <si>
    <t>https://drive.google.com/open?id=1C5yta8XERV_dp-j1jVM3FahsH_VApazx</t>
  </si>
  <si>
    <t>Fin_L_Bracket</t>
  </si>
  <si>
    <t>L-bracket holds the fin to the airframe. Attached on the inside of the airframe</t>
  </si>
  <si>
    <t>https://drive.google.com/open?id=15iZ8DA1M1gLEKjcYiEkWIXrOUcYlVLPD</t>
  </si>
  <si>
    <t>Shear_Body_Test_Tube</t>
  </si>
  <si>
    <t>Section of Airframe designed to test fin assembly</t>
  </si>
  <si>
    <t>https://drive.google.com/open?id=17rBbxM7IWHvuLe9Hj0z9ib4P_unf9klW</t>
  </si>
  <si>
    <t>Nose_Cone_Main_Portion</t>
  </si>
  <si>
    <t>Carbon Fiber</t>
  </si>
  <si>
    <t>https://drive.google.com/open?id=1D17AVos2pD_KuBIMvmYAkgIzFjpa2gW0</t>
  </si>
  <si>
    <t>Nose_Cone_Metal_Tip</t>
  </si>
  <si>
    <t>Titanium tip for the top of the nose cone</t>
  </si>
  <si>
    <t>Titanium</t>
  </si>
  <si>
    <t>https://drive.google.com/open?id=1nvvZXm1y9vTlimMKy7niuxABJoW2nnGR</t>
  </si>
  <si>
    <t>Nose_Cone_Tabs</t>
  </si>
  <si>
    <t>Tabs that will be pushed against to break the shear pins and begin the recovery process</t>
  </si>
  <si>
    <t>Impera</t>
  </si>
  <si>
    <t>https://drive.google.com/open?id=1gL2X1sYwFUodHhWYINXmfcC_GxBv3jfx</t>
  </si>
  <si>
    <t>Recovery_System_Plate</t>
  </si>
  <si>
    <t>Solidworks</t>
  </si>
  <si>
    <t xml:space="preserve">The Mounting Plate that attatches the parachute and actuator to the rocket body </t>
  </si>
  <si>
    <t>Aluminium Alloy</t>
  </si>
  <si>
    <t>https://drive.google.com/open?id=1V8NwmyManNg_iq-kV-toRyTxFgRSwML2</t>
  </si>
  <si>
    <t>Recovery_Pressure_Tank</t>
  </si>
  <si>
    <t>Air tank for recovery plate actuator</t>
  </si>
  <si>
    <t>6061 Aluminim</t>
  </si>
  <si>
    <t>https://drive.google.com/open?id=1dMxRv4LDiIt-PTQeRwErOfkF98S-5Yd_</t>
  </si>
  <si>
    <t>in progress</t>
  </si>
  <si>
    <t>Avionics_Mounting_Plate</t>
  </si>
  <si>
    <t>Mounting the flight compuer to the rest of the rocket. Needs to add holes once the flight computer dimensions are known.</t>
  </si>
  <si>
    <t>Avionics_Top_Bulkhead</t>
  </si>
  <si>
    <t>The upper portion of the avionics bay. Holds the top ends of the threaded rods to the inner airframe.</t>
  </si>
  <si>
    <t>https://drive.google.com/open?id=1Yt8We5AuqEkfHsCKhC4wFPUM4i7kgsMQ</t>
  </si>
  <si>
    <t>Recovery_System_Piston_Mount</t>
  </si>
  <si>
    <t>6061 Aluminum</t>
  </si>
  <si>
    <t>https://drive.google.com/open?id=1qdT_caOa0y6n0sPjLHPUt1wFJjw5o9ac</t>
  </si>
  <si>
    <t>Airframe_Sec3</t>
  </si>
  <si>
    <t>The third portion of the airframe which contains valves between pressurant and propellant tanks</t>
  </si>
  <si>
    <t>6062 Aluminum</t>
  </si>
  <si>
    <t>https://drive.google.com/open?id=1ujAemIINzECzFt_LFTQyfmVpGqOhIBZw</t>
  </si>
  <si>
    <t>Airframe_Sec4</t>
  </si>
  <si>
    <t>6063 Aluminum</t>
  </si>
  <si>
    <t>https://drive.google.com/open?id=1DRQhhhnzR5LnwcEB2IHFdLF-r5a7Icb3</t>
  </si>
  <si>
    <t>REDUNDANCY_MOTOR_WHEEL</t>
  </si>
  <si>
    <t>Lower Avionics Midsection</t>
  </si>
  <si>
    <t>Holds the lower half of the avionics.</t>
  </si>
  <si>
    <t>https://drive.google.com/open?id=1BEZbacNmk1kxfq07X5LI4xZkVL6J9RyX</t>
  </si>
  <si>
    <t>Lower Avionics End</t>
  </si>
  <si>
    <t>Seals the lower avionics bay.</t>
  </si>
  <si>
    <t>https://drive.google.com/open?id=18d2nxDvJnaZDY9FwbpWgSM9hAKzaoeS4</t>
  </si>
  <si>
    <t>Lower Avionics Lid</t>
  </si>
  <si>
    <t>Seals the lower avionics bay, allows wires to enter and exit.</t>
  </si>
  <si>
    <t>https://drive.google.com/open?id=1u3Qeqo5i97_3e2TVO8i2h7tVJLr7NgSk</t>
  </si>
  <si>
    <t>Launch Lug Face</t>
  </si>
  <si>
    <t>Center Part of the Launch Lug</t>
  </si>
  <si>
    <t>https://drive.google.com/open?id=1uEVOY-WevWrcxvUoJ1uclQ2g_78pwk0V</t>
  </si>
  <si>
    <t>Redundancy Pulley</t>
  </si>
  <si>
    <t>Redirects force to pull upwards on Recovery Ejectio Plate as a redundancy</t>
  </si>
  <si>
    <t>6061 Aluminium</t>
  </si>
  <si>
    <t>https://drive.google.com/drive/folders/1pEUuzC4hwV5AJEftRQrDAZ70En_CcXPE</t>
  </si>
  <si>
    <t>Motor Mount</t>
  </si>
  <si>
    <t>Made to hold a motor in place on the Plumbing Plate for a redundancy</t>
  </si>
  <si>
    <t>Cover Plate</t>
  </si>
  <si>
    <t>A cover that keeps the parachutes seperate from the rest of the rocket</t>
  </si>
  <si>
    <t>GPS Faraday Cage Edge</t>
  </si>
  <si>
    <t>Part of the frame for a Faraday cage to reduce noise experienced by the GPS</t>
  </si>
  <si>
    <t>https://drive.google.com/open?id=1q7E5aqa81i1id0B4_hOoQfY6NldI5RWU</t>
  </si>
  <si>
    <t>GPS Faraday Cage Top</t>
  </si>
  <si>
    <t>https://drive.google.com/open?id=1efGx18s076OS1gfDDfIvAtqg9FlMlRHO</t>
  </si>
  <si>
    <t>Telemetry Faraday Cage Edge</t>
  </si>
  <si>
    <t>Part of the frame for a Faraday cage to reduce noise experienced by the Sapphire Telemetry</t>
  </si>
  <si>
    <t>https://drive.google.com/open?id=1jPYmlH39Pi5FwMlNYUSL4o89O9IlUN6m</t>
  </si>
  <si>
    <t>Telemetry Faraday Cage Top</t>
  </si>
  <si>
    <t>https://drive.google.com/open?id=17CnaL4x1WMZyE3c5h1o8FyzrN_xbPw2J</t>
  </si>
  <si>
    <t>Launch Lug Right</t>
  </si>
  <si>
    <t>Right side of the launch lug.</t>
  </si>
  <si>
    <t>https://drive.google.com/open?id=1tPmeflqazjcNnntDosmGCqzwQ1SngCpD</t>
  </si>
  <si>
    <t>Launch Lug Left</t>
  </si>
  <si>
    <t>Left side of the launch lug.</t>
  </si>
  <si>
    <t>https://drive.google.com/open?id=1qoVaKBtErMi4gwbuTdwJo4kUs-86QIvG</t>
  </si>
  <si>
    <t>Recovery Pressure Tank Bulkhead</t>
  </si>
  <si>
    <t>Holds the Recovery Pressure Tank in place</t>
  </si>
  <si>
    <t>Drogue Pulley Lower</t>
  </si>
  <si>
    <t>Lower half of pulley that holds drogue line</t>
  </si>
  <si>
    <t>Drogue Pulley Lower L Bracket</t>
  </si>
  <si>
    <t>Bracket to mount drogue pulley</t>
  </si>
  <si>
    <t>Parachute Stand-In</t>
  </si>
  <si>
    <t>Reserves space for parachute</t>
  </si>
  <si>
    <t>Nylon</t>
  </si>
  <si>
    <t>https://drive.google.com/open?id=1Yvgxqbqpe6AMNrbDvi0h6uv4kb6Ib-lw</t>
  </si>
  <si>
    <t>Ejection Gusset</t>
  </si>
  <si>
    <t>Attaches L-brackets together for recovery ejector</t>
  </si>
  <si>
    <t>Drogue Pulley Upper</t>
  </si>
  <si>
    <t>Upper half of drogue pulley</t>
  </si>
  <si>
    <t>Drogue Release Mount</t>
  </si>
  <si>
    <t>Mount for drogue release cutter</t>
  </si>
  <si>
    <t>https://drive.google.com/open?id=1cE8YBG4wDMDCs2zqMb-fSo5vK32LZOsj</t>
  </si>
  <si>
    <t>Annular RP-1/LOX Wall</t>
  </si>
  <si>
    <t>Internal tank wall for isolating LOX passthrough and insulation from RP-1 tank contents</t>
  </si>
  <si>
    <t>https://drive.google.com/open?id=1D2A7hkSoCoexP5Az5SYoZF8pVAgubLc3</t>
  </si>
  <si>
    <t>LOX Pass-through</t>
  </si>
  <si>
    <t xml:space="preserve">LOX plumbing from common bulkhead through RP-1 tank, to RP-1 bulkhead. </t>
  </si>
  <si>
    <t>https://drive.google.com/open?id=1skyeXrpwGuMjWgwwdAPSmkrsirkCmVjd</t>
  </si>
  <si>
    <t>He Engine Purge</t>
  </si>
  <si>
    <t>He plumbing extending through length of propellant tanks. Used for purging out engine.</t>
  </si>
  <si>
    <t>https://drive.google.com/open?id=1Yft2rf4xQEN7RIsf2WD4FcXWjomWjTup</t>
  </si>
  <si>
    <t>RP-1 Pressurization He Plumbing</t>
  </si>
  <si>
    <t xml:space="preserve">He plumbing from LOX bulkhead through LOX tank to common bulkhead. Used for pressurization of RP-1 tank. </t>
  </si>
  <si>
    <t>https://drive.google.com/open?id=1ZK9eIHxp6rRyuLEjPatx6aGunVLGN3tg</t>
  </si>
  <si>
    <t>RP-1 Fill Plumbing</t>
  </si>
  <si>
    <t>Plumbing from LOX bulkhead through LOX tank to common bulkhead. Used to fill RP-1 tank with RP-1.</t>
  </si>
  <si>
    <t>https://drive.google.com/open?id=1nAXawmVfOH65yJJ4qlp_0ixmck91Sj6V</t>
  </si>
  <si>
    <t>Anullar Plumbing End Cap</t>
  </si>
  <si>
    <t>https://drive.google.com/open?id=1ZXm_kdsS9dA8Ytr5xoM5u2WuCoqxHMGK</t>
  </si>
  <si>
    <t>Drogue Release Upper Mount</t>
  </si>
  <si>
    <t>Upper mount for drogue release system</t>
  </si>
  <si>
    <t>https://drive.google.com/open?id=1ldDgzm3Ia5VoYTBaC3hh5QAssfw5WuXg</t>
  </si>
  <si>
    <t>Drogue Release Lower Saddle</t>
  </si>
  <si>
    <t>Holds pins in cutter</t>
  </si>
  <si>
    <t>https://drive.google.com/open?id=1BmDLdiBl-Mf_niiGL_JTUYG8CC4aqm67</t>
  </si>
  <si>
    <t>Drogue Release Upper Saddle</t>
  </si>
  <si>
    <t>https://drive.google.com/open?id=1rHOMWHSBCMrWoFDgI5eZ8TtWKP2x-YB-</t>
  </si>
  <si>
    <t>Drogue Release Pin</t>
  </si>
  <si>
    <t>Holds nichrome cutting line against vectran line</t>
  </si>
  <si>
    <t>18-8 Stainless</t>
  </si>
  <si>
    <t>https://drive.google.com/open?id=1MXPy_H_8nb0gZgMKvIbv58IVEqk79OC5</t>
  </si>
  <si>
    <t>Annular Insulation</t>
  </si>
  <si>
    <t>Insulates the RP-1 tanks from the LOX passing through the tank.</t>
  </si>
  <si>
    <t>Annular Conduit</t>
  </si>
  <si>
    <t>Allows for wiring to run through propellant tanks</t>
  </si>
  <si>
    <t>Pin Snap Rings</t>
  </si>
  <si>
    <t>Holds drogue chute release parts on sliding pins</t>
  </si>
  <si>
    <t>Beryllium Copper</t>
  </si>
  <si>
    <t>https://www.mcmaster.com/98410a635</t>
  </si>
  <si>
    <t>Nosecone Tether Mount</t>
  </si>
  <si>
    <t>Mounting point to attach tether to nosecone</t>
  </si>
  <si>
    <t>Onyx</t>
  </si>
  <si>
    <t>https://drive.google.com/open?id=1ID7lxaHNJaGuOC4xqdOu7FTZRE0WjWlj</t>
  </si>
  <si>
    <t>Curved Bolt Mate</t>
  </si>
  <si>
    <t>Small insert for mating flat bolt heads to curved vehicle surface</t>
  </si>
  <si>
    <t>PLA</t>
  </si>
  <si>
    <t>https://drive.google.com/a/ucsd.edu/file/d/1Vr3II1KqXhF-xAiMwPCvfRcz0H-Kb3Pr/view?usp=sharing</t>
  </si>
  <si>
    <t>Intertank Airframe</t>
  </si>
  <si>
    <t>Airframe joining the two propellant tanks/parts of the rocket</t>
  </si>
  <si>
    <t>https://drive.google.com/open?id=1a1cG9qhm7BfZv-TaTQbMpXKwkqz_Npgz</t>
  </si>
  <si>
    <t>Redundancy Support</t>
  </si>
  <si>
    <t>Supports the Redundancy DC motor by attaching it to the airfram to keep it in a fixed position during launch and actuation</t>
  </si>
  <si>
    <t>Redundancy Connector</t>
  </si>
  <si>
    <t>Connects the Redundancy Support to the Mounting Plate</t>
  </si>
  <si>
    <t>Redundancy Connector Reflected</t>
  </si>
  <si>
    <t>Mirror Image of Redundancy Conenctor, connects to other side of arm</t>
  </si>
  <si>
    <t>Moment Bracket</t>
  </si>
  <si>
    <t>Provides additional support to prevent  a moment and flexing of Redundancy Motor during launch</t>
  </si>
  <si>
    <t>Guide Rail</t>
  </si>
  <si>
    <t>Prevents the mounting plate from rotating during launch</t>
  </si>
  <si>
    <t>Hexcel AS4C</t>
  </si>
  <si>
    <t>Ejection Rod</t>
  </si>
  <si>
    <t>Makes contact with the nose cone to break shear pins</t>
  </si>
  <si>
    <t>Pressurant Tank</t>
  </si>
  <si>
    <t>Systems</t>
  </si>
  <si>
    <t>Composite high-pressure helium tank mockup for pressurizing propellant tanks</t>
  </si>
  <si>
    <t>Composite (?)</t>
  </si>
  <si>
    <t>Pressurant Tank Retainer</t>
  </si>
  <si>
    <t>Mockup of the retaining ring holding pressurant tank in place</t>
  </si>
  <si>
    <t>Upper Airframe Valve Setup</t>
  </si>
  <si>
    <t>A block of approximately the same mass and size as the future valve setup, for mass and sizing purposes</t>
  </si>
  <si>
    <t>Lower Airframe Valve Setup</t>
  </si>
  <si>
    <t>Pressurant Tank Top Bulkhead</t>
  </si>
  <si>
    <t>Bulkhead that attaches pressurant tank retainer to airframe</t>
  </si>
  <si>
    <t>Katie Freitag</t>
  </si>
  <si>
    <t>https://drive.google.com/open?id=1L_VDXrAO2k-YRY5Yj2vtx8Og3Xi5GBfG</t>
  </si>
  <si>
    <t>Pressurant Tank Bottom Bulkhead</t>
  </si>
  <si>
    <t>Bulkhead retains pressurant tank from bottom by retaining the airframe from the outside</t>
  </si>
  <si>
    <t>https://drive.google.com/open?id=1iVDrLgyZJ0BuVDNMw3BzIVrhGUIKz1mM</t>
  </si>
  <si>
    <t>Upper Vibration Absorber</t>
  </si>
  <si>
    <t>Used to dampen vibrations on the retaining ring attached to the pressurant tank</t>
  </si>
  <si>
    <t>Silicon Rubber</t>
  </si>
  <si>
    <t>Lower Vibration Absorber</t>
  </si>
  <si>
    <t>Used to dampen vibrations on the lower bulkhead of the pressurant tanks retaining system</t>
  </si>
  <si>
    <t>Launch Rail</t>
  </si>
  <si>
    <t>Used to guide rocket off of launch pad (provided)</t>
  </si>
  <si>
    <t>Unknown</t>
  </si>
  <si>
    <t>https://drive.google.com/open?id=1-8d2rEScTrcY30d6uPSrBlAx7ZYzCsaH</t>
  </si>
  <si>
    <t>EH-40</t>
  </si>
  <si>
    <t>High Pressure Solenoid Valve for Helium Line</t>
  </si>
  <si>
    <t>316 Stainless Steel</t>
  </si>
  <si>
    <t xml:space="preserve">Oscar Estevez </t>
  </si>
  <si>
    <t>https://drive.google.com/open?id=1ErcT4ittw364iT_0V8NW0wNHYt2Jz913</t>
  </si>
  <si>
    <t>-10 Fitting, 45 degree</t>
  </si>
  <si>
    <t>Fitting between TCA and injector fuel line (Propulsion)</t>
  </si>
  <si>
    <t>Stainless Steel</t>
  </si>
  <si>
    <t>Nick Ahforth</t>
  </si>
  <si>
    <t>3/20/2019</t>
  </si>
  <si>
    <t>-10 Fitting, 90 degree</t>
  </si>
  <si>
    <t>Fitting between injector and TCA fuel line (Propulsion)</t>
  </si>
  <si>
    <t>3/20/2020</t>
  </si>
  <si>
    <t>-12 Fitting, Straight</t>
  </si>
  <si>
    <t>Fitting between LOx line and injector (Propulsion)</t>
  </si>
  <si>
    <t>3/20/2021</t>
  </si>
  <si>
    <t>-12 Fitting, 90 degree</t>
  </si>
  <si>
    <t>Fitting between RP1 line and TCA (Propulsion)</t>
  </si>
  <si>
    <t>3/20/2022</t>
  </si>
  <si>
    <t>SUPPLIER LINK</t>
  </si>
  <si>
    <t>Threaded Rod</t>
  </si>
  <si>
    <t>Structures/Systems/Avionics</t>
  </si>
  <si>
    <t>3/8" Threaded rods for holding pressurant tank, avionics, recovery in place (currently not threaded due to processor limitations)</t>
  </si>
  <si>
    <t>Steel (?)</t>
  </si>
  <si>
    <t>https://drive.google.com/open?id=1Hio-FWNOEpgrsXQwVHdLrf_2fXxrw55I</t>
  </si>
  <si>
    <t>Brass Push-To-Connect 
Tube Fitting For Air</t>
  </si>
  <si>
    <t>Structures/Systems
/Avionics</t>
  </si>
  <si>
    <t>Tube fitting for 1/4" OD tube to 1/8" npt male connector, to connect air line to air cylinder for recovery actuator</t>
  </si>
  <si>
    <t>Brass</t>
  </si>
  <si>
    <t>Norman Chen-Liaw</t>
  </si>
  <si>
    <t>https://drive.google.com/open?id=199f_FtQt7u5K5mbmOvCVGABwWBuKKi4y</t>
  </si>
  <si>
    <t>Completed, 
Part imported from 
McMaster Carr</t>
  </si>
  <si>
    <t>https://www.mcmaster.com/5779k108</t>
  </si>
  <si>
    <t>Sure-Seal Stainless 
Steel Solenoid Valve</t>
  </si>
  <si>
    <t>Solenoid valve for recovery actuator, 24vDC</t>
  </si>
  <si>
    <t>https://drive.google.com/open?id=1Bn6tG0ubFy7fYhXO_6GBBQZDLKhqTVxI</t>
  </si>
  <si>
    <t>Air Regulator with 
Built-In Pressure 
Gauge</t>
  </si>
  <si>
    <t>1/8" npt threaded air regulator with pressure relief valve</t>
  </si>
  <si>
    <t>Zinc</t>
  </si>
  <si>
    <t>https://drive.google.com/open?id=1ihusJ-DiZreISb5vISAlrhDE_gQDHvD4</t>
  </si>
  <si>
    <t>https://www.mcmaster.com/8812k51</t>
  </si>
  <si>
    <t>1/4"-20 Thread Size, 2-1/2" Long, for mounting Recovery Pressure Tank</t>
  </si>
  <si>
    <t xml:space="preserve">Steel </t>
  </si>
  <si>
    <t>Completed, 
Part imported from 
McMaster Carr</t>
  </si>
  <si>
    <t>https://www.mcmaster.com/98750a021</t>
  </si>
  <si>
    <t>Nylon-Insert Locknut</t>
  </si>
  <si>
    <t>Grade 8, Zinc Yellow-Chromate Plated, 1/4"-20 Thread Size, for mounting Recovery Pressure Tank</t>
  </si>
  <si>
    <t>https://www.mcmaster.com/97135a210</t>
  </si>
  <si>
    <t>Round Body Air Cylinder</t>
  </si>
  <si>
    <t>Single-Acting, Push Style, 1-1/16" Bore, 1/2" Stroke, for Recovery System</t>
  </si>
  <si>
    <t>https://www.mcmaster.com/6498k062</t>
  </si>
  <si>
    <t>Push-To-Connect Tube
Fitting for Air, Straight 
Adapter</t>
  </si>
  <si>
    <t>Straight Adapter, 1/2" Stem OD, for 1/4" Tube OD for Recovery System Plumbing</t>
  </si>
  <si>
    <t>Nylon Plastic</t>
  </si>
  <si>
    <t>https://www.mcmaster.com/5779k719</t>
  </si>
  <si>
    <t>Push-To-Connect Tube
Fitting for Air, 90 Degree
Swivel</t>
  </si>
  <si>
    <t>90 Degree Swivel Elbow, 12 mm Tube OD x 1/2 BSPP Female for Recovery System Plumbing</t>
  </si>
  <si>
    <t>https://www.mcmaster.com/5225k893</t>
  </si>
  <si>
    <t>On/Off Valve for
Recovery Pressure
Tank</t>
  </si>
  <si>
    <t xml:space="preserve">On/Off Valve
for Recovery
Pressure Tank
</t>
  </si>
  <si>
    <t>Completed, 
Part imported from 
GrabCAD</t>
  </si>
  <si>
    <t>https://grabcad.com/library/9oz-paintball-co2-tank-1</t>
  </si>
  <si>
    <t>1/4"-20 x 1.5 Bolt</t>
  </si>
  <si>
    <t>TCA to Injector</t>
  </si>
  <si>
    <t>Zinc Yellow-Chromate Plated Steel</t>
  </si>
  <si>
    <t>Nick Ashforth</t>
  </si>
  <si>
    <t>1/4"-20 x 2.0 Bolt</t>
  </si>
  <si>
    <t>TCA/Injector to Thrust Mount</t>
  </si>
  <si>
    <t>1/4"-20 Nut</t>
  </si>
  <si>
    <t>TCA to Injector to Thrust 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</si>
</sst>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mmmm/yyyy"/>
    <numFmt numFmtId="166" formatCode="mmm. yyyy"/>
    <numFmt numFmtId="167" formatCode="m/d/yy"/>
    <numFmt numFmtId="168" formatCode="M/d/yyyy"/>
    <numFmt numFmtId="169" formatCode="mmm/yyyy"/>
    <numFmt numFmtId="170" formatCode="m/yyyy"/>
    <numFmt numFmtId="171" formatCode="m/d"/>
  </numFmts>
  <fonts count="33">
    <font>
      <sz val="10.0"/>
      <color rgb="FF000000"/>
      <name val="Arial"/>
    </font>
    <font>
      <name val="Proxima Nova"/>
    </font>
    <font>
      <b/>
      <color rgb="FF000000"/>
      <name val="Proxima Nova"/>
    </font>
    <font>
      <b/>
      <color rgb="FF434343"/>
      <name val="Proxima Nova"/>
    </font>
    <font>
      <color rgb="FF434343"/>
      <name val="Proxima Nova"/>
    </font>
    <font>
      <b/>
    </font>
    <font>
      <u/>
      <color rgb="FF0000FF"/>
      <name val="Proxima Nova"/>
    </font>
    <font>
      <b/>
      <name val="Proxima Nova"/>
    </font>
    <font>
      <u/>
      <color rgb="FF0000FF"/>
      <name val="Proxima Nova"/>
    </font>
    <font>
      <u/>
      <color rgb="FF0000FF"/>
      <name val="Proxima Nova"/>
    </font>
    <font>
      <color rgb="FF000000"/>
      <name val="Proxima Nova"/>
    </font>
    <font>
      <u/>
      <color rgb="FF0000FF"/>
      <name val="Proxima Nova"/>
    </font>
    <font/>
    <font>
      <name val="Arial"/>
    </font>
    <font>
      <b/>
      <u/>
      <color rgb="FF0000FF"/>
      <name val="Proxima Nova"/>
    </font>
    <font>
      <color rgb="FF000000"/>
      <name val="Arial"/>
    </font>
    <font>
      <u/>
      <color rgb="FF0000FF"/>
      <name val="Proxima Nova"/>
    </font>
    <font>
      <u/>
      <color rgb="FF0000FF"/>
      <name val="Proxima Nova"/>
    </font>
    <font>
      <u/>
      <color rgb="FF0000FF"/>
      <name val="Proxima Nova"/>
    </font>
    <font>
      <u/>
      <color rgb="FF0000FF"/>
      <name val="Proxima Nova"/>
    </font>
    <font>
      <u/>
      <color rgb="FF0000FF"/>
      <name val="Proxima Nova"/>
    </font>
    <font>
      <u/>
      <color rgb="FF0000FF"/>
    </font>
    <font>
      <u/>
      <color rgb="FF000000"/>
      <name val="Roboto"/>
    </font>
    <font>
      <u/>
      <color rgb="FF0000FF"/>
      <name val="Proxima Nova"/>
    </font>
    <font>
      <u/>
      <color rgb="FF0000FF"/>
      <name val="Proxima Nova"/>
    </font>
    <font>
      <u/>
      <color rgb="FF0000FF"/>
      <name val="Proxima Nova"/>
    </font>
    <font>
      <u/>
      <color rgb="FF0000FF"/>
    </font>
    <font>
      <u/>
      <color rgb="FF0000FF"/>
      <name val="Proxima Nova"/>
    </font>
    <font>
      <u/>
      <color rgb="FF0000FF"/>
      <name val="Proxima Nova"/>
    </font>
    <font>
      <sz val="9.0"/>
      <color rgb="FF000000"/>
      <name val="Arial"/>
    </font>
    <font>
      <u/>
      <sz val="11.0"/>
      <color rgb="FF1155CC"/>
      <name val="Inconsolata"/>
    </font>
    <font>
      <u/>
      <color rgb="FF0000FF"/>
      <name val="Proxima Nova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</fills>
  <borders count="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 textRotation="0" vertical="center"/>
    </xf>
    <xf borderId="1" fillId="2" fontId="2" numFmtId="49" xfId="0" applyAlignment="1" applyBorder="1" applyFont="1" applyNumberFormat="1">
      <alignment horizontal="center" readingOrder="0" textRotation="0" vertical="center"/>
    </xf>
    <xf borderId="1" fillId="2" fontId="2" numFmtId="0" xfId="0" applyAlignment="1" applyBorder="1" applyFont="1">
      <alignment horizontal="center" readingOrder="0" shrinkToFit="0" textRotation="0" vertical="center" wrapText="1"/>
    </xf>
    <xf borderId="1" fillId="2" fontId="2" numFmtId="0" xfId="0" applyAlignment="1" applyBorder="1" applyFont="1">
      <alignment horizontal="center" readingOrder="0" shrinkToFit="0" textRotation="0" vertical="center" wrapText="0"/>
    </xf>
    <xf borderId="0" fillId="0" fontId="3" numFmtId="49" xfId="0" applyAlignment="1" applyFont="1" applyNumberFormat="1">
      <alignment horizontal="center" readingOrder="0"/>
    </xf>
    <xf borderId="0" fillId="0" fontId="4" numFmtId="49" xfId="0" applyAlignment="1" applyFont="1" applyNumberFormat="1">
      <alignment horizontal="center" readingOrder="0"/>
    </xf>
    <xf borderId="0" fillId="3" fontId="5" numFmtId="49" xfId="0" applyAlignment="1" applyFill="1" applyFont="1" applyNumberFormat="1">
      <alignment horizontal="center"/>
    </xf>
    <xf borderId="0" fillId="3" fontId="1" numFmtId="49" xfId="0" applyAlignment="1" applyFont="1" applyNumberFormat="1">
      <alignment horizontal="center" readingOrder="0"/>
    </xf>
    <xf borderId="0" fillId="3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3" fontId="5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0"/>
    </xf>
    <xf borderId="0" fillId="0" fontId="1" numFmtId="164" xfId="0" applyAlignment="1" applyFont="1" applyNumberFormat="1">
      <alignment horizontal="center" readingOrder="0" shrinkToFit="0" wrapText="0"/>
    </xf>
    <xf borderId="0" fillId="0" fontId="1" numFmtId="165" xfId="0" applyAlignment="1" applyFont="1" applyNumberFormat="1">
      <alignment horizontal="center" readingOrder="0" shrinkToFit="0" wrapText="0"/>
    </xf>
    <xf borderId="0" fillId="0" fontId="6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/>
    </xf>
    <xf borderId="0" fillId="0" fontId="1" numFmtId="166" xfId="0" applyAlignment="1" applyFont="1" applyNumberFormat="1">
      <alignment horizontal="center"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167" xfId="0" applyAlignment="1" applyFont="1" applyNumberForma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3" fontId="1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shrinkToFit="0" wrapText="1"/>
    </xf>
    <xf borderId="0" fillId="0" fontId="1" numFmtId="164" xfId="0" applyAlignment="1" applyFont="1" applyNumberFormat="1">
      <alignment horizontal="center" readingOrder="0"/>
    </xf>
    <xf borderId="0" fillId="0" fontId="8" numFmtId="0" xfId="0" applyAlignment="1" applyFont="1">
      <alignment readingOrder="0" shrinkToFit="0" wrapText="0"/>
    </xf>
    <xf borderId="0" fillId="3" fontId="1" numFmtId="49" xfId="0" applyAlignment="1" applyFont="1" applyNumberFormat="1">
      <alignment horizontal="center"/>
    </xf>
    <xf borderId="0" fillId="3" fontId="1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3" fontId="10" numFmtId="0" xfId="0" applyAlignment="1" applyFont="1">
      <alignment horizontal="center" vertical="bottom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center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left" readingOrder="0"/>
    </xf>
    <xf borderId="0" fillId="3" fontId="13" numFmtId="0" xfId="0" applyAlignment="1" applyFont="1">
      <alignment horizontal="center" vertical="bottom"/>
    </xf>
    <xf borderId="0" fillId="0" fontId="1" numFmtId="0" xfId="0" applyAlignment="1" applyFont="1">
      <alignment horizontal="left"/>
    </xf>
    <xf borderId="0" fillId="0" fontId="12" numFmtId="0" xfId="0" applyAlignment="1" applyFont="1">
      <alignment horizontal="center" readingOrder="0"/>
    </xf>
    <xf borderId="0" fillId="0" fontId="1" numFmtId="168" xfId="0" applyAlignment="1" applyFont="1" applyNumberFormat="1">
      <alignment horizontal="center"/>
    </xf>
    <xf borderId="0" fillId="0" fontId="14" numFmtId="0" xfId="0" applyAlignment="1" applyFont="1">
      <alignment horizontal="center" readingOrder="0" shrinkToFit="0" wrapText="0"/>
    </xf>
    <xf borderId="0" fillId="4" fontId="15" numFmtId="167" xfId="0" applyAlignment="1" applyFont="1" applyNumberFormat="1">
      <alignment horizontal="center" readingOrder="0"/>
    </xf>
    <xf borderId="0" fillId="0" fontId="1" numFmtId="169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6" numFmtId="0" xfId="0" applyAlignment="1" applyFont="1">
      <alignment horizontal="left" readingOrder="0"/>
    </xf>
    <xf borderId="0" fillId="0" fontId="1" numFmtId="167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17" numFmtId="0" xfId="0" applyAlignment="1" applyFont="1">
      <alignment horizontal="left"/>
    </xf>
    <xf borderId="0" fillId="0" fontId="12" numFmtId="164" xfId="0" applyFont="1" applyNumberFormat="1"/>
    <xf borderId="0" fillId="0" fontId="18" numFmtId="0" xfId="0" applyFont="1"/>
    <xf borderId="1" fillId="2" fontId="2" numFmtId="168" xfId="0" applyAlignment="1" applyBorder="1" applyFont="1" applyNumberFormat="1">
      <alignment horizontal="center" readingOrder="0" shrinkToFit="0" textRotation="0" vertical="center" wrapText="0"/>
    </xf>
    <xf borderId="0" fillId="4" fontId="15" numFmtId="0" xfId="0" applyAlignment="1" applyFont="1">
      <alignment horizontal="center" readingOrder="0"/>
    </xf>
    <xf borderId="0" fillId="3" fontId="5" numFmtId="49" xfId="0" applyAlignment="1" applyFont="1" applyNumberFormat="1">
      <alignment horizontal="center" vertical="center"/>
    </xf>
    <xf borderId="0" fillId="3" fontId="1" numFmtId="49" xfId="0" applyAlignment="1" applyFont="1" applyNumberForma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4" fontId="15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0"/>
    </xf>
    <xf borderId="0" fillId="0" fontId="1" numFmtId="168" xfId="0" applyAlignment="1" applyFont="1" applyNumberFormat="1">
      <alignment horizontal="center" readingOrder="0" shrinkToFit="0" vertical="center" wrapText="0"/>
    </xf>
    <xf borderId="0" fillId="0" fontId="19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shrinkToFit="0" vertical="center" wrapText="0"/>
    </xf>
    <xf borderId="0" fillId="0" fontId="1" numFmtId="168" xfId="0" applyAlignment="1" applyFont="1" applyNumberFormat="1">
      <alignment horizontal="center" vertical="center"/>
    </xf>
    <xf borderId="0" fillId="0" fontId="1" numFmtId="168" xfId="0" applyAlignment="1" applyFont="1" applyNumberFormat="1">
      <alignment horizontal="center" readingOrder="0" vertical="center"/>
    </xf>
    <xf borderId="0" fillId="4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12" numFmtId="0" xfId="0" applyAlignment="1" applyFont="1">
      <alignment vertical="center"/>
    </xf>
    <xf borderId="0" fillId="3" fontId="1" numFmtId="49" xfId="0" applyAlignment="1" applyFont="1" applyNumberFormat="1">
      <alignment horizontal="center" vertical="center"/>
    </xf>
    <xf borderId="0" fillId="3" fontId="1" numFmtId="0" xfId="0" applyAlignment="1" applyFont="1">
      <alignment horizontal="center" vertical="center"/>
    </xf>
    <xf borderId="0" fillId="3" fontId="10" numFmtId="0" xfId="0" applyAlignment="1" applyFont="1">
      <alignment horizontal="center" vertical="center"/>
    </xf>
    <xf borderId="0" fillId="0" fontId="1" numFmtId="0" xfId="0" applyAlignment="1" applyFont="1">
      <alignment horizontal="left" readingOrder="0" vertical="center"/>
    </xf>
    <xf borderId="0" fillId="0" fontId="12" numFmtId="0" xfId="0" applyAlignment="1" applyFont="1">
      <alignment horizontal="left" readingOrder="0" vertical="center"/>
    </xf>
    <xf borderId="0" fillId="3" fontId="13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2" numFmtId="0" xfId="0" applyAlignment="1" applyFont="1">
      <alignment horizontal="center" readingOrder="0" vertical="center"/>
    </xf>
    <xf borderId="0" fillId="0" fontId="12" numFmtId="168" xfId="0" applyAlignment="1" applyFont="1" applyNumberFormat="1">
      <alignment vertical="center"/>
    </xf>
    <xf borderId="0" fillId="0" fontId="20" numFmtId="0" xfId="0" applyAlignment="1" applyFont="1">
      <alignment horizontal="center" readingOrder="0" vertical="center"/>
    </xf>
    <xf borderId="0" fillId="4" fontId="15" numFmtId="168" xfId="0" applyAlignment="1" applyFont="1" applyNumberFormat="1">
      <alignment horizontal="center" readingOrder="0" vertical="center"/>
    </xf>
    <xf borderId="0" fillId="0" fontId="12" numFmtId="0" xfId="0" applyAlignment="1" applyFont="1">
      <alignment readingOrder="0" shrinkToFit="0" wrapText="1"/>
    </xf>
    <xf borderId="0" fillId="3" fontId="5" numFmtId="0" xfId="0" applyAlignment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4" fontId="10" numFmtId="0" xfId="0" applyAlignment="1" applyFont="1">
      <alignment horizontal="center" readingOrder="0"/>
    </xf>
    <xf borderId="0" fillId="0" fontId="1" numFmtId="170" xfId="0" applyAlignment="1" applyFont="1" applyNumberFormat="1">
      <alignment horizontal="center" readingOrder="0" shrinkToFit="0" wrapText="0"/>
    </xf>
    <xf borderId="0" fillId="0" fontId="12" numFmtId="0" xfId="0" applyAlignment="1" applyFont="1">
      <alignment readingOrder="0"/>
    </xf>
    <xf borderId="0" fillId="0" fontId="12" numFmtId="169" xfId="0" applyAlignment="1" applyFont="1" applyNumberFormat="1">
      <alignment horizontal="center" readingOrder="0"/>
    </xf>
    <xf borderId="0" fillId="0" fontId="21" numFmtId="0" xfId="0" applyAlignment="1" applyFont="1">
      <alignment horizontal="center" readingOrder="0" shrinkToFit="0" wrapText="0"/>
    </xf>
    <xf borderId="0" fillId="3" fontId="5" numFmtId="49" xfId="0" applyAlignment="1" applyFont="1" applyNumberFormat="1">
      <alignment horizontal="center" readingOrder="0"/>
    </xf>
    <xf borderId="0" fillId="0" fontId="1" numFmtId="169" xfId="0" applyAlignment="1" applyFont="1" applyNumberFormat="1">
      <alignment horizontal="center" readingOrder="0" shrinkToFit="0" wrapText="0"/>
    </xf>
    <xf borderId="0" fillId="0" fontId="1" numFmtId="0" xfId="0" applyAlignment="1" applyFont="1">
      <alignment readingOrder="0"/>
    </xf>
    <xf borderId="0" fillId="4" fontId="22" numFmtId="0" xfId="0" applyAlignment="1" applyFont="1">
      <alignment readingOrder="0" shrinkToFit="0" wrapText="0"/>
    </xf>
    <xf borderId="0" fillId="0" fontId="23" numFmtId="0" xfId="0" applyAlignment="1" applyFont="1">
      <alignment horizontal="center" readingOrder="0" shrinkToFit="0" wrapText="0"/>
    </xf>
    <xf borderId="0" fillId="0" fontId="1" numFmtId="169" xfId="0" applyAlignment="1" applyFont="1" applyNumberFormat="1">
      <alignment horizontal="center" readingOrder="0"/>
    </xf>
    <xf borderId="0" fillId="4" fontId="1" numFmtId="0" xfId="0" applyAlignment="1" applyFont="1">
      <alignment horizontal="center" readingOrder="0" shrinkToFit="0" wrapText="1"/>
    </xf>
    <xf borderId="0" fillId="0" fontId="1" numFmtId="171" xfId="0" applyAlignment="1" applyFont="1" applyNumberFormat="1">
      <alignment horizontal="center" readingOrder="0"/>
    </xf>
    <xf borderId="0" fillId="0" fontId="24" numFmtId="0" xfId="0" applyAlignment="1" applyFont="1">
      <alignment horizontal="center" readingOrder="0" shrinkToFit="0" wrapText="0"/>
    </xf>
    <xf borderId="0" fillId="3" fontId="10" numFmtId="0" xfId="0" applyAlignment="1" applyFont="1">
      <alignment horizontal="center" readingOrder="0" vertical="bottom"/>
    </xf>
    <xf borderId="0" fillId="0" fontId="1" numFmtId="0" xfId="0" applyAlignment="1" applyFont="1">
      <alignment horizontal="left" readingOrder="0" shrinkToFit="0" wrapText="0"/>
    </xf>
    <xf borderId="0" fillId="0" fontId="25" numFmtId="0" xfId="0" applyAlignment="1" applyFont="1">
      <alignment horizontal="left" readingOrder="0" shrinkToFit="0" wrapText="0"/>
    </xf>
    <xf borderId="0" fillId="3" fontId="10" numFmtId="0" xfId="0" applyAlignment="1" applyFont="1">
      <alignment horizontal="center" readingOrder="0" shrinkToFit="0" vertical="bottom" wrapText="1"/>
    </xf>
    <xf borderId="0" fillId="0" fontId="1" numFmtId="170" xfId="0" applyAlignment="1" applyFont="1" applyNumberFormat="1">
      <alignment horizontal="center" readingOrder="0"/>
    </xf>
    <xf borderId="0" fillId="0" fontId="26" numFmtId="0" xfId="0" applyAlignment="1" applyFont="1">
      <alignment horizontal="left" readingOrder="0" shrinkToFit="0" wrapText="0"/>
    </xf>
    <xf borderId="0" fillId="3" fontId="13" numFmtId="0" xfId="0" applyAlignment="1" applyFont="1">
      <alignment horizontal="center" readingOrder="0" vertical="bottom"/>
    </xf>
    <xf borderId="0" fillId="0" fontId="12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horizontal="center" shrinkToFit="0" wrapText="0"/>
    </xf>
    <xf borderId="0" fillId="0" fontId="1" numFmtId="167" xfId="0" applyAlignment="1" applyFont="1" applyNumberFormat="1">
      <alignment horizontal="center" readingOrder="0" shrinkToFit="0" wrapText="0"/>
    </xf>
    <xf borderId="0" fillId="0" fontId="1" numFmtId="49" xfId="0" applyAlignment="1" applyFont="1" applyNumberFormat="1">
      <alignment horizontal="center" readingOrder="0" shrinkToFit="0" wrapText="0"/>
    </xf>
    <xf borderId="0" fillId="0" fontId="27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29" numFmtId="0" xfId="0" applyAlignment="1" applyFont="1">
      <alignment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0"/>
    </xf>
    <xf borderId="0" fillId="4" fontId="30" numFmtId="0" xfId="0" applyAlignment="1" applyFont="1">
      <alignment horizontal="center" vertical="center"/>
    </xf>
    <xf borderId="0" fillId="0" fontId="31" numFmtId="0" xfId="0" applyAlignment="1" applyFont="1">
      <alignment horizontal="center" vertical="center"/>
    </xf>
    <xf borderId="0" fillId="0" fontId="12" numFmtId="0" xfId="0" applyAlignment="1" applyFont="1">
      <alignment shrinkToFit="0" wrapText="0"/>
    </xf>
    <xf borderId="0" fillId="0" fontId="12" numFmtId="49" xfId="0" applyFont="1" applyNumberFormat="1"/>
    <xf borderId="0" fillId="0" fontId="32" numFmtId="0" xfId="0" applyFont="1"/>
    <xf borderId="0" fillId="0" fontId="12" numFmtId="166" xfId="0" applyFont="1" applyNumberFormat="1"/>
    <xf borderId="0" fillId="0" fontId="12" numFmtId="165" xfId="0" applyFont="1" applyNumberFormat="1"/>
    <xf borderId="0" fillId="0" fontId="12" numFmtId="168" xfId="0" applyFont="1" applyNumberFormat="1"/>
    <xf borderId="0" fillId="0" fontId="12" numFmtId="170" xfId="0" applyFont="1" applyNumberFormat="1"/>
    <xf borderId="0" fillId="0" fontId="12" numFmtId="169" xfId="0" applyFont="1" applyNumberFormat="1"/>
    <xf borderId="0" fillId="0" fontId="12" numFmtId="167" xfId="0" applyFont="1" applyNumberFormat="1"/>
    <xf borderId="0" fillId="0" fontId="12" numFmtId="171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gL2X1sYwFUodHhWYINXmfcC_GxBv3jfx" TargetMode="External"/><Relationship Id="rId42" Type="http://schemas.openxmlformats.org/officeDocument/2006/relationships/hyperlink" Target="https://drive.google.com/open?id=1dMxRv4LDiIt-PTQeRwErOfkF98S-5Yd_" TargetMode="External"/><Relationship Id="rId41" Type="http://schemas.openxmlformats.org/officeDocument/2006/relationships/hyperlink" Target="https://drive.google.com/open?id=1V8NwmyManNg_iq-kV-toRyTxFgRSwML2" TargetMode="External"/><Relationship Id="rId44" Type="http://schemas.openxmlformats.org/officeDocument/2006/relationships/hyperlink" Target="https://drive.google.com/open?id=1Yt8We5AuqEkfHsCKhC4wFPUM4i7kgsMQ" TargetMode="External"/><Relationship Id="rId43" Type="http://schemas.openxmlformats.org/officeDocument/2006/relationships/hyperlink" Target="https://drive.google.com/open?id=1wQ6QNGc3aF6TLr0OV7clUUrt8Y7wsu_O" TargetMode="External"/><Relationship Id="rId46" Type="http://schemas.openxmlformats.org/officeDocument/2006/relationships/hyperlink" Target="https://drive.google.com/open?id=1ujAemIINzECzFt_LFTQyfmVpGqOhIBZw" TargetMode="External"/><Relationship Id="rId45" Type="http://schemas.openxmlformats.org/officeDocument/2006/relationships/hyperlink" Target="https://drive.google.com/open?id=1qdT_caOa0y6n0sPjLHPUt1wFJjw5o9ac" TargetMode="External"/><Relationship Id="rId107" Type="http://schemas.openxmlformats.org/officeDocument/2006/relationships/hyperlink" Target="https://www.mcmaster.com/94895a029" TargetMode="External"/><Relationship Id="rId106" Type="http://schemas.openxmlformats.org/officeDocument/2006/relationships/hyperlink" Target="https://drive.google.com/open?id=1chMTOA0of2-AZS6AIQrjsnSndvMihp2A" TargetMode="External"/><Relationship Id="rId105" Type="http://schemas.openxmlformats.org/officeDocument/2006/relationships/hyperlink" Target="https://www.mcmaster.com/91257a550" TargetMode="External"/><Relationship Id="rId104" Type="http://schemas.openxmlformats.org/officeDocument/2006/relationships/hyperlink" Target="https://drive.google.com/open?id=1M5ynUY5sRvI7bh_zTs-NO_hahdIm5QE8" TargetMode="External"/><Relationship Id="rId108" Type="http://schemas.openxmlformats.org/officeDocument/2006/relationships/drawing" Target="../drawings/drawing1.xml"/><Relationship Id="rId48" Type="http://schemas.openxmlformats.org/officeDocument/2006/relationships/hyperlink" Target="https://drive.google.com/open?id=1BEZbacNmk1kxfq07X5LI4xZkVL6J9RyX" TargetMode="External"/><Relationship Id="rId47" Type="http://schemas.openxmlformats.org/officeDocument/2006/relationships/hyperlink" Target="https://drive.google.com/open?id=1DRQhhhnzR5LnwcEB2IHFdLF-r5a7Icb3" TargetMode="External"/><Relationship Id="rId49" Type="http://schemas.openxmlformats.org/officeDocument/2006/relationships/hyperlink" Target="https://drive.google.com/open?id=18d2nxDvJnaZDY9FwbpWgSM9hAKzaoeS4" TargetMode="External"/><Relationship Id="rId103" Type="http://schemas.openxmlformats.org/officeDocument/2006/relationships/hyperlink" Target="https://www.mcmaster.com/90201A117" TargetMode="External"/><Relationship Id="rId102" Type="http://schemas.openxmlformats.org/officeDocument/2006/relationships/hyperlink" Target="https://drive.google.com/open?id=1TsyiGiXTG7dG2ncj1Z6vU0YxC4pEyeBh" TargetMode="External"/><Relationship Id="rId101" Type="http://schemas.openxmlformats.org/officeDocument/2006/relationships/hyperlink" Target="https://grabcad.com/library/9oz-paintball-co2-tank-1" TargetMode="External"/><Relationship Id="rId100" Type="http://schemas.openxmlformats.org/officeDocument/2006/relationships/hyperlink" Target="https://www.mcmaster.com/5225k893" TargetMode="External"/><Relationship Id="rId31" Type="http://schemas.openxmlformats.org/officeDocument/2006/relationships/hyperlink" Target="https://drive.google.com/a/ucsd.edu/file/d/1JkVf2S1hkxiJx2SDtlUpDhQ_q_UjBaa9/view?usp=sharing" TargetMode="External"/><Relationship Id="rId30" Type="http://schemas.openxmlformats.org/officeDocument/2006/relationships/hyperlink" Target="https://drive.google.com/open?id=1jxl6DU6_rDRsXwdwYjHH0JrfaQymys9Q" TargetMode="External"/><Relationship Id="rId33" Type="http://schemas.openxmlformats.org/officeDocument/2006/relationships/hyperlink" Target="https://drive.google.com/open?id=1pxv5yOgPuQ4qqavFZKrMMezzVvmXoJNv" TargetMode="External"/><Relationship Id="rId32" Type="http://schemas.openxmlformats.org/officeDocument/2006/relationships/hyperlink" Target="https://drive.google.com/open?id=13_WQGznCK2Te6_iOrqA2ys1_0BLNgaWD" TargetMode="External"/><Relationship Id="rId35" Type="http://schemas.openxmlformats.org/officeDocument/2006/relationships/hyperlink" Target="https://drive.google.com/open?id=1C5yta8XERV_dp-j1jVM3FahsH_VApazx" TargetMode="External"/><Relationship Id="rId34" Type="http://schemas.openxmlformats.org/officeDocument/2006/relationships/hyperlink" Target="https://drive.google.com/open?id=1qXb8koDwF2kn29clhQizMFKqQMShJq7n" TargetMode="External"/><Relationship Id="rId37" Type="http://schemas.openxmlformats.org/officeDocument/2006/relationships/hyperlink" Target="https://drive.google.com/open?id=17rBbxM7IWHvuLe9Hj0z9ib4P_unf9klW" TargetMode="External"/><Relationship Id="rId36" Type="http://schemas.openxmlformats.org/officeDocument/2006/relationships/hyperlink" Target="https://drive.google.com/open?id=15iZ8DA1M1gLEKjcYiEkWIXrOUcYlVLPD" TargetMode="External"/><Relationship Id="rId39" Type="http://schemas.openxmlformats.org/officeDocument/2006/relationships/hyperlink" Target="https://drive.google.com/open?id=1nvvZXm1y9vTlimMKy7niuxABJoW2nnGR" TargetMode="External"/><Relationship Id="rId38" Type="http://schemas.openxmlformats.org/officeDocument/2006/relationships/hyperlink" Target="https://drive.google.com/open?id=1D17AVos2pD_KuBIMvmYAkgIzFjpa2gW0" TargetMode="External"/><Relationship Id="rId20" Type="http://schemas.openxmlformats.org/officeDocument/2006/relationships/hyperlink" Target="https://drive.google.com/open?id=1CGIDUO5KiQiCmSmzg48laHgxn1Qj8O4S" TargetMode="External"/><Relationship Id="rId22" Type="http://schemas.openxmlformats.org/officeDocument/2006/relationships/hyperlink" Target="https://drive.google.com/open?id=1XG6XpoKgHJIuK-rC99yPlm19kRrlGlpZ" TargetMode="External"/><Relationship Id="rId21" Type="http://schemas.openxmlformats.org/officeDocument/2006/relationships/hyperlink" Target="https://drive.google.com/open?id=1rmJGqYzGVuuSd8uE1kSHhk1vfDdgkFJV" TargetMode="External"/><Relationship Id="rId24" Type="http://schemas.openxmlformats.org/officeDocument/2006/relationships/hyperlink" Target="https://drive.google.com/open?id=1FFGUaHZOgoEqLJqpjtXBCaFby6YMEVGi" TargetMode="External"/><Relationship Id="rId23" Type="http://schemas.openxmlformats.org/officeDocument/2006/relationships/hyperlink" Target="https://drive.google.com/open?id=1Mdq3pE2tntVH615Oe7XgjoqRWKZFEtst" TargetMode="External"/><Relationship Id="rId26" Type="http://schemas.openxmlformats.org/officeDocument/2006/relationships/hyperlink" Target="https://drive.google.com/open?id=1J1CoVTK6WLqAvfzfnTBfDDe5gkQBirtm" TargetMode="External"/><Relationship Id="rId25" Type="http://schemas.openxmlformats.org/officeDocument/2006/relationships/hyperlink" Target="https://drive.google.com/open?id=1Q3MXF6ikM6S-2RtAIflugmwm1NwX9htx" TargetMode="External"/><Relationship Id="rId28" Type="http://schemas.openxmlformats.org/officeDocument/2006/relationships/hyperlink" Target="https://drive.google.com/open?id=1spU2LsVXF0U6aayZbQnOgfV6gI1rBedy" TargetMode="External"/><Relationship Id="rId27" Type="http://schemas.openxmlformats.org/officeDocument/2006/relationships/hyperlink" Target="https://drive.google.com/open?id=1tQzI1sFwpB9NwCMe6lwGSTrOJz8MwaFo" TargetMode="External"/><Relationship Id="rId29" Type="http://schemas.openxmlformats.org/officeDocument/2006/relationships/hyperlink" Target="https://drive.google.com/open?id=1_uaz2wDxHWPvSqQ0TdpyvWGPqwYVvDci" TargetMode="External"/><Relationship Id="rId95" Type="http://schemas.openxmlformats.org/officeDocument/2006/relationships/hyperlink" Target="https://www.mcmaster.com/8812k51" TargetMode="External"/><Relationship Id="rId94" Type="http://schemas.openxmlformats.org/officeDocument/2006/relationships/hyperlink" Target="https://drive.google.com/open?id=1ihusJ-DiZreISb5vISAlrhDE_gQDHvD4" TargetMode="External"/><Relationship Id="rId97" Type="http://schemas.openxmlformats.org/officeDocument/2006/relationships/hyperlink" Target="https://www.mcmaster.com/97135a210" TargetMode="External"/><Relationship Id="rId96" Type="http://schemas.openxmlformats.org/officeDocument/2006/relationships/hyperlink" Target="https://www.mcmaster.com/98750a021" TargetMode="External"/><Relationship Id="rId11" Type="http://schemas.openxmlformats.org/officeDocument/2006/relationships/hyperlink" Target="https://drive.google.com/open?id=15K35jV9WxQmHUaEZr2PeHojzMyImxzkM" TargetMode="External"/><Relationship Id="rId99" Type="http://schemas.openxmlformats.org/officeDocument/2006/relationships/hyperlink" Target="https://www.mcmaster.com/5779k719" TargetMode="External"/><Relationship Id="rId10" Type="http://schemas.openxmlformats.org/officeDocument/2006/relationships/hyperlink" Target="https://drive.google.com/open?id=1zAih9B8GDgVsnWmRULLxlQzSgQuYqHeZ" TargetMode="External"/><Relationship Id="rId98" Type="http://schemas.openxmlformats.org/officeDocument/2006/relationships/hyperlink" Target="https://www.mcmaster.com/6498k062" TargetMode="External"/><Relationship Id="rId13" Type="http://schemas.openxmlformats.org/officeDocument/2006/relationships/hyperlink" Target="https://drive.google.com/open?id=1bdJ9ns6-CuUPH6e-EA8DdvkD2jxBaETV" TargetMode="External"/><Relationship Id="rId12" Type="http://schemas.openxmlformats.org/officeDocument/2006/relationships/hyperlink" Target="https://drive.google.com/open?id=1-dMp_CAW1KVqk_0ZGOH_QEvGDHnSwNlR" TargetMode="External"/><Relationship Id="rId91" Type="http://schemas.openxmlformats.org/officeDocument/2006/relationships/hyperlink" Target="https://www.mcmaster.com/5779k108" TargetMode="External"/><Relationship Id="rId90" Type="http://schemas.openxmlformats.org/officeDocument/2006/relationships/hyperlink" Target="https://drive.google.com/open?id=199f_FtQt7u5K5mbmOvCVGABwWBuKKi4y" TargetMode="External"/><Relationship Id="rId93" Type="http://schemas.openxmlformats.org/officeDocument/2006/relationships/hyperlink" Target="https://www.mcmaster.com/4639k743" TargetMode="External"/><Relationship Id="rId92" Type="http://schemas.openxmlformats.org/officeDocument/2006/relationships/hyperlink" Target="https://drive.google.com/open?id=1Bn6tG0ubFy7fYhXO_6GBBQZDLKhqTVxI" TargetMode="External"/><Relationship Id="rId15" Type="http://schemas.openxmlformats.org/officeDocument/2006/relationships/hyperlink" Target="https://drive.google.com/open?id=1Lzo24uD2x3Fd724ObEwTFdAwTX4I98iN" TargetMode="External"/><Relationship Id="rId14" Type="http://schemas.openxmlformats.org/officeDocument/2006/relationships/hyperlink" Target="https://drive.google.com/open?id=11GLzImQMjyVOKcHgnrQfa_RsutA5upaQ" TargetMode="External"/><Relationship Id="rId17" Type="http://schemas.openxmlformats.org/officeDocument/2006/relationships/hyperlink" Target="https://drive.google.com/open?id=1JRLlKoq7Q6YJiYtDq6vGGAF04ELHjpDS" TargetMode="External"/><Relationship Id="rId16" Type="http://schemas.openxmlformats.org/officeDocument/2006/relationships/hyperlink" Target="https://drive.google.com/open?id=15EONwBHUxUhPonA38wNA8QomMfEkuzki" TargetMode="External"/><Relationship Id="rId19" Type="http://schemas.openxmlformats.org/officeDocument/2006/relationships/hyperlink" Target="https://drive.google.com/open?id=1Xs5DumGkjYO--vLFcwFjdFdRstTMob4K" TargetMode="External"/><Relationship Id="rId18" Type="http://schemas.openxmlformats.org/officeDocument/2006/relationships/hyperlink" Target="https://drive.google.com/open?id=1iROIOWN2H3OVrmbOyx4elAgc0Su02Uvn" TargetMode="External"/><Relationship Id="rId84" Type="http://schemas.openxmlformats.org/officeDocument/2006/relationships/hyperlink" Target="https://drive.google.com/open?id=1ErcT4ittw364iT_0V8NW0wNHYt2Jz913" TargetMode="External"/><Relationship Id="rId83" Type="http://schemas.openxmlformats.org/officeDocument/2006/relationships/hyperlink" Target="https://drive.google.com/open?id=1-8d2rEScTrcY30d6uPSrBlAx7ZYzCsaH" TargetMode="External"/><Relationship Id="rId86" Type="http://schemas.openxmlformats.org/officeDocument/2006/relationships/hyperlink" Target="https://drive.google.com/open?id=1sMU4cl8eloBCh1lyWnvcPLunAN3eC52e" TargetMode="External"/><Relationship Id="rId85" Type="http://schemas.openxmlformats.org/officeDocument/2006/relationships/hyperlink" Target="https://drive.google.com/open?id=14eou7lPrclsgoEfLqcDs671F5BBD4Jii" TargetMode="External"/><Relationship Id="rId88" Type="http://schemas.openxmlformats.org/officeDocument/2006/relationships/hyperlink" Target="https://drive.google.com/open?id=10pruX2e27oLQEPGV0w7FRwPapK0YbzbM" TargetMode="External"/><Relationship Id="rId87" Type="http://schemas.openxmlformats.org/officeDocument/2006/relationships/hyperlink" Target="https://drive.google.com/open?id=1ZUM5K3U5kofhrFQYyM7bgL2BY_4AqcGQ" TargetMode="External"/><Relationship Id="rId89" Type="http://schemas.openxmlformats.org/officeDocument/2006/relationships/hyperlink" Target="https://drive.google.com/open?id=1Hio-FWNOEpgrsXQwVHdLrf_2fXxrw55I" TargetMode="External"/><Relationship Id="rId80" Type="http://schemas.openxmlformats.org/officeDocument/2006/relationships/hyperlink" Target="https://drive.google.com/open?id=1iVDrLgyZJ0BuVDNMw3BzIVrhGUIKz1mM" TargetMode="External"/><Relationship Id="rId82" Type="http://schemas.openxmlformats.org/officeDocument/2006/relationships/hyperlink" Target="https://drive.google.com/drive/folders/1pEUuzC4hwV5AJEftRQrDAZ70En_CcXPE" TargetMode="External"/><Relationship Id="rId81" Type="http://schemas.openxmlformats.org/officeDocument/2006/relationships/hyperlink" Target="https://drive.google.com/drive/folders/1pEUuzC4hwV5AJEftRQrDAZ70En_CcXPE" TargetMode="External"/><Relationship Id="rId1" Type="http://schemas.openxmlformats.org/officeDocument/2006/relationships/hyperlink" Target="https://drive.google.com/open?id=1noHuwCSEkvqI1xknd8j9MHQTjYJJ14jH" TargetMode="External"/><Relationship Id="rId2" Type="http://schemas.openxmlformats.org/officeDocument/2006/relationships/hyperlink" Target="https://drive.google.com/open?id=1J1JgiIaDe-UVmuuoyPsjyfWX5h_Xqv0Y" TargetMode="External"/><Relationship Id="rId3" Type="http://schemas.openxmlformats.org/officeDocument/2006/relationships/hyperlink" Target="https://drive.google.com/open?id=1jDjs2Hw2T3HGTmtF-s-Qxh8RlcR6SeOB" TargetMode="External"/><Relationship Id="rId4" Type="http://schemas.openxmlformats.org/officeDocument/2006/relationships/hyperlink" Target="https://drive.google.com/open?id=1cKiYH51b5fbb80OGpfzp98Lk2H6ysmut" TargetMode="External"/><Relationship Id="rId9" Type="http://schemas.openxmlformats.org/officeDocument/2006/relationships/hyperlink" Target="https://drive.google.com/open?id=1fngf05DfW2_i1JEiQBInp8snbbK4DQBc" TargetMode="External"/><Relationship Id="rId5" Type="http://schemas.openxmlformats.org/officeDocument/2006/relationships/hyperlink" Target="https://drive.google.com/open?id=1zK9wBxFYlzhDcqrwu8CuXhBkB0_S0GAu" TargetMode="External"/><Relationship Id="rId6" Type="http://schemas.openxmlformats.org/officeDocument/2006/relationships/hyperlink" Target="https://drive.google.com/open?id=1C5nQF59g-MMyCO5AG2QPSsBEU7dq7nNm" TargetMode="External"/><Relationship Id="rId7" Type="http://schemas.openxmlformats.org/officeDocument/2006/relationships/hyperlink" Target="https://drive.google.com/open?id=1lS8FcEh-06_VJIh0zEmOw0zsHaHcvpWs" TargetMode="External"/><Relationship Id="rId8" Type="http://schemas.openxmlformats.org/officeDocument/2006/relationships/hyperlink" Target="https://drive.google.com/open?id=1CIDYVvDB-IQ5QeciZEDx2vJYQe8JuR0J" TargetMode="External"/><Relationship Id="rId73" Type="http://schemas.openxmlformats.org/officeDocument/2006/relationships/hyperlink" Target="https://drive.google.com/open?id=1MXPy_H_8nb0gZgMKvIbv58IVEqk79OC5" TargetMode="External"/><Relationship Id="rId72" Type="http://schemas.openxmlformats.org/officeDocument/2006/relationships/hyperlink" Target="https://drive.google.com/open?id=1rHOMWHSBCMrWoFDgI5eZ8TtWKP2x-YB-" TargetMode="External"/><Relationship Id="rId75" Type="http://schemas.openxmlformats.org/officeDocument/2006/relationships/hyperlink" Target="https://drive.google.com/open?id=1ID7lxaHNJaGuOC4xqdOu7FTZRE0WjWlj" TargetMode="External"/><Relationship Id="rId74" Type="http://schemas.openxmlformats.org/officeDocument/2006/relationships/hyperlink" Target="https://www.mcmaster.com/98410a635" TargetMode="External"/><Relationship Id="rId77" Type="http://schemas.openxmlformats.org/officeDocument/2006/relationships/hyperlink" Target="https://drive.google.com/open?id=1a1cG9qhm7BfZv-TaTQbMpXKwkqz_Npgz" TargetMode="External"/><Relationship Id="rId76" Type="http://schemas.openxmlformats.org/officeDocument/2006/relationships/hyperlink" Target="https://drive.google.com/a/ucsd.edu/file/d/1Vr3II1KqXhF-xAiMwPCvfRcz0H-Kb3Pr/view?usp=sharing" TargetMode="External"/><Relationship Id="rId79" Type="http://schemas.openxmlformats.org/officeDocument/2006/relationships/hyperlink" Target="https://drive.google.com/open?id=1L_VDXrAO2k-YRY5Yj2vtx8Og3Xi5GBfG" TargetMode="External"/><Relationship Id="rId78" Type="http://schemas.openxmlformats.org/officeDocument/2006/relationships/hyperlink" Target="https://drive.google.com/drive/folders/1pEUuzC4hwV5AJEftRQrDAZ70En_CcXPE" TargetMode="External"/><Relationship Id="rId71" Type="http://schemas.openxmlformats.org/officeDocument/2006/relationships/hyperlink" Target="https://drive.google.com/open?id=1BmDLdiBl-Mf_niiGL_JTUYG8CC4aqm67" TargetMode="External"/><Relationship Id="rId70" Type="http://schemas.openxmlformats.org/officeDocument/2006/relationships/hyperlink" Target="https://drive.google.com/open?id=1ldDgzm3Ia5VoYTBaC3hh5QAssfw5WuXg" TargetMode="External"/><Relationship Id="rId62" Type="http://schemas.openxmlformats.org/officeDocument/2006/relationships/hyperlink" Target="https://drive.google.com/open?id=1Yvgxqbqpe6AMNrbDvi0h6uv4kb6Ib-lw" TargetMode="External"/><Relationship Id="rId61" Type="http://schemas.openxmlformats.org/officeDocument/2006/relationships/hyperlink" Target="https://drive.google.com/drive/folders/1pEUuzC4hwV5AJEftRQrDAZ70En_CcXPE" TargetMode="External"/><Relationship Id="rId64" Type="http://schemas.openxmlformats.org/officeDocument/2006/relationships/hyperlink" Target="https://drive.google.com/open?id=1D2A7hkSoCoexP5Az5SYoZF8pVAgubLc3" TargetMode="External"/><Relationship Id="rId63" Type="http://schemas.openxmlformats.org/officeDocument/2006/relationships/hyperlink" Target="https://drive.google.com/open?id=1cE8YBG4wDMDCs2zqMb-fSo5vK32LZOsj" TargetMode="External"/><Relationship Id="rId66" Type="http://schemas.openxmlformats.org/officeDocument/2006/relationships/hyperlink" Target="https://drive.google.com/open?id=1Yft2rf4xQEN7RIsf2WD4FcXWjomWjTup" TargetMode="External"/><Relationship Id="rId65" Type="http://schemas.openxmlformats.org/officeDocument/2006/relationships/hyperlink" Target="https://drive.google.com/open?id=1skyeXrpwGuMjWgwwdAPSmkrsirkCmVjd" TargetMode="External"/><Relationship Id="rId68" Type="http://schemas.openxmlformats.org/officeDocument/2006/relationships/hyperlink" Target="https://drive.google.com/open?id=1nAXawmVfOH65yJJ4qlp_0ixmck91Sj6V" TargetMode="External"/><Relationship Id="rId67" Type="http://schemas.openxmlformats.org/officeDocument/2006/relationships/hyperlink" Target="https://drive.google.com/open?id=1ZK9eIHxp6rRyuLEjPatx6aGunVLGN3tg" TargetMode="External"/><Relationship Id="rId60" Type="http://schemas.openxmlformats.org/officeDocument/2006/relationships/hyperlink" Target="https://drive.google.com/open?id=1qoVaKBtErMi4gwbuTdwJo4kUs-86QIvG" TargetMode="External"/><Relationship Id="rId69" Type="http://schemas.openxmlformats.org/officeDocument/2006/relationships/hyperlink" Target="https://drive.google.com/open?id=1ZXm_kdsS9dA8Ytr5xoM5u2WuCoqxHMGK" TargetMode="External"/><Relationship Id="rId51" Type="http://schemas.openxmlformats.org/officeDocument/2006/relationships/hyperlink" Target="https://drive.google.com/open?id=1uEVOY-WevWrcxvUoJ1uclQ2g_78pwk0V" TargetMode="External"/><Relationship Id="rId50" Type="http://schemas.openxmlformats.org/officeDocument/2006/relationships/hyperlink" Target="https://drive.google.com/open?id=1u3Qeqo5i97_3e2TVO8i2h7tVJLr7NgSk" TargetMode="External"/><Relationship Id="rId53" Type="http://schemas.openxmlformats.org/officeDocument/2006/relationships/hyperlink" Target="https://drive.google.com/drive/folders/1pEUuzC4hwV5AJEftRQrDAZ70En_CcXPE" TargetMode="External"/><Relationship Id="rId52" Type="http://schemas.openxmlformats.org/officeDocument/2006/relationships/hyperlink" Target="https://drive.google.com/drive/folders/1pEUuzC4hwV5AJEftRQrDAZ70En_CcXPE" TargetMode="External"/><Relationship Id="rId55" Type="http://schemas.openxmlformats.org/officeDocument/2006/relationships/hyperlink" Target="https://drive.google.com/open?id=1q7E5aqa81i1id0B4_hOoQfY6NldI5RWU" TargetMode="External"/><Relationship Id="rId54" Type="http://schemas.openxmlformats.org/officeDocument/2006/relationships/hyperlink" Target="https://drive.google.com/drive/folders/1pEUuzC4hwV5AJEftRQrDAZ70En_CcXPE" TargetMode="External"/><Relationship Id="rId57" Type="http://schemas.openxmlformats.org/officeDocument/2006/relationships/hyperlink" Target="https://drive.google.com/open?id=1jPYmlH39Pi5FwMlNYUSL4o89O9IlUN6m" TargetMode="External"/><Relationship Id="rId56" Type="http://schemas.openxmlformats.org/officeDocument/2006/relationships/hyperlink" Target="https://drive.google.com/open?id=1efGx18s076OS1gfDDfIvAtqg9FlMlRHO" TargetMode="External"/><Relationship Id="rId59" Type="http://schemas.openxmlformats.org/officeDocument/2006/relationships/hyperlink" Target="https://drive.google.com/open?id=1tPmeflqazjcNnntDosmGCqzwQ1SngCpD" TargetMode="External"/><Relationship Id="rId58" Type="http://schemas.openxmlformats.org/officeDocument/2006/relationships/hyperlink" Target="https://drive.google.com/open?id=17CnaL4x1WMZyE3c5h1o8FyzrN_xbPw2J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open?id=15K35jV9WxQmHUaEZr2PeHojzMyImxzkM" TargetMode="External"/><Relationship Id="rId10" Type="http://schemas.openxmlformats.org/officeDocument/2006/relationships/hyperlink" Target="https://drive.google.com/open?id=1zAih9B8GDgVsnWmRULLxlQzSgQuYqHeZ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drive.google.com/open?id=1-dMp_CAW1KVqk_0ZGOH_QEvGDHnSwNlR" TargetMode="External"/><Relationship Id="rId1" Type="http://schemas.openxmlformats.org/officeDocument/2006/relationships/hyperlink" Target="https://drive.google.com/open?id=1noHuwCSEkvqI1xknd8j9MHQTjYJJ14jH" TargetMode="External"/><Relationship Id="rId2" Type="http://schemas.openxmlformats.org/officeDocument/2006/relationships/hyperlink" Target="https://drive.google.com/open?id=1J1JgiIaDe-UVmuuoyPsjyfWX5h_Xqv0Y" TargetMode="External"/><Relationship Id="rId3" Type="http://schemas.openxmlformats.org/officeDocument/2006/relationships/hyperlink" Target="https://drive.google.com/open?id=1jDjs2Hw2T3HGTmtF-s-Qxh8RlcR6SeOB" TargetMode="External"/><Relationship Id="rId4" Type="http://schemas.openxmlformats.org/officeDocument/2006/relationships/hyperlink" Target="https://drive.google.com/open?id=1cKiYH51b5fbb80OGpfzp98Lk2H6ysmut" TargetMode="External"/><Relationship Id="rId9" Type="http://schemas.openxmlformats.org/officeDocument/2006/relationships/hyperlink" Target="https://drive.google.com/open?id=1fngf05DfW2_i1JEiQBInp8snbbK4DQBc" TargetMode="External"/><Relationship Id="rId5" Type="http://schemas.openxmlformats.org/officeDocument/2006/relationships/hyperlink" Target="https://drive.google.com/open?id=1zK9wBxFYlzhDcqrwu8CuXhBkB0_S0GAu" TargetMode="External"/><Relationship Id="rId6" Type="http://schemas.openxmlformats.org/officeDocument/2006/relationships/hyperlink" Target="https://drive.google.com/open?id=1C5nQF59g-MMyCO5AG2QPSsBEU7dq7nNm" TargetMode="External"/><Relationship Id="rId7" Type="http://schemas.openxmlformats.org/officeDocument/2006/relationships/hyperlink" Target="https://drive.google.com/open?id=1lS8FcEh-06_VJIh0zEmOw0zsHaHcvpWs" TargetMode="External"/><Relationship Id="rId8" Type="http://schemas.openxmlformats.org/officeDocument/2006/relationships/hyperlink" Target="https://drive.google.com/open?id=1CIDYVvDB-IQ5QeciZEDx2vJYQe8JuR0J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bdJ9ns6-CuUPH6e-EA8DdvkD2jxBaETV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iP9XnC6Iwpwwyu6fgmwRvxW6UYsde2Zv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1GLzImQMjyVOKcHgnrQfa_RsutA5upaQ" TargetMode="External"/><Relationship Id="rId2" Type="http://schemas.openxmlformats.org/officeDocument/2006/relationships/hyperlink" Target="https://drive.google.com/open?id=1Lzo24uD2x3Fd724ObEwTFdAwTX4I98iN" TargetMode="External"/><Relationship Id="rId3" Type="http://schemas.openxmlformats.org/officeDocument/2006/relationships/hyperlink" Target="https://drive.google.com/open?id=15EONwBHUxUhPonA38wNA8QomMfEkuzki" TargetMode="External"/><Relationship Id="rId4" Type="http://schemas.openxmlformats.org/officeDocument/2006/relationships/hyperlink" Target="https://drive.google.com/open?id=1JRLlKoq7Q6YJiYtDq6vGGAF04ELHjpDS" TargetMode="External"/><Relationship Id="rId5" Type="http://schemas.openxmlformats.org/officeDocument/2006/relationships/hyperlink" Target="https://drive.google.com/open?id=1iROIOWN2H3OVrmbOyx4elAgc0Su02Uvn" TargetMode="External"/><Relationship Id="rId6" Type="http://schemas.openxmlformats.org/officeDocument/2006/relationships/hyperlink" Target="https://drive.google.com/open?id=1Xs5DumGkjYO--vLFcwFjdFdRstTMob4K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Yvgxqbqpe6AMNrbDvi0h6uv4kb6Ib-lw" TargetMode="External"/><Relationship Id="rId42" Type="http://schemas.openxmlformats.org/officeDocument/2006/relationships/hyperlink" Target="https://drive.google.com/open?id=1D2A7hkSoCoexP5Az5SYoZF8pVAgubLc3" TargetMode="External"/><Relationship Id="rId41" Type="http://schemas.openxmlformats.org/officeDocument/2006/relationships/hyperlink" Target="https://drive.google.com/open?id=1cE8YBG4wDMDCs2zqMb-fSo5vK32LZOsj" TargetMode="External"/><Relationship Id="rId44" Type="http://schemas.openxmlformats.org/officeDocument/2006/relationships/hyperlink" Target="https://drive.google.com/open?id=1Yft2rf4xQEN7RIsf2WD4FcXWjomWjTup" TargetMode="External"/><Relationship Id="rId43" Type="http://schemas.openxmlformats.org/officeDocument/2006/relationships/hyperlink" Target="https://drive.google.com/open?id=1skyeXrpwGuMjWgwwdAPSmkrsirkCmVjd" TargetMode="External"/><Relationship Id="rId46" Type="http://schemas.openxmlformats.org/officeDocument/2006/relationships/hyperlink" Target="https://drive.google.com/open?id=1nAXawmVfOH65yJJ4qlp_0ixmck91Sj6V" TargetMode="External"/><Relationship Id="rId45" Type="http://schemas.openxmlformats.org/officeDocument/2006/relationships/hyperlink" Target="https://drive.google.com/open?id=1ZK9eIHxp6rRyuLEjPatx6aGunVLGN3tg" TargetMode="External"/><Relationship Id="rId48" Type="http://schemas.openxmlformats.org/officeDocument/2006/relationships/hyperlink" Target="https://drive.google.com/open?id=1ldDgzm3Ia5VoYTBaC3hh5QAssfw5WuXg" TargetMode="External"/><Relationship Id="rId47" Type="http://schemas.openxmlformats.org/officeDocument/2006/relationships/hyperlink" Target="https://drive.google.com/open?id=1ZXm_kdsS9dA8Ytr5xoM5u2WuCoqxHMGK" TargetMode="External"/><Relationship Id="rId49" Type="http://schemas.openxmlformats.org/officeDocument/2006/relationships/hyperlink" Target="https://drive.google.com/open?id=1BmDLdiBl-Mf_niiGL_JTUYG8CC4aqm67" TargetMode="External"/><Relationship Id="rId31" Type="http://schemas.openxmlformats.org/officeDocument/2006/relationships/hyperlink" Target="https://drive.google.com/drive/folders/1pEUuzC4hwV5AJEftRQrDAZ70En_CcXPE" TargetMode="External"/><Relationship Id="rId30" Type="http://schemas.openxmlformats.org/officeDocument/2006/relationships/hyperlink" Target="https://drive.google.com/drive/folders/1pEUuzC4hwV5AJEftRQrDAZ70En_CcXPE" TargetMode="External"/><Relationship Id="rId33" Type="http://schemas.openxmlformats.org/officeDocument/2006/relationships/hyperlink" Target="https://drive.google.com/open?id=1q7E5aqa81i1id0B4_hOoQfY6NldI5RWU" TargetMode="External"/><Relationship Id="rId32" Type="http://schemas.openxmlformats.org/officeDocument/2006/relationships/hyperlink" Target="https://drive.google.com/drive/folders/1pEUuzC4hwV5AJEftRQrDAZ70En_CcXPE" TargetMode="External"/><Relationship Id="rId35" Type="http://schemas.openxmlformats.org/officeDocument/2006/relationships/hyperlink" Target="https://drive.google.com/open?id=1jPYmlH39Pi5FwMlNYUSL4o89O9IlUN6m" TargetMode="External"/><Relationship Id="rId34" Type="http://schemas.openxmlformats.org/officeDocument/2006/relationships/hyperlink" Target="https://drive.google.com/open?id=1efGx18s076OS1gfDDfIvAtqg9FlMlRHO" TargetMode="External"/><Relationship Id="rId37" Type="http://schemas.openxmlformats.org/officeDocument/2006/relationships/hyperlink" Target="https://drive.google.com/open?id=1tPmeflqazjcNnntDosmGCqzwQ1SngCpD" TargetMode="External"/><Relationship Id="rId36" Type="http://schemas.openxmlformats.org/officeDocument/2006/relationships/hyperlink" Target="https://drive.google.com/open?id=17CnaL4x1WMZyE3c5h1o8FyzrN_xbPw2J" TargetMode="External"/><Relationship Id="rId39" Type="http://schemas.openxmlformats.org/officeDocument/2006/relationships/hyperlink" Target="https://drive.google.com/drive/folders/1pEUuzC4hwV5AJEftRQrDAZ70En_CcXPE" TargetMode="External"/><Relationship Id="rId38" Type="http://schemas.openxmlformats.org/officeDocument/2006/relationships/hyperlink" Target="https://drive.google.com/open?id=1qoVaKBtErMi4gwbuTdwJo4kUs-86QIvG" TargetMode="External"/><Relationship Id="rId20" Type="http://schemas.openxmlformats.org/officeDocument/2006/relationships/hyperlink" Target="https://drive.google.com/open?id=1V8NwmyManNg_iq-kV-toRyTxFgRSwML2" TargetMode="External"/><Relationship Id="rId22" Type="http://schemas.openxmlformats.org/officeDocument/2006/relationships/hyperlink" Target="https://drive.google.com/open?id=1Yt8We5AuqEkfHsCKhC4wFPUM4i7kgsMQ" TargetMode="External"/><Relationship Id="rId21" Type="http://schemas.openxmlformats.org/officeDocument/2006/relationships/hyperlink" Target="https://drive.google.com/open?id=1dMxRv4LDiIt-PTQeRwErOfkF98S-5Yd_" TargetMode="External"/><Relationship Id="rId24" Type="http://schemas.openxmlformats.org/officeDocument/2006/relationships/hyperlink" Target="https://drive.google.com/open?id=1ujAemIINzECzFt_LFTQyfmVpGqOhIBZw" TargetMode="External"/><Relationship Id="rId23" Type="http://schemas.openxmlformats.org/officeDocument/2006/relationships/hyperlink" Target="https://drive.google.com/open?id=1qdT_caOa0y6n0sPjLHPUt1wFJjw5o9ac" TargetMode="External"/><Relationship Id="rId26" Type="http://schemas.openxmlformats.org/officeDocument/2006/relationships/hyperlink" Target="https://drive.google.com/open?id=1BEZbacNmk1kxfq07X5LI4xZkVL6J9RyX" TargetMode="External"/><Relationship Id="rId25" Type="http://schemas.openxmlformats.org/officeDocument/2006/relationships/hyperlink" Target="https://drive.google.com/open?id=1DRQhhhnzR5LnwcEB2IHFdLF-r5a7Icb3" TargetMode="External"/><Relationship Id="rId28" Type="http://schemas.openxmlformats.org/officeDocument/2006/relationships/hyperlink" Target="https://drive.google.com/open?id=1u3Qeqo5i97_3e2TVO8i2h7tVJLr7NgSk" TargetMode="External"/><Relationship Id="rId27" Type="http://schemas.openxmlformats.org/officeDocument/2006/relationships/hyperlink" Target="https://drive.google.com/open?id=18d2nxDvJnaZDY9FwbpWgSM9hAKzaoeS4" TargetMode="External"/><Relationship Id="rId29" Type="http://schemas.openxmlformats.org/officeDocument/2006/relationships/hyperlink" Target="https://drive.google.com/open?id=1uEVOY-WevWrcxvUoJ1uclQ2g_78pwk0V" TargetMode="External"/><Relationship Id="rId11" Type="http://schemas.openxmlformats.org/officeDocument/2006/relationships/hyperlink" Target="https://drive.google.com/open?id=13_WQGznCK2Te6_iOrqA2ys1_0BLNgaWD" TargetMode="External"/><Relationship Id="rId10" Type="http://schemas.openxmlformats.org/officeDocument/2006/relationships/hyperlink" Target="https://drive.google.com/a/ucsd.edu/file/d/1JkVf2S1hkxiJx2SDtlUpDhQ_q_UjBaa9/view?usp=sharing" TargetMode="External"/><Relationship Id="rId13" Type="http://schemas.openxmlformats.org/officeDocument/2006/relationships/hyperlink" Target="https://drive.google.com/open?id=1qXb8koDwF2kn29clhQizMFKqQMShJq7n" TargetMode="External"/><Relationship Id="rId12" Type="http://schemas.openxmlformats.org/officeDocument/2006/relationships/hyperlink" Target="https://drive.google.com/open?id=1pxv5yOgPuQ4qqavFZKrMMezzVvmXoJNv" TargetMode="External"/><Relationship Id="rId15" Type="http://schemas.openxmlformats.org/officeDocument/2006/relationships/hyperlink" Target="https://drive.google.com/open?id=15iZ8DA1M1gLEKjcYiEkWIXrOUcYlVLPD" TargetMode="External"/><Relationship Id="rId14" Type="http://schemas.openxmlformats.org/officeDocument/2006/relationships/hyperlink" Target="https://drive.google.com/open?id=1C5yta8XERV_dp-j1jVM3FahsH_VApazx" TargetMode="External"/><Relationship Id="rId17" Type="http://schemas.openxmlformats.org/officeDocument/2006/relationships/hyperlink" Target="https://drive.google.com/open?id=1D17AVos2pD_KuBIMvmYAkgIzFjpa2gW0" TargetMode="External"/><Relationship Id="rId16" Type="http://schemas.openxmlformats.org/officeDocument/2006/relationships/hyperlink" Target="https://drive.google.com/open?id=17rBbxM7IWHvuLe9Hj0z9ib4P_unf9klW" TargetMode="External"/><Relationship Id="rId19" Type="http://schemas.openxmlformats.org/officeDocument/2006/relationships/hyperlink" Target="https://drive.google.com/open?id=1gL2X1sYwFUodHhWYINXmfcC_GxBv3jfx" TargetMode="External"/><Relationship Id="rId18" Type="http://schemas.openxmlformats.org/officeDocument/2006/relationships/hyperlink" Target="https://drive.google.com/open?id=1nvvZXm1y9vTlimMKy7niuxABJoW2nnGR" TargetMode="External"/><Relationship Id="rId1" Type="http://schemas.openxmlformats.org/officeDocument/2006/relationships/hyperlink" Target="https://drive.google.com/open?id=1XG6XpoKgHJIuK-rC99yPlm19kRrlGlpZ" TargetMode="External"/><Relationship Id="rId2" Type="http://schemas.openxmlformats.org/officeDocument/2006/relationships/hyperlink" Target="https://drive.google.com/open?id=1Mdq3pE2tntVH615Oe7XgjoqRWKZFEtst" TargetMode="External"/><Relationship Id="rId3" Type="http://schemas.openxmlformats.org/officeDocument/2006/relationships/hyperlink" Target="https://drive.google.com/open?id=1FFGUaHZOgoEqLJqpjtXBCaFby6YMEVGi" TargetMode="External"/><Relationship Id="rId4" Type="http://schemas.openxmlformats.org/officeDocument/2006/relationships/hyperlink" Target="https://drive.google.com/open?id=1Q3MXF6ikM6S-2RtAIflugmwm1NwX9htx" TargetMode="External"/><Relationship Id="rId9" Type="http://schemas.openxmlformats.org/officeDocument/2006/relationships/hyperlink" Target="https://drive.google.com/open?id=1jxl6DU6_rDRsXwdwYjHH0JrfaQymys9Q" TargetMode="External"/><Relationship Id="rId5" Type="http://schemas.openxmlformats.org/officeDocument/2006/relationships/hyperlink" Target="https://drive.google.com/open?id=1J1CoVTK6WLqAvfzfnTBfDDe5gkQBirtm" TargetMode="External"/><Relationship Id="rId6" Type="http://schemas.openxmlformats.org/officeDocument/2006/relationships/hyperlink" Target="https://drive.google.com/open?id=1tQzI1sFwpB9NwCMe6lwGSTrOJz8MwaFo" TargetMode="External"/><Relationship Id="rId7" Type="http://schemas.openxmlformats.org/officeDocument/2006/relationships/hyperlink" Target="https://drive.google.com/open?id=1spU2LsVXF0U6aayZbQnOgfV6gI1rBedy" TargetMode="External"/><Relationship Id="rId8" Type="http://schemas.openxmlformats.org/officeDocument/2006/relationships/hyperlink" Target="https://drive.google.com/open?id=1_uaz2wDxHWPvSqQ0TdpyvWGPqwYVvDci" TargetMode="External"/><Relationship Id="rId51" Type="http://schemas.openxmlformats.org/officeDocument/2006/relationships/hyperlink" Target="https://drive.google.com/open?id=1MXPy_H_8nb0gZgMKvIbv58IVEqk79OC5" TargetMode="External"/><Relationship Id="rId50" Type="http://schemas.openxmlformats.org/officeDocument/2006/relationships/hyperlink" Target="https://drive.google.com/open?id=1rHOMWHSBCMrWoFDgI5eZ8TtWKP2x-YB-" TargetMode="External"/><Relationship Id="rId53" Type="http://schemas.openxmlformats.org/officeDocument/2006/relationships/hyperlink" Target="https://drive.google.com/open?id=1ID7lxaHNJaGuOC4xqdOu7FTZRE0WjWlj" TargetMode="External"/><Relationship Id="rId52" Type="http://schemas.openxmlformats.org/officeDocument/2006/relationships/hyperlink" Target="https://www.mcmaster.com/98410a635" TargetMode="External"/><Relationship Id="rId55" Type="http://schemas.openxmlformats.org/officeDocument/2006/relationships/hyperlink" Target="https://drive.google.com/open?id=1a1cG9qhm7BfZv-TaTQbMpXKwkqz_Npgz" TargetMode="External"/><Relationship Id="rId54" Type="http://schemas.openxmlformats.org/officeDocument/2006/relationships/hyperlink" Target="https://drive.google.com/a/ucsd.edu/file/d/1Vr3II1KqXhF-xAiMwPCvfRcz0H-Kb3Pr/view?usp=sharing" TargetMode="External"/><Relationship Id="rId5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pEUuzC4hwV5AJEftRQrDAZ70En_CcXPE" TargetMode="External"/><Relationship Id="rId2" Type="http://schemas.openxmlformats.org/officeDocument/2006/relationships/hyperlink" Target="https://drive.google.com/open?id=1L_VDXrAO2k-YRY5Yj2vtx8Og3Xi5GBfG" TargetMode="External"/><Relationship Id="rId3" Type="http://schemas.openxmlformats.org/officeDocument/2006/relationships/hyperlink" Target="https://drive.google.com/open?id=1iVDrLgyZJ0BuVDNMw3BzIVrhGUIKz1mM" TargetMode="External"/><Relationship Id="rId4" Type="http://schemas.openxmlformats.org/officeDocument/2006/relationships/hyperlink" Target="https://drive.google.com/drive/folders/1pEUuzC4hwV5AJEftRQrDAZ70En_CcXPE" TargetMode="External"/><Relationship Id="rId5" Type="http://schemas.openxmlformats.org/officeDocument/2006/relationships/hyperlink" Target="https://drive.google.com/drive/folders/1pEUuzC4hwV5AJEftRQrDAZ70En_CcXPE" TargetMode="External"/><Relationship Id="rId6" Type="http://schemas.openxmlformats.org/officeDocument/2006/relationships/hyperlink" Target="https://drive.google.com/open?id=1-8d2rEScTrcY30d6uPSrBlAx7ZYzCsaH" TargetMode="External"/><Relationship Id="rId7" Type="http://schemas.openxmlformats.org/officeDocument/2006/relationships/hyperlink" Target="https://drive.google.com/open?id=1ErcT4ittw364iT_0V8NW0wNHYt2Jz913" TargetMode="External"/><Relationship Id="rId8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cmaster.com/5225k893" TargetMode="External"/><Relationship Id="rId10" Type="http://schemas.openxmlformats.org/officeDocument/2006/relationships/hyperlink" Target="https://www.mcmaster.com/5779k719" TargetMode="External"/><Relationship Id="rId13" Type="http://schemas.openxmlformats.org/officeDocument/2006/relationships/drawing" Target="../drawings/drawing8.xml"/><Relationship Id="rId12" Type="http://schemas.openxmlformats.org/officeDocument/2006/relationships/hyperlink" Target="https://grabcad.com/library/9oz-paintball-co2-tank-1" TargetMode="External"/><Relationship Id="rId1" Type="http://schemas.openxmlformats.org/officeDocument/2006/relationships/hyperlink" Target="https://drive.google.com/open?id=1Hio-FWNOEpgrsXQwVHdLrf_2fXxrw55I" TargetMode="External"/><Relationship Id="rId2" Type="http://schemas.openxmlformats.org/officeDocument/2006/relationships/hyperlink" Target="https://drive.google.com/open?id=199f_FtQt7u5K5mbmOvCVGABwWBuKKi4y" TargetMode="External"/><Relationship Id="rId3" Type="http://schemas.openxmlformats.org/officeDocument/2006/relationships/hyperlink" Target="https://www.mcmaster.com/5779k108" TargetMode="External"/><Relationship Id="rId4" Type="http://schemas.openxmlformats.org/officeDocument/2006/relationships/hyperlink" Target="https://drive.google.com/open?id=1Bn6tG0ubFy7fYhXO_6GBBQZDLKhqTVxI" TargetMode="External"/><Relationship Id="rId9" Type="http://schemas.openxmlformats.org/officeDocument/2006/relationships/hyperlink" Target="https://www.mcmaster.com/6498k062" TargetMode="External"/><Relationship Id="rId5" Type="http://schemas.openxmlformats.org/officeDocument/2006/relationships/hyperlink" Target="https://drive.google.com/open?id=1ihusJ-DiZreISb5vISAlrhDE_gQDHvD4" TargetMode="External"/><Relationship Id="rId6" Type="http://schemas.openxmlformats.org/officeDocument/2006/relationships/hyperlink" Target="https://www.mcmaster.com/8812k51" TargetMode="External"/><Relationship Id="rId7" Type="http://schemas.openxmlformats.org/officeDocument/2006/relationships/hyperlink" Target="https://www.mcmaster.com/98750a021" TargetMode="External"/><Relationship Id="rId8" Type="http://schemas.openxmlformats.org/officeDocument/2006/relationships/hyperlink" Target="https://www.mcmaster.com/97135a210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gL2X1sYwFUodHhWYINXmfcC_GxBv3jfx" TargetMode="External"/><Relationship Id="rId42" Type="http://schemas.openxmlformats.org/officeDocument/2006/relationships/hyperlink" Target="https://drive.google.com/open?id=1dMxRv4LDiIt-PTQeRwErOfkF98S-5Yd_" TargetMode="External"/><Relationship Id="rId41" Type="http://schemas.openxmlformats.org/officeDocument/2006/relationships/hyperlink" Target="https://drive.google.com/open?id=1V8NwmyManNg_iq-kV-toRyTxFgRSwML2" TargetMode="External"/><Relationship Id="rId44" Type="http://schemas.openxmlformats.org/officeDocument/2006/relationships/hyperlink" Target="https://drive.google.com/open?id=1Yt8We5AuqEkfHsCKhC4wFPUM4i7kgsMQ" TargetMode="External"/><Relationship Id="rId43" Type="http://schemas.openxmlformats.org/officeDocument/2006/relationships/hyperlink" Target="https://drive.google.com/open?id=1wQ6QNGc3aF6TLr0OV7clUUrt8Y7wsu_O" TargetMode="External"/><Relationship Id="rId46" Type="http://schemas.openxmlformats.org/officeDocument/2006/relationships/hyperlink" Target="https://drive.google.com/open?id=1ujAemIINzECzFt_LFTQyfmVpGqOhIBZw" TargetMode="External"/><Relationship Id="rId45" Type="http://schemas.openxmlformats.org/officeDocument/2006/relationships/hyperlink" Target="https://drive.google.com/open?id=1qdT_caOa0y6n0sPjLHPUt1wFJjw5o9ac" TargetMode="External"/><Relationship Id="rId107" Type="http://schemas.openxmlformats.org/officeDocument/2006/relationships/hyperlink" Target="https://www.mcmaster.com/94895a029" TargetMode="External"/><Relationship Id="rId106" Type="http://schemas.openxmlformats.org/officeDocument/2006/relationships/hyperlink" Target="https://drive.google.com/open?id=1chMTOA0of2-AZS6AIQrjsnSndvMihp2A" TargetMode="External"/><Relationship Id="rId105" Type="http://schemas.openxmlformats.org/officeDocument/2006/relationships/hyperlink" Target="https://www.mcmaster.com/91257a550" TargetMode="External"/><Relationship Id="rId104" Type="http://schemas.openxmlformats.org/officeDocument/2006/relationships/hyperlink" Target="https://drive.google.com/open?id=1M5ynUY5sRvI7bh_zTs-NO_hahdIm5QE8" TargetMode="External"/><Relationship Id="rId108" Type="http://schemas.openxmlformats.org/officeDocument/2006/relationships/drawing" Target="../drawings/drawing9.xml"/><Relationship Id="rId48" Type="http://schemas.openxmlformats.org/officeDocument/2006/relationships/hyperlink" Target="https://drive.google.com/open?id=1BEZbacNmk1kxfq07X5LI4xZkVL6J9RyX" TargetMode="External"/><Relationship Id="rId47" Type="http://schemas.openxmlformats.org/officeDocument/2006/relationships/hyperlink" Target="https://drive.google.com/open?id=1DRQhhhnzR5LnwcEB2IHFdLF-r5a7Icb3" TargetMode="External"/><Relationship Id="rId49" Type="http://schemas.openxmlformats.org/officeDocument/2006/relationships/hyperlink" Target="https://drive.google.com/open?id=18d2nxDvJnaZDY9FwbpWgSM9hAKzaoeS4" TargetMode="External"/><Relationship Id="rId103" Type="http://schemas.openxmlformats.org/officeDocument/2006/relationships/hyperlink" Target="https://www.mcmaster.com/90201A117" TargetMode="External"/><Relationship Id="rId102" Type="http://schemas.openxmlformats.org/officeDocument/2006/relationships/hyperlink" Target="https://drive.google.com/open?id=1TsyiGiXTG7dG2ncj1Z6vU0YxC4pEyeBh" TargetMode="External"/><Relationship Id="rId101" Type="http://schemas.openxmlformats.org/officeDocument/2006/relationships/hyperlink" Target="https://grabcad.com/library/9oz-paintball-co2-tank-1" TargetMode="External"/><Relationship Id="rId100" Type="http://schemas.openxmlformats.org/officeDocument/2006/relationships/hyperlink" Target="https://www.mcmaster.com/5225k893" TargetMode="External"/><Relationship Id="rId31" Type="http://schemas.openxmlformats.org/officeDocument/2006/relationships/hyperlink" Target="https://drive.google.com/a/ucsd.edu/file/d/1JkVf2S1hkxiJx2SDtlUpDhQ_q_UjBaa9/view?usp=sharing" TargetMode="External"/><Relationship Id="rId30" Type="http://schemas.openxmlformats.org/officeDocument/2006/relationships/hyperlink" Target="https://drive.google.com/open?id=1jxl6DU6_rDRsXwdwYjHH0JrfaQymys9Q" TargetMode="External"/><Relationship Id="rId33" Type="http://schemas.openxmlformats.org/officeDocument/2006/relationships/hyperlink" Target="https://drive.google.com/open?id=1pxv5yOgPuQ4qqavFZKrMMezzVvmXoJNv" TargetMode="External"/><Relationship Id="rId32" Type="http://schemas.openxmlformats.org/officeDocument/2006/relationships/hyperlink" Target="https://drive.google.com/open?id=13_WQGznCK2Te6_iOrqA2ys1_0BLNgaWD" TargetMode="External"/><Relationship Id="rId35" Type="http://schemas.openxmlformats.org/officeDocument/2006/relationships/hyperlink" Target="https://drive.google.com/open?id=1C5yta8XERV_dp-j1jVM3FahsH_VApazx" TargetMode="External"/><Relationship Id="rId34" Type="http://schemas.openxmlformats.org/officeDocument/2006/relationships/hyperlink" Target="https://drive.google.com/open?id=1qXb8koDwF2kn29clhQizMFKqQMShJq7n" TargetMode="External"/><Relationship Id="rId37" Type="http://schemas.openxmlformats.org/officeDocument/2006/relationships/hyperlink" Target="https://drive.google.com/open?id=17rBbxM7IWHvuLe9Hj0z9ib4P_unf9klW" TargetMode="External"/><Relationship Id="rId36" Type="http://schemas.openxmlformats.org/officeDocument/2006/relationships/hyperlink" Target="https://drive.google.com/open?id=15iZ8DA1M1gLEKjcYiEkWIXrOUcYlVLPD" TargetMode="External"/><Relationship Id="rId39" Type="http://schemas.openxmlformats.org/officeDocument/2006/relationships/hyperlink" Target="https://drive.google.com/open?id=1nvvZXm1y9vTlimMKy7niuxABJoW2nnGR" TargetMode="External"/><Relationship Id="rId38" Type="http://schemas.openxmlformats.org/officeDocument/2006/relationships/hyperlink" Target="https://drive.google.com/open?id=1D17AVos2pD_KuBIMvmYAkgIzFjpa2gW0" TargetMode="External"/><Relationship Id="rId20" Type="http://schemas.openxmlformats.org/officeDocument/2006/relationships/hyperlink" Target="https://drive.google.com/open?id=1CGIDUO5KiQiCmSmzg48laHgxn1Qj8O4S" TargetMode="External"/><Relationship Id="rId22" Type="http://schemas.openxmlformats.org/officeDocument/2006/relationships/hyperlink" Target="https://drive.google.com/open?id=1XG6XpoKgHJIuK-rC99yPlm19kRrlGlpZ" TargetMode="External"/><Relationship Id="rId21" Type="http://schemas.openxmlformats.org/officeDocument/2006/relationships/hyperlink" Target="https://drive.google.com/open?id=1rmJGqYzGVuuSd8uE1kSHhk1vfDdgkFJV" TargetMode="External"/><Relationship Id="rId24" Type="http://schemas.openxmlformats.org/officeDocument/2006/relationships/hyperlink" Target="https://drive.google.com/open?id=1FFGUaHZOgoEqLJqpjtXBCaFby6YMEVGi" TargetMode="External"/><Relationship Id="rId23" Type="http://schemas.openxmlformats.org/officeDocument/2006/relationships/hyperlink" Target="https://drive.google.com/open?id=1Mdq3pE2tntVH615Oe7XgjoqRWKZFEtst" TargetMode="External"/><Relationship Id="rId26" Type="http://schemas.openxmlformats.org/officeDocument/2006/relationships/hyperlink" Target="https://drive.google.com/open?id=1J1CoVTK6WLqAvfzfnTBfDDe5gkQBirtm" TargetMode="External"/><Relationship Id="rId25" Type="http://schemas.openxmlformats.org/officeDocument/2006/relationships/hyperlink" Target="https://drive.google.com/open?id=1Q3MXF6ikM6S-2RtAIflugmwm1NwX9htx" TargetMode="External"/><Relationship Id="rId28" Type="http://schemas.openxmlformats.org/officeDocument/2006/relationships/hyperlink" Target="https://drive.google.com/open?id=1spU2LsVXF0U6aayZbQnOgfV6gI1rBedy" TargetMode="External"/><Relationship Id="rId27" Type="http://schemas.openxmlformats.org/officeDocument/2006/relationships/hyperlink" Target="https://drive.google.com/open?id=1tQzI1sFwpB9NwCMe6lwGSTrOJz8MwaFo" TargetMode="External"/><Relationship Id="rId29" Type="http://schemas.openxmlformats.org/officeDocument/2006/relationships/hyperlink" Target="https://drive.google.com/open?id=1_uaz2wDxHWPvSqQ0TdpyvWGPqwYVvDci" TargetMode="External"/><Relationship Id="rId95" Type="http://schemas.openxmlformats.org/officeDocument/2006/relationships/hyperlink" Target="https://www.mcmaster.com/8812k51" TargetMode="External"/><Relationship Id="rId94" Type="http://schemas.openxmlformats.org/officeDocument/2006/relationships/hyperlink" Target="https://drive.google.com/open?id=1ihusJ-DiZreISb5vISAlrhDE_gQDHvD4" TargetMode="External"/><Relationship Id="rId97" Type="http://schemas.openxmlformats.org/officeDocument/2006/relationships/hyperlink" Target="https://www.mcmaster.com/97135a210" TargetMode="External"/><Relationship Id="rId96" Type="http://schemas.openxmlformats.org/officeDocument/2006/relationships/hyperlink" Target="https://www.mcmaster.com/98750a021" TargetMode="External"/><Relationship Id="rId11" Type="http://schemas.openxmlformats.org/officeDocument/2006/relationships/hyperlink" Target="https://drive.google.com/open?id=15K35jV9WxQmHUaEZr2PeHojzMyImxzkM" TargetMode="External"/><Relationship Id="rId99" Type="http://schemas.openxmlformats.org/officeDocument/2006/relationships/hyperlink" Target="https://www.mcmaster.com/5779k719" TargetMode="External"/><Relationship Id="rId10" Type="http://schemas.openxmlformats.org/officeDocument/2006/relationships/hyperlink" Target="https://drive.google.com/open?id=1zAih9B8GDgVsnWmRULLxlQzSgQuYqHeZ" TargetMode="External"/><Relationship Id="rId98" Type="http://schemas.openxmlformats.org/officeDocument/2006/relationships/hyperlink" Target="https://www.mcmaster.com/6498k062" TargetMode="External"/><Relationship Id="rId13" Type="http://schemas.openxmlformats.org/officeDocument/2006/relationships/hyperlink" Target="https://drive.google.com/open?id=1bdJ9ns6-CuUPH6e-EA8DdvkD2jxBaETV" TargetMode="External"/><Relationship Id="rId12" Type="http://schemas.openxmlformats.org/officeDocument/2006/relationships/hyperlink" Target="https://drive.google.com/open?id=1-dMp_CAW1KVqk_0ZGOH_QEvGDHnSwNlR" TargetMode="External"/><Relationship Id="rId91" Type="http://schemas.openxmlformats.org/officeDocument/2006/relationships/hyperlink" Target="https://www.mcmaster.com/5779k108" TargetMode="External"/><Relationship Id="rId90" Type="http://schemas.openxmlformats.org/officeDocument/2006/relationships/hyperlink" Target="https://drive.google.com/open?id=199f_FtQt7u5K5mbmOvCVGABwWBuKKi4y" TargetMode="External"/><Relationship Id="rId93" Type="http://schemas.openxmlformats.org/officeDocument/2006/relationships/hyperlink" Target="https://www.mcmaster.com/4639k743" TargetMode="External"/><Relationship Id="rId92" Type="http://schemas.openxmlformats.org/officeDocument/2006/relationships/hyperlink" Target="https://drive.google.com/open?id=1Bn6tG0ubFy7fYhXO_6GBBQZDLKhqTVxI" TargetMode="External"/><Relationship Id="rId15" Type="http://schemas.openxmlformats.org/officeDocument/2006/relationships/hyperlink" Target="https://drive.google.com/open?id=1Lzo24uD2x3Fd724ObEwTFdAwTX4I98iN" TargetMode="External"/><Relationship Id="rId14" Type="http://schemas.openxmlformats.org/officeDocument/2006/relationships/hyperlink" Target="https://drive.google.com/open?id=11GLzImQMjyVOKcHgnrQfa_RsutA5upaQ" TargetMode="External"/><Relationship Id="rId17" Type="http://schemas.openxmlformats.org/officeDocument/2006/relationships/hyperlink" Target="https://drive.google.com/open?id=1JRLlKoq7Q6YJiYtDq6vGGAF04ELHjpDS" TargetMode="External"/><Relationship Id="rId16" Type="http://schemas.openxmlformats.org/officeDocument/2006/relationships/hyperlink" Target="https://drive.google.com/open?id=15EONwBHUxUhPonA38wNA8QomMfEkuzki" TargetMode="External"/><Relationship Id="rId19" Type="http://schemas.openxmlformats.org/officeDocument/2006/relationships/hyperlink" Target="https://drive.google.com/open?id=1Xs5DumGkjYO--vLFcwFjdFdRstTMob4K" TargetMode="External"/><Relationship Id="rId18" Type="http://schemas.openxmlformats.org/officeDocument/2006/relationships/hyperlink" Target="https://drive.google.com/open?id=1iROIOWN2H3OVrmbOyx4elAgc0Su02Uvn" TargetMode="External"/><Relationship Id="rId84" Type="http://schemas.openxmlformats.org/officeDocument/2006/relationships/hyperlink" Target="https://drive.google.com/open?id=1ErcT4ittw364iT_0V8NW0wNHYt2Jz913" TargetMode="External"/><Relationship Id="rId83" Type="http://schemas.openxmlformats.org/officeDocument/2006/relationships/hyperlink" Target="https://drive.google.com/open?id=1-8d2rEScTrcY30d6uPSrBlAx7ZYzCsaH" TargetMode="External"/><Relationship Id="rId86" Type="http://schemas.openxmlformats.org/officeDocument/2006/relationships/hyperlink" Target="https://drive.google.com/open?id=1sMU4cl8eloBCh1lyWnvcPLunAN3eC52e" TargetMode="External"/><Relationship Id="rId85" Type="http://schemas.openxmlformats.org/officeDocument/2006/relationships/hyperlink" Target="https://drive.google.com/open?id=14eou7lPrclsgoEfLqcDs671F5BBD4Jii" TargetMode="External"/><Relationship Id="rId88" Type="http://schemas.openxmlformats.org/officeDocument/2006/relationships/hyperlink" Target="https://drive.google.com/open?id=10pruX2e27oLQEPGV0w7FRwPapK0YbzbM" TargetMode="External"/><Relationship Id="rId87" Type="http://schemas.openxmlformats.org/officeDocument/2006/relationships/hyperlink" Target="https://drive.google.com/open?id=1ZUM5K3U5kofhrFQYyM7bgL2BY_4AqcGQ" TargetMode="External"/><Relationship Id="rId89" Type="http://schemas.openxmlformats.org/officeDocument/2006/relationships/hyperlink" Target="https://drive.google.com/open?id=1Hio-FWNOEpgrsXQwVHdLrf_2fXxrw55I" TargetMode="External"/><Relationship Id="rId80" Type="http://schemas.openxmlformats.org/officeDocument/2006/relationships/hyperlink" Target="https://drive.google.com/open?id=1iVDrLgyZJ0BuVDNMw3BzIVrhGUIKz1mM" TargetMode="External"/><Relationship Id="rId82" Type="http://schemas.openxmlformats.org/officeDocument/2006/relationships/hyperlink" Target="https://drive.google.com/drive/folders/1pEUuzC4hwV5AJEftRQrDAZ70En_CcXPE" TargetMode="External"/><Relationship Id="rId81" Type="http://schemas.openxmlformats.org/officeDocument/2006/relationships/hyperlink" Target="https://drive.google.com/drive/folders/1pEUuzC4hwV5AJEftRQrDAZ70En_CcXPE" TargetMode="External"/><Relationship Id="rId1" Type="http://schemas.openxmlformats.org/officeDocument/2006/relationships/hyperlink" Target="https://drive.google.com/open?id=1noHuwCSEkvqI1xknd8j9MHQTjYJJ14jH" TargetMode="External"/><Relationship Id="rId2" Type="http://schemas.openxmlformats.org/officeDocument/2006/relationships/hyperlink" Target="https://drive.google.com/open?id=1J1JgiIaDe-UVmuuoyPsjyfWX5h_Xqv0Y" TargetMode="External"/><Relationship Id="rId3" Type="http://schemas.openxmlformats.org/officeDocument/2006/relationships/hyperlink" Target="https://drive.google.com/open?id=1jDjs2Hw2T3HGTmtF-s-Qxh8RlcR6SeOB" TargetMode="External"/><Relationship Id="rId4" Type="http://schemas.openxmlformats.org/officeDocument/2006/relationships/hyperlink" Target="https://drive.google.com/open?id=1cKiYH51b5fbb80OGpfzp98Lk2H6ysmut" TargetMode="External"/><Relationship Id="rId9" Type="http://schemas.openxmlformats.org/officeDocument/2006/relationships/hyperlink" Target="https://drive.google.com/open?id=1fngf05DfW2_i1JEiQBInp8snbbK4DQBc" TargetMode="External"/><Relationship Id="rId5" Type="http://schemas.openxmlformats.org/officeDocument/2006/relationships/hyperlink" Target="https://drive.google.com/open?id=1zK9wBxFYlzhDcqrwu8CuXhBkB0_S0GAu" TargetMode="External"/><Relationship Id="rId6" Type="http://schemas.openxmlformats.org/officeDocument/2006/relationships/hyperlink" Target="https://drive.google.com/open?id=1C5nQF59g-MMyCO5AG2QPSsBEU7dq7nNm" TargetMode="External"/><Relationship Id="rId7" Type="http://schemas.openxmlformats.org/officeDocument/2006/relationships/hyperlink" Target="https://drive.google.com/open?id=1lS8FcEh-06_VJIh0zEmOw0zsHaHcvpWs" TargetMode="External"/><Relationship Id="rId8" Type="http://schemas.openxmlformats.org/officeDocument/2006/relationships/hyperlink" Target="https://drive.google.com/open?id=1CIDYVvDB-IQ5QeciZEDx2vJYQe8JuR0J" TargetMode="External"/><Relationship Id="rId73" Type="http://schemas.openxmlformats.org/officeDocument/2006/relationships/hyperlink" Target="https://drive.google.com/open?id=1MXPy_H_8nb0gZgMKvIbv58IVEqk79OC5" TargetMode="External"/><Relationship Id="rId72" Type="http://schemas.openxmlformats.org/officeDocument/2006/relationships/hyperlink" Target="https://drive.google.com/open?id=1rHOMWHSBCMrWoFDgI5eZ8TtWKP2x-YB-" TargetMode="External"/><Relationship Id="rId75" Type="http://schemas.openxmlformats.org/officeDocument/2006/relationships/hyperlink" Target="https://drive.google.com/open?id=1ID7lxaHNJaGuOC4xqdOu7FTZRE0WjWlj" TargetMode="External"/><Relationship Id="rId74" Type="http://schemas.openxmlformats.org/officeDocument/2006/relationships/hyperlink" Target="https://www.mcmaster.com/98410a635" TargetMode="External"/><Relationship Id="rId77" Type="http://schemas.openxmlformats.org/officeDocument/2006/relationships/hyperlink" Target="https://drive.google.com/open?id=1a1cG9qhm7BfZv-TaTQbMpXKwkqz_Npgz" TargetMode="External"/><Relationship Id="rId76" Type="http://schemas.openxmlformats.org/officeDocument/2006/relationships/hyperlink" Target="https://drive.google.com/a/ucsd.edu/file/d/1Vr3II1KqXhF-xAiMwPCvfRcz0H-Kb3Pr/view?usp=sharing" TargetMode="External"/><Relationship Id="rId79" Type="http://schemas.openxmlformats.org/officeDocument/2006/relationships/hyperlink" Target="https://drive.google.com/open?id=1L_VDXrAO2k-YRY5Yj2vtx8Og3Xi5GBfG" TargetMode="External"/><Relationship Id="rId78" Type="http://schemas.openxmlformats.org/officeDocument/2006/relationships/hyperlink" Target="https://drive.google.com/drive/folders/1pEUuzC4hwV5AJEftRQrDAZ70En_CcXPE" TargetMode="External"/><Relationship Id="rId71" Type="http://schemas.openxmlformats.org/officeDocument/2006/relationships/hyperlink" Target="https://drive.google.com/open?id=1BmDLdiBl-Mf_niiGL_JTUYG8CC4aqm67" TargetMode="External"/><Relationship Id="rId70" Type="http://schemas.openxmlformats.org/officeDocument/2006/relationships/hyperlink" Target="https://drive.google.com/open?id=1ldDgzm3Ia5VoYTBaC3hh5QAssfw5WuXg" TargetMode="External"/><Relationship Id="rId62" Type="http://schemas.openxmlformats.org/officeDocument/2006/relationships/hyperlink" Target="https://drive.google.com/open?id=1Yvgxqbqpe6AMNrbDvi0h6uv4kb6Ib-lw" TargetMode="External"/><Relationship Id="rId61" Type="http://schemas.openxmlformats.org/officeDocument/2006/relationships/hyperlink" Target="https://drive.google.com/drive/folders/1pEUuzC4hwV5AJEftRQrDAZ70En_CcXPE" TargetMode="External"/><Relationship Id="rId64" Type="http://schemas.openxmlformats.org/officeDocument/2006/relationships/hyperlink" Target="https://drive.google.com/open?id=1D2A7hkSoCoexP5Az5SYoZF8pVAgubLc3" TargetMode="External"/><Relationship Id="rId63" Type="http://schemas.openxmlformats.org/officeDocument/2006/relationships/hyperlink" Target="https://drive.google.com/open?id=1cE8YBG4wDMDCs2zqMb-fSo5vK32LZOsj" TargetMode="External"/><Relationship Id="rId66" Type="http://schemas.openxmlformats.org/officeDocument/2006/relationships/hyperlink" Target="https://drive.google.com/open?id=1Yft2rf4xQEN7RIsf2WD4FcXWjomWjTup" TargetMode="External"/><Relationship Id="rId65" Type="http://schemas.openxmlformats.org/officeDocument/2006/relationships/hyperlink" Target="https://drive.google.com/open?id=1skyeXrpwGuMjWgwwdAPSmkrsirkCmVjd" TargetMode="External"/><Relationship Id="rId68" Type="http://schemas.openxmlformats.org/officeDocument/2006/relationships/hyperlink" Target="https://drive.google.com/open?id=1nAXawmVfOH65yJJ4qlp_0ixmck91Sj6V" TargetMode="External"/><Relationship Id="rId67" Type="http://schemas.openxmlformats.org/officeDocument/2006/relationships/hyperlink" Target="https://drive.google.com/open?id=1ZK9eIHxp6rRyuLEjPatx6aGunVLGN3tg" TargetMode="External"/><Relationship Id="rId60" Type="http://schemas.openxmlformats.org/officeDocument/2006/relationships/hyperlink" Target="https://drive.google.com/open?id=1qoVaKBtErMi4gwbuTdwJo4kUs-86QIvG" TargetMode="External"/><Relationship Id="rId69" Type="http://schemas.openxmlformats.org/officeDocument/2006/relationships/hyperlink" Target="https://drive.google.com/open?id=1ZXm_kdsS9dA8Ytr5xoM5u2WuCoqxHMGK" TargetMode="External"/><Relationship Id="rId51" Type="http://schemas.openxmlformats.org/officeDocument/2006/relationships/hyperlink" Target="https://drive.google.com/open?id=1uEVOY-WevWrcxvUoJ1uclQ2g_78pwk0V" TargetMode="External"/><Relationship Id="rId50" Type="http://schemas.openxmlformats.org/officeDocument/2006/relationships/hyperlink" Target="https://drive.google.com/open?id=1u3Qeqo5i97_3e2TVO8i2h7tVJLr7NgSk" TargetMode="External"/><Relationship Id="rId53" Type="http://schemas.openxmlformats.org/officeDocument/2006/relationships/hyperlink" Target="https://drive.google.com/drive/folders/1pEUuzC4hwV5AJEftRQrDAZ70En_CcXPE" TargetMode="External"/><Relationship Id="rId52" Type="http://schemas.openxmlformats.org/officeDocument/2006/relationships/hyperlink" Target="https://drive.google.com/drive/folders/1pEUuzC4hwV5AJEftRQrDAZ70En_CcXPE" TargetMode="External"/><Relationship Id="rId55" Type="http://schemas.openxmlformats.org/officeDocument/2006/relationships/hyperlink" Target="https://drive.google.com/open?id=1q7E5aqa81i1id0B4_hOoQfY6NldI5RWU" TargetMode="External"/><Relationship Id="rId54" Type="http://schemas.openxmlformats.org/officeDocument/2006/relationships/hyperlink" Target="https://drive.google.com/drive/folders/1pEUuzC4hwV5AJEftRQrDAZ70En_CcXPE" TargetMode="External"/><Relationship Id="rId57" Type="http://schemas.openxmlformats.org/officeDocument/2006/relationships/hyperlink" Target="https://drive.google.com/open?id=1jPYmlH39Pi5FwMlNYUSL4o89O9IlUN6m" TargetMode="External"/><Relationship Id="rId56" Type="http://schemas.openxmlformats.org/officeDocument/2006/relationships/hyperlink" Target="https://drive.google.com/open?id=1efGx18s076OS1gfDDfIvAtqg9FlMlRHO" TargetMode="External"/><Relationship Id="rId59" Type="http://schemas.openxmlformats.org/officeDocument/2006/relationships/hyperlink" Target="https://drive.google.com/open?id=1tPmeflqazjcNnntDosmGCqzwQ1SngCpD" TargetMode="External"/><Relationship Id="rId58" Type="http://schemas.openxmlformats.org/officeDocument/2006/relationships/hyperlink" Target="https://drive.google.com/open?id=17CnaL4x1WMZyE3c5h1o8FyzrN_xbPw2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0"/>
    <col customWidth="1" hidden="1" min="2" max="2" width="8.0"/>
    <col customWidth="1" min="3" max="3" width="17.29"/>
    <col customWidth="1" min="4" max="4" width="11.29"/>
    <col customWidth="1" min="5" max="5" width="18.29"/>
    <col customWidth="1" min="6" max="6" width="15.14"/>
    <col customWidth="1" min="7" max="7" width="16.71"/>
    <col customWidth="1" min="8" max="8" width="15.71"/>
    <col customWidth="1" min="9" max="9" width="16.14"/>
    <col customWidth="1" min="10" max="10" width="12.0"/>
    <col customWidth="1" min="11" max="11" width="8.29"/>
    <col customWidth="1" min="12" max="12" width="18.57"/>
    <col customWidth="1" min="13" max="13" width="17.14"/>
    <col customWidth="1" min="14" max="14" width="11.14"/>
  </cols>
  <sheetData>
    <row r="1">
      <c r="A1" s="1"/>
      <c r="B1" s="1"/>
      <c r="C1" s="3" t="s">
        <v>0</v>
      </c>
      <c r="D1" s="4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5" t="s">
        <v>6</v>
      </c>
      <c r="J1" s="3" t="s">
        <v>7</v>
      </c>
      <c r="K1" s="3" t="s">
        <v>8</v>
      </c>
      <c r="L1" s="6" t="s">
        <v>9</v>
      </c>
      <c r="M1" s="6" t="s">
        <v>10</v>
      </c>
      <c r="N1" s="6" t="s">
        <v>11</v>
      </c>
      <c r="O1" s="3" t="s">
        <v>12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ht="17.25" customHeight="1">
      <c r="A2" s="7"/>
      <c r="B2" s="8"/>
      <c r="C2" s="9">
        <f>IFERROR(__xludf.DUMMYFUNCTION("Filter('Hidden Magic Sheet '!1:2000,'Hidden Magic Sheet '!B:B&gt;0)"),10001.0)</f>
        <v>10001</v>
      </c>
      <c r="D2" s="9" t="str">
        <f>IFERROR(__xludf.DUMMYFUNCTION("""COMPUTED_VALUE"""),"R14")</f>
        <v>R14</v>
      </c>
      <c r="E2" s="13" t="str">
        <f>IFERROR(__xludf.DUMMYFUNCTION("""COMPUTED_VALUE"""),"Marginal_Stability_Assembly")</f>
        <v>Marginal_Stability_Assembly</v>
      </c>
      <c r="F2" s="2" t="str">
        <f>IFERROR(__xludf.DUMMYFUNCTION("""COMPUTED_VALUE"""),"Structures")</f>
        <v>Structures</v>
      </c>
      <c r="G2" s="2" t="str">
        <f>IFERROR(__xludf.DUMMYFUNCTION("""COMPUTED_VALUE"""),"SolidWorks")</f>
        <v>SolidWorks</v>
      </c>
      <c r="H2" s="2" t="str">
        <f>IFERROR(__xludf.DUMMYFUNCTION("""COMPUTED_VALUE"""),"Marginal Stability")</f>
        <v>Marginal Stability</v>
      </c>
      <c r="I2" s="12" t="str">
        <f>IFERROR(__xludf.DUMMYFUNCTION("""COMPUTED_VALUE"""),"Primary 8"" vehicle assembly with current versions of parts")</f>
        <v>Primary 8" vehicle assembly with current versions of parts</v>
      </c>
      <c r="J2" s="2" t="str">
        <f>IFERROR(__xludf.DUMMYFUNCTION("""COMPUTED_VALUE"""),"Multiple")</f>
        <v>Multiple</v>
      </c>
      <c r="K2" s="2" t="str">
        <f>IFERROR(__xludf.DUMMYFUNCTION("""COMPUTED_VALUE"""),"Imperial")</f>
        <v>Imperial</v>
      </c>
      <c r="L2" s="14" t="str">
        <f>IFERROR(__xludf.DUMMYFUNCTION("""COMPUTED_VALUE"""),"Joshua Elmer")</f>
        <v>Joshua Elmer</v>
      </c>
      <c r="M2" s="16">
        <f>IFERROR(__xludf.DUMMYFUNCTION("""COMPUTED_VALUE"""),43382.0)</f>
        <v>43382</v>
      </c>
      <c r="N2" s="17" t="str">
        <f>IFERROR(__xludf.DUMMYFUNCTION("""COMPUTED_VALUE"""),"https://drive.google.com/open?id=1noHuwCSEkvqI1xknd8j9MHQTjYJJ14jH")</f>
        <v>https://drive.google.com/open?id=1noHuwCSEkvqI1xknd8j9MHQTjYJJ14jH</v>
      </c>
      <c r="O2" s="18" t="str">
        <f>IFERROR(__xludf.DUMMYFUNCTION("""COMPUTED_VALUE"""),"In progress")</f>
        <v>In progress</v>
      </c>
      <c r="P2" s="1" t="str">
        <f>IFERROR(__xludf.DUMMYFUNCTION("""COMPUTED_VALUE"""),"")</f>
        <v/>
      </c>
      <c r="Q2" s="1" t="str">
        <f>IFERROR(__xludf.DUMMYFUNCTION("""COMPUTED_VALUE"""),"")</f>
        <v/>
      </c>
      <c r="R2" s="1" t="str">
        <f>IFERROR(__xludf.DUMMYFUNCTION("""COMPUTED_VALUE"""),"")</f>
        <v/>
      </c>
      <c r="S2" s="1" t="str">
        <f>IFERROR(__xludf.DUMMYFUNCTION("""COMPUTED_VALUE"""),"")</f>
        <v/>
      </c>
      <c r="T2" s="1" t="str">
        <f>IFERROR(__xludf.DUMMYFUNCTION("""COMPUTED_VALUE"""),"")</f>
        <v/>
      </c>
      <c r="U2" s="1" t="str">
        <f>IFERROR(__xludf.DUMMYFUNCTION("""COMPUTED_VALUE"""),"")</f>
        <v/>
      </c>
      <c r="V2" s="1" t="str">
        <f>IFERROR(__xludf.DUMMYFUNCTION("""COMPUTED_VALUE"""),"")</f>
        <v/>
      </c>
      <c r="W2" s="1" t="str">
        <f>IFERROR(__xludf.DUMMYFUNCTION("""COMPUTED_VALUE"""),"")</f>
        <v/>
      </c>
      <c r="X2" s="1" t="str">
        <f>IFERROR(__xludf.DUMMYFUNCTION("""COMPUTED_VALUE"""),"")</f>
        <v/>
      </c>
      <c r="Y2" s="1" t="str">
        <f>IFERROR(__xludf.DUMMYFUNCTION("""COMPUTED_VALUE"""),"")</f>
        <v/>
      </c>
      <c r="Z2" s="1" t="str">
        <f>IFERROR(__xludf.DUMMYFUNCTION("""COMPUTED_VALUE"""),"")</f>
        <v/>
      </c>
      <c r="AA2" s="1" t="str">
        <f>IFERROR(__xludf.DUMMYFUNCTION("""COMPUTED_VALUE"""),"")</f>
        <v/>
      </c>
      <c r="AB2" s="1" t="str">
        <f>IFERROR(__xludf.DUMMYFUNCTION("""COMPUTED_VALUE"""),"")</f>
        <v/>
      </c>
      <c r="AC2" s="1"/>
      <c r="AD2" s="1"/>
      <c r="AE2" s="1"/>
      <c r="AF2" s="1"/>
      <c r="AG2" s="1"/>
      <c r="AH2" s="1"/>
      <c r="AI2" s="1"/>
      <c r="AJ2" s="1"/>
    </row>
    <row r="3">
      <c r="A3" s="7"/>
      <c r="B3" s="8"/>
      <c r="C3" s="9">
        <f>IFERROR(__xludf.DUMMYFUNCTION("""COMPUTED_VALUE"""),10002.0)</f>
        <v>10002</v>
      </c>
      <c r="D3" s="10" t="str">
        <f>IFERROR(__xludf.DUMMYFUNCTION("""COMPUTED_VALUE"""),"R03")</f>
        <v>R03</v>
      </c>
      <c r="E3" s="11" t="str">
        <f>IFERROR(__xludf.DUMMYFUNCTION("""COMPUTED_VALUE"""),"Fin_Assembly")</f>
        <v>Fin_Assembly</v>
      </c>
      <c r="F3" s="2" t="str">
        <f>IFERROR(__xludf.DUMMYFUNCTION("""COMPUTED_VALUE"""),"Structures")</f>
        <v>Structures</v>
      </c>
      <c r="G3" s="2" t="str">
        <f>IFERROR(__xludf.DUMMYFUNCTION("""COMPUTED_VALUE"""),"SolidWorks")</f>
        <v>SolidWorks</v>
      </c>
      <c r="H3" s="2" t="str">
        <f>IFERROR(__xludf.DUMMYFUNCTION("""COMPUTED_VALUE"""),"Marginal Stability")</f>
        <v>Marginal Stability</v>
      </c>
      <c r="I3" s="12" t="str">
        <f>IFERROR(__xludf.DUMMYFUNCTION("""COMPUTED_VALUE"""),"Assembly of fins")</f>
        <v>Assembly of fins</v>
      </c>
      <c r="J3" s="2" t="str">
        <f>IFERROR(__xludf.DUMMYFUNCTION("""COMPUTED_VALUE"""),"Multiple")</f>
        <v>Multiple</v>
      </c>
      <c r="K3" s="2" t="str">
        <f>IFERROR(__xludf.DUMMYFUNCTION("""COMPUTED_VALUE"""),"Imperial")</f>
        <v>Imperial</v>
      </c>
      <c r="L3" s="14" t="str">
        <f>IFERROR(__xludf.DUMMYFUNCTION("""COMPUTED_VALUE"""),"Harrison McCorkle")</f>
        <v>Harrison McCorkle</v>
      </c>
      <c r="M3" s="15">
        <f>IFERROR(__xludf.DUMMYFUNCTION("""COMPUTED_VALUE"""),43396.0)</f>
        <v>43396</v>
      </c>
      <c r="N3" s="17" t="str">
        <f>IFERROR(__xludf.DUMMYFUNCTION("""COMPUTED_VALUE"""),"https://drive.google.com/open?id=1J1JgiIaDe-UVmuuoyPsjyfWX5h_Xqv0Y")</f>
        <v>https://drive.google.com/open?id=1J1JgiIaDe-UVmuuoyPsjyfWX5h_Xqv0Y</v>
      </c>
      <c r="O3" s="18" t="str">
        <f>IFERROR(__xludf.DUMMYFUNCTION("""COMPUTED_VALUE"""),"In progress")</f>
        <v>In progress</v>
      </c>
      <c r="P3" s="1" t="str">
        <f>IFERROR(__xludf.DUMMYFUNCTION("""COMPUTED_VALUE"""),"")</f>
        <v/>
      </c>
      <c r="Q3" s="1" t="str">
        <f>IFERROR(__xludf.DUMMYFUNCTION("""COMPUTED_VALUE"""),"")</f>
        <v/>
      </c>
      <c r="R3" s="1" t="str">
        <f>IFERROR(__xludf.DUMMYFUNCTION("""COMPUTED_VALUE"""),"")</f>
        <v/>
      </c>
      <c r="S3" s="1" t="str">
        <f>IFERROR(__xludf.DUMMYFUNCTION("""COMPUTED_VALUE"""),"")</f>
        <v/>
      </c>
      <c r="T3" s="1" t="str">
        <f>IFERROR(__xludf.DUMMYFUNCTION("""COMPUTED_VALUE"""),"")</f>
        <v/>
      </c>
      <c r="U3" s="1" t="str">
        <f>IFERROR(__xludf.DUMMYFUNCTION("""COMPUTED_VALUE"""),"")</f>
        <v/>
      </c>
      <c r="V3" s="1" t="str">
        <f>IFERROR(__xludf.DUMMYFUNCTION("""COMPUTED_VALUE"""),"")</f>
        <v/>
      </c>
      <c r="W3" s="1" t="str">
        <f>IFERROR(__xludf.DUMMYFUNCTION("""COMPUTED_VALUE"""),"")</f>
        <v/>
      </c>
      <c r="X3" s="1" t="str">
        <f>IFERROR(__xludf.DUMMYFUNCTION("""COMPUTED_VALUE"""),"")</f>
        <v/>
      </c>
      <c r="Y3" s="1" t="str">
        <f>IFERROR(__xludf.DUMMYFUNCTION("""COMPUTED_VALUE"""),"")</f>
        <v/>
      </c>
      <c r="Z3" s="1" t="str">
        <f>IFERROR(__xludf.DUMMYFUNCTION("""COMPUTED_VALUE"""),"")</f>
        <v/>
      </c>
      <c r="AA3" s="1" t="str">
        <f>IFERROR(__xludf.DUMMYFUNCTION("""COMPUTED_VALUE"""),"")</f>
        <v/>
      </c>
      <c r="AB3" s="1" t="str">
        <f>IFERROR(__xludf.DUMMYFUNCTION("""COMPUTED_VALUE"""),"")</f>
        <v/>
      </c>
      <c r="AC3" s="1"/>
      <c r="AD3" s="1"/>
      <c r="AE3" s="1"/>
      <c r="AF3" s="1"/>
      <c r="AG3" s="1"/>
      <c r="AH3" s="1"/>
      <c r="AI3" s="1"/>
      <c r="AJ3" s="1"/>
    </row>
    <row r="4">
      <c r="A4" s="7"/>
      <c r="B4" s="8"/>
      <c r="C4" s="9">
        <f>IFERROR(__xludf.DUMMYFUNCTION("""COMPUTED_VALUE"""),10003.0)</f>
        <v>10003</v>
      </c>
      <c r="D4" s="10" t="str">
        <f>IFERROR(__xludf.DUMMYFUNCTION("""COMPUTED_VALUE"""),"R02")</f>
        <v>R02</v>
      </c>
      <c r="E4" s="11" t="str">
        <f>IFERROR(__xludf.DUMMYFUNCTION("""COMPUTED_VALUE"""),"Nose_Cone")</f>
        <v>Nose_Cone</v>
      </c>
      <c r="F4" s="2" t="str">
        <f>IFERROR(__xludf.DUMMYFUNCTION("""COMPUTED_VALUE"""),"Structures")</f>
        <v>Structures</v>
      </c>
      <c r="G4" s="2" t="str">
        <f>IFERROR(__xludf.DUMMYFUNCTION("""COMPUTED_VALUE"""),"SolidWorks")</f>
        <v>SolidWorks</v>
      </c>
      <c r="H4" s="2" t="str">
        <f>IFERROR(__xludf.DUMMYFUNCTION("""COMPUTED_VALUE"""),"Marginal Stability")</f>
        <v>Marginal Stability</v>
      </c>
      <c r="I4" s="12" t="str">
        <f>IFERROR(__xludf.DUMMYFUNCTION("""COMPUTED_VALUE"""),"Assembly of Nose Cone")</f>
        <v>Assembly of Nose Cone</v>
      </c>
      <c r="J4" s="2" t="str">
        <f>IFERROR(__xludf.DUMMYFUNCTION("""COMPUTED_VALUE"""),"Multiple")</f>
        <v>Multiple</v>
      </c>
      <c r="K4" s="2" t="str">
        <f>IFERROR(__xludf.DUMMYFUNCTION("""COMPUTED_VALUE"""),"Imperial")</f>
        <v>Imperial</v>
      </c>
      <c r="L4" s="14" t="str">
        <f>IFERROR(__xludf.DUMMYFUNCTION("""COMPUTED_VALUE"""),"Mathew Lok")</f>
        <v>Mathew Lok</v>
      </c>
      <c r="M4" s="15">
        <f>IFERROR(__xludf.DUMMYFUNCTION("""COMPUTED_VALUE"""),43386.0)</f>
        <v>43386</v>
      </c>
      <c r="N4" s="17" t="str">
        <f>IFERROR(__xludf.DUMMYFUNCTION("""COMPUTED_VALUE"""),"https://drive.google.com/open?id=1jDjs2Hw2T3HGTmtF-s-Qxh8RlcR6SeOB")</f>
        <v>https://drive.google.com/open?id=1jDjs2Hw2T3HGTmtF-s-Qxh8RlcR6SeOB</v>
      </c>
      <c r="O4" s="18" t="str">
        <f>IFERROR(__xludf.DUMMYFUNCTION("""COMPUTED_VALUE"""),"In progress")</f>
        <v>In progress</v>
      </c>
      <c r="P4" s="1" t="str">
        <f>IFERROR(__xludf.DUMMYFUNCTION("""COMPUTED_VALUE"""),"")</f>
        <v/>
      </c>
      <c r="Q4" s="1" t="str">
        <f>IFERROR(__xludf.DUMMYFUNCTION("""COMPUTED_VALUE"""),"")</f>
        <v/>
      </c>
      <c r="R4" s="1" t="str">
        <f>IFERROR(__xludf.DUMMYFUNCTION("""COMPUTED_VALUE"""),"")</f>
        <v/>
      </c>
      <c r="S4" s="1" t="str">
        <f>IFERROR(__xludf.DUMMYFUNCTION("""COMPUTED_VALUE"""),"")</f>
        <v/>
      </c>
      <c r="T4" s="1" t="str">
        <f>IFERROR(__xludf.DUMMYFUNCTION("""COMPUTED_VALUE"""),"")</f>
        <v/>
      </c>
      <c r="U4" s="1" t="str">
        <f>IFERROR(__xludf.DUMMYFUNCTION("""COMPUTED_VALUE"""),"")</f>
        <v/>
      </c>
      <c r="V4" s="1" t="str">
        <f>IFERROR(__xludf.DUMMYFUNCTION("""COMPUTED_VALUE"""),"")</f>
        <v/>
      </c>
      <c r="W4" s="1" t="str">
        <f>IFERROR(__xludf.DUMMYFUNCTION("""COMPUTED_VALUE"""),"")</f>
        <v/>
      </c>
      <c r="X4" s="1" t="str">
        <f>IFERROR(__xludf.DUMMYFUNCTION("""COMPUTED_VALUE"""),"")</f>
        <v/>
      </c>
      <c r="Y4" s="1" t="str">
        <f>IFERROR(__xludf.DUMMYFUNCTION("""COMPUTED_VALUE"""),"")</f>
        <v/>
      </c>
      <c r="Z4" s="1" t="str">
        <f>IFERROR(__xludf.DUMMYFUNCTION("""COMPUTED_VALUE"""),"")</f>
        <v/>
      </c>
      <c r="AA4" s="1" t="str">
        <f>IFERROR(__xludf.DUMMYFUNCTION("""COMPUTED_VALUE"""),"")</f>
        <v/>
      </c>
      <c r="AB4" s="1" t="str">
        <f>IFERROR(__xludf.DUMMYFUNCTION("""COMPUTED_VALUE"""),"")</f>
        <v/>
      </c>
      <c r="AC4" s="1"/>
      <c r="AD4" s="1"/>
      <c r="AE4" s="1"/>
      <c r="AF4" s="1"/>
      <c r="AG4" s="1"/>
      <c r="AH4" s="1"/>
      <c r="AI4" s="1"/>
      <c r="AJ4" s="1"/>
    </row>
    <row r="5">
      <c r="A5" s="7"/>
      <c r="B5" s="8"/>
      <c r="C5" s="9">
        <f>IFERROR(__xludf.DUMMYFUNCTION("""COMPUTED_VALUE"""),10004.0)</f>
        <v>10004</v>
      </c>
      <c r="D5" s="10" t="str">
        <f>IFERROR(__xludf.DUMMYFUNCTION("""COMPUTED_VALUE"""),"R01")</f>
        <v>R01</v>
      </c>
      <c r="E5" s="11" t="str">
        <f>IFERROR(__xludf.DUMMYFUNCTION("""COMPUTED_VALUE"""),"Recovery_System")</f>
        <v>Recovery_System</v>
      </c>
      <c r="F5" s="2" t="str">
        <f>IFERROR(__xludf.DUMMYFUNCTION("""COMPUTED_VALUE"""),"Structures")</f>
        <v>Structures</v>
      </c>
      <c r="G5" s="2" t="str">
        <f>IFERROR(__xludf.DUMMYFUNCTION("""COMPUTED_VALUE"""),"SolidWorks")</f>
        <v>SolidWorks</v>
      </c>
      <c r="H5" s="2" t="str">
        <f>IFERROR(__xludf.DUMMYFUNCTION("""COMPUTED_VALUE"""),"Marginal Stability")</f>
        <v>Marginal Stability</v>
      </c>
      <c r="I5" s="12" t="str">
        <f>IFERROR(__xludf.DUMMYFUNCTION("""COMPUTED_VALUE"""),"Recovery System meant to push off nose cone and attatch parachute to the rocket")</f>
        <v>Recovery System meant to push off nose cone and attatch parachute to the rocket</v>
      </c>
      <c r="J5" s="2" t="str">
        <f>IFERROR(__xludf.DUMMYFUNCTION("""COMPUTED_VALUE"""),"Multiple")</f>
        <v>Multiple</v>
      </c>
      <c r="K5" s="2" t="str">
        <f>IFERROR(__xludf.DUMMYFUNCTION("""COMPUTED_VALUE"""),"Imperial")</f>
        <v>Imperial</v>
      </c>
      <c r="L5" s="14" t="str">
        <f>IFERROR(__xludf.DUMMYFUNCTION("""COMPUTED_VALUE"""),"Bryce Borders")</f>
        <v>Bryce Borders</v>
      </c>
      <c r="M5" s="15">
        <f>IFERROR(__xludf.DUMMYFUNCTION("""COMPUTED_VALUE"""),43407.0)</f>
        <v>43407</v>
      </c>
      <c r="N5" s="17" t="str">
        <f>IFERROR(__xludf.DUMMYFUNCTION("""COMPUTED_VALUE"""),"https://drive.google.com/open?id=1cKiYH51b5fbb80OGpfzp98Lk2H6ysmut")</f>
        <v>https://drive.google.com/open?id=1cKiYH51b5fbb80OGpfzp98Lk2H6ysmut</v>
      </c>
      <c r="O5" s="18" t="str">
        <f>IFERROR(__xludf.DUMMYFUNCTION("""COMPUTED_VALUE"""),"In progress")</f>
        <v>In progress</v>
      </c>
      <c r="P5" s="1" t="str">
        <f>IFERROR(__xludf.DUMMYFUNCTION("""COMPUTED_VALUE"""),"")</f>
        <v/>
      </c>
      <c r="Q5" s="1" t="str">
        <f>IFERROR(__xludf.DUMMYFUNCTION("""COMPUTED_VALUE"""),"")</f>
        <v/>
      </c>
      <c r="R5" s="1" t="str">
        <f>IFERROR(__xludf.DUMMYFUNCTION("""COMPUTED_VALUE"""),"")</f>
        <v/>
      </c>
      <c r="S5" s="1" t="str">
        <f>IFERROR(__xludf.DUMMYFUNCTION("""COMPUTED_VALUE"""),"")</f>
        <v/>
      </c>
      <c r="T5" s="1" t="str">
        <f>IFERROR(__xludf.DUMMYFUNCTION("""COMPUTED_VALUE"""),"")</f>
        <v/>
      </c>
      <c r="U5" s="1" t="str">
        <f>IFERROR(__xludf.DUMMYFUNCTION("""COMPUTED_VALUE"""),"")</f>
        <v/>
      </c>
      <c r="V5" s="1" t="str">
        <f>IFERROR(__xludf.DUMMYFUNCTION("""COMPUTED_VALUE"""),"")</f>
        <v/>
      </c>
      <c r="W5" s="1" t="str">
        <f>IFERROR(__xludf.DUMMYFUNCTION("""COMPUTED_VALUE"""),"")</f>
        <v/>
      </c>
      <c r="X5" s="1" t="str">
        <f>IFERROR(__xludf.DUMMYFUNCTION("""COMPUTED_VALUE"""),"")</f>
        <v/>
      </c>
      <c r="Y5" s="1" t="str">
        <f>IFERROR(__xludf.DUMMYFUNCTION("""COMPUTED_VALUE"""),"")</f>
        <v/>
      </c>
      <c r="Z5" s="1" t="str">
        <f>IFERROR(__xludf.DUMMYFUNCTION("""COMPUTED_VALUE"""),"")</f>
        <v/>
      </c>
      <c r="AA5" s="1" t="str">
        <f>IFERROR(__xludf.DUMMYFUNCTION("""COMPUTED_VALUE"""),"")</f>
        <v/>
      </c>
      <c r="AB5" s="1" t="str">
        <f>IFERROR(__xludf.DUMMYFUNCTION("""COMPUTED_VALUE"""),"")</f>
        <v/>
      </c>
      <c r="AC5" s="1"/>
      <c r="AD5" s="1"/>
      <c r="AE5" s="1"/>
      <c r="AF5" s="1"/>
      <c r="AG5" s="1"/>
      <c r="AH5" s="1"/>
      <c r="AI5" s="1"/>
      <c r="AJ5" s="1"/>
    </row>
    <row r="6">
      <c r="A6" s="7"/>
      <c r="B6" s="8"/>
      <c r="C6" s="9">
        <f>IFERROR(__xludf.DUMMYFUNCTION("""COMPUTED_VALUE"""),10005.0)</f>
        <v>10005</v>
      </c>
      <c r="D6" s="10" t="str">
        <f>IFERROR(__xludf.DUMMYFUNCTION("""COMPUTED_VALUE"""),"R02")</f>
        <v>R02</v>
      </c>
      <c r="E6" s="11" t="str">
        <f>IFERROR(__xludf.DUMMYFUNCTION("""COMPUTED_VALUE"""),"Pressurant_Tank_Mount")</f>
        <v>Pressurant_Tank_Mount</v>
      </c>
      <c r="F6" s="2" t="str">
        <f>IFERROR(__xludf.DUMMYFUNCTION("""COMPUTED_VALUE"""),"Structures")</f>
        <v>Structures</v>
      </c>
      <c r="G6" s="2" t="str">
        <f>IFERROR(__xludf.DUMMYFUNCTION("""COMPUTED_VALUE"""),"SolidWorks")</f>
        <v>SolidWorks</v>
      </c>
      <c r="H6" s="2" t="str">
        <f>IFERROR(__xludf.DUMMYFUNCTION("""COMPUTED_VALUE"""),"Marginal Stability")</f>
        <v>Marginal Stability</v>
      </c>
      <c r="I6" s="12" t="str">
        <f>IFERROR(__xludf.DUMMYFUNCTION("""COMPUTED_VALUE"""),"This is our current design to secure the pressurant tank")</f>
        <v>This is our current design to secure the pressurant tank</v>
      </c>
      <c r="J6" s="2" t="str">
        <f>IFERROR(__xludf.DUMMYFUNCTION("""COMPUTED_VALUE"""),"6061_T6")</f>
        <v>6061_T6</v>
      </c>
      <c r="K6" s="2" t="str">
        <f>IFERROR(__xludf.DUMMYFUNCTION("""COMPUTED_VALUE"""),"Imperial")</f>
        <v>Imperial</v>
      </c>
      <c r="L6" s="14" t="str">
        <f>IFERROR(__xludf.DUMMYFUNCTION("""COMPUTED_VALUE"""),"Jalene Hernandez")</f>
        <v>Jalene Hernandez</v>
      </c>
      <c r="M6" s="15">
        <f>IFERROR(__xludf.DUMMYFUNCTION("""COMPUTED_VALUE"""),44138.0)</f>
        <v>44138</v>
      </c>
      <c r="N6" s="17" t="str">
        <f>IFERROR(__xludf.DUMMYFUNCTION("""COMPUTED_VALUE"""),"https://drive.google.com/open?id=1zK9wBxFYlzhDcqrwu8CuXhBkB0_S0GAu")</f>
        <v>https://drive.google.com/open?id=1zK9wBxFYlzhDcqrwu8CuXhBkB0_S0GAu</v>
      </c>
      <c r="O6" s="18" t="str">
        <f>IFERROR(__xludf.DUMMYFUNCTION("""COMPUTED_VALUE"""),"In progress")</f>
        <v>In progress</v>
      </c>
      <c r="P6" s="1" t="str">
        <f>IFERROR(__xludf.DUMMYFUNCTION("""COMPUTED_VALUE"""),"")</f>
        <v/>
      </c>
      <c r="Q6" s="1" t="str">
        <f>IFERROR(__xludf.DUMMYFUNCTION("""COMPUTED_VALUE"""),"")</f>
        <v/>
      </c>
      <c r="R6" s="1" t="str">
        <f>IFERROR(__xludf.DUMMYFUNCTION("""COMPUTED_VALUE"""),"")</f>
        <v/>
      </c>
      <c r="S6" s="1" t="str">
        <f>IFERROR(__xludf.DUMMYFUNCTION("""COMPUTED_VALUE"""),"")</f>
        <v/>
      </c>
      <c r="T6" s="1" t="str">
        <f>IFERROR(__xludf.DUMMYFUNCTION("""COMPUTED_VALUE"""),"")</f>
        <v/>
      </c>
      <c r="U6" s="1" t="str">
        <f>IFERROR(__xludf.DUMMYFUNCTION("""COMPUTED_VALUE"""),"")</f>
        <v/>
      </c>
      <c r="V6" s="1" t="str">
        <f>IFERROR(__xludf.DUMMYFUNCTION("""COMPUTED_VALUE"""),"")</f>
        <v/>
      </c>
      <c r="W6" s="1" t="str">
        <f>IFERROR(__xludf.DUMMYFUNCTION("""COMPUTED_VALUE"""),"")</f>
        <v/>
      </c>
      <c r="X6" s="1" t="str">
        <f>IFERROR(__xludf.DUMMYFUNCTION("""COMPUTED_VALUE"""),"")</f>
        <v/>
      </c>
      <c r="Y6" s="1" t="str">
        <f>IFERROR(__xludf.DUMMYFUNCTION("""COMPUTED_VALUE"""),"")</f>
        <v/>
      </c>
      <c r="Z6" s="1" t="str">
        <f>IFERROR(__xludf.DUMMYFUNCTION("""COMPUTED_VALUE"""),"")</f>
        <v/>
      </c>
      <c r="AA6" s="1" t="str">
        <f>IFERROR(__xludf.DUMMYFUNCTION("""COMPUTED_VALUE"""),"")</f>
        <v/>
      </c>
      <c r="AB6" s="1" t="str">
        <f>IFERROR(__xludf.DUMMYFUNCTION("""COMPUTED_VALUE"""),"")</f>
        <v/>
      </c>
      <c r="AC6" s="1"/>
      <c r="AD6" s="1"/>
      <c r="AE6" s="1"/>
      <c r="AF6" s="1"/>
      <c r="AG6" s="1"/>
      <c r="AH6" s="1"/>
      <c r="AI6" s="1"/>
      <c r="AJ6" s="1"/>
    </row>
    <row r="7">
      <c r="A7" s="7"/>
      <c r="B7" s="8"/>
      <c r="C7" s="9">
        <f>IFERROR(__xludf.DUMMYFUNCTION("""COMPUTED_VALUE"""),10006.0)</f>
        <v>10006</v>
      </c>
      <c r="D7" s="10" t="str">
        <f>IFERROR(__xludf.DUMMYFUNCTION("""COMPUTED_VALUE"""),"R01")</f>
        <v>R01</v>
      </c>
      <c r="E7" s="11" t="str">
        <f>IFERROR(__xludf.DUMMYFUNCTION("""COMPUTED_VALUE"""),"Testing Manifold")</f>
        <v>Testing Manifold</v>
      </c>
      <c r="F7" s="2" t="str">
        <f>IFERROR(__xludf.DUMMYFUNCTION("""COMPUTED_VALUE"""),"Propulsion")</f>
        <v>Propulsion</v>
      </c>
      <c r="G7" s="2" t="str">
        <f>IFERROR(__xludf.DUMMYFUNCTION("""COMPUTED_VALUE"""),"SolidWorks")</f>
        <v>SolidWorks</v>
      </c>
      <c r="H7" s="2" t="str">
        <f>IFERROR(__xludf.DUMMYFUNCTION("""COMPUTED_VALUE"""),"Marginal Stability")</f>
        <v>Marginal Stability</v>
      </c>
      <c r="I7" s="12" t="str">
        <f>IFERROR(__xludf.DUMMYFUNCTION("""COMPUTED_VALUE"""),"Universal Manifold used to test individual injector post prototypes")</f>
        <v>Universal Manifold used to test individual injector post prototypes</v>
      </c>
      <c r="J7" s="2" t="str">
        <f>IFERROR(__xludf.DUMMYFUNCTION("""COMPUTED_VALUE"""),"")</f>
        <v/>
      </c>
      <c r="K7" s="2" t="str">
        <f>IFERROR(__xludf.DUMMYFUNCTION("""COMPUTED_VALUE"""),"Imperial")</f>
        <v>Imperial</v>
      </c>
      <c r="L7" s="14" t="str">
        <f>IFERROR(__xludf.DUMMYFUNCTION("""COMPUTED_VALUE"""),"Joseph Murad")</f>
        <v>Joseph Murad</v>
      </c>
      <c r="M7" s="15">
        <f>IFERROR(__xludf.DUMMYFUNCTION("""COMPUTED_VALUE"""),43443.0)</f>
        <v>43443</v>
      </c>
      <c r="N7" s="17" t="str">
        <f>IFERROR(__xludf.DUMMYFUNCTION("""COMPUTED_VALUE"""),"https://drive.google.com/open?id=1C5nQF59g-MMyCO5AG2QPSsBEU7dq7nNm")</f>
        <v>https://drive.google.com/open?id=1C5nQF59g-MMyCO5AG2QPSsBEU7dq7nNm</v>
      </c>
      <c r="O7" s="18" t="str">
        <f>IFERROR(__xludf.DUMMYFUNCTION("""COMPUTED_VALUE"""),"In progress")</f>
        <v>In progress</v>
      </c>
      <c r="P7" s="1" t="str">
        <f>IFERROR(__xludf.DUMMYFUNCTION("""COMPUTED_VALUE"""),"")</f>
        <v/>
      </c>
      <c r="Q7" s="1" t="str">
        <f>IFERROR(__xludf.DUMMYFUNCTION("""COMPUTED_VALUE"""),"")</f>
        <v/>
      </c>
      <c r="R7" s="1" t="str">
        <f>IFERROR(__xludf.DUMMYFUNCTION("""COMPUTED_VALUE"""),"")</f>
        <v/>
      </c>
      <c r="S7" s="1" t="str">
        <f>IFERROR(__xludf.DUMMYFUNCTION("""COMPUTED_VALUE"""),"")</f>
        <v/>
      </c>
      <c r="T7" s="1" t="str">
        <f>IFERROR(__xludf.DUMMYFUNCTION("""COMPUTED_VALUE"""),"")</f>
        <v/>
      </c>
      <c r="U7" s="1" t="str">
        <f>IFERROR(__xludf.DUMMYFUNCTION("""COMPUTED_VALUE"""),"")</f>
        <v/>
      </c>
      <c r="V7" s="1" t="str">
        <f>IFERROR(__xludf.DUMMYFUNCTION("""COMPUTED_VALUE"""),"")</f>
        <v/>
      </c>
      <c r="W7" s="1" t="str">
        <f>IFERROR(__xludf.DUMMYFUNCTION("""COMPUTED_VALUE"""),"")</f>
        <v/>
      </c>
      <c r="X7" s="1" t="str">
        <f>IFERROR(__xludf.DUMMYFUNCTION("""COMPUTED_VALUE"""),"")</f>
        <v/>
      </c>
      <c r="Y7" s="1" t="str">
        <f>IFERROR(__xludf.DUMMYFUNCTION("""COMPUTED_VALUE"""),"")</f>
        <v/>
      </c>
      <c r="Z7" s="1" t="str">
        <f>IFERROR(__xludf.DUMMYFUNCTION("""COMPUTED_VALUE"""),"")</f>
        <v/>
      </c>
      <c r="AA7" s="1" t="str">
        <f>IFERROR(__xludf.DUMMYFUNCTION("""COMPUTED_VALUE"""),"")</f>
        <v/>
      </c>
      <c r="AB7" s="1" t="str">
        <f>IFERROR(__xludf.DUMMYFUNCTION("""COMPUTED_VALUE"""),"")</f>
        <v/>
      </c>
      <c r="AC7" s="1"/>
      <c r="AD7" s="1"/>
      <c r="AE7" s="1"/>
      <c r="AF7" s="1"/>
      <c r="AG7" s="1"/>
      <c r="AH7" s="1"/>
      <c r="AI7" s="1"/>
      <c r="AJ7" s="1"/>
    </row>
    <row r="8">
      <c r="A8" s="7"/>
      <c r="B8" s="8"/>
      <c r="C8" s="9">
        <f>IFERROR(__xludf.DUMMYFUNCTION("""COMPUTED_VALUE"""),10007.0)</f>
        <v>10007</v>
      </c>
      <c r="D8" s="10" t="str">
        <f>IFERROR(__xludf.DUMMYFUNCTION("""COMPUTED_VALUE"""),"R01")</f>
        <v>R01</v>
      </c>
      <c r="E8" s="11" t="str">
        <f>IFERROR(__xludf.DUMMYFUNCTION("""COMPUTED_VALUE"""),"Launch Lug")</f>
        <v>Launch Lug</v>
      </c>
      <c r="F8" s="2" t="str">
        <f>IFERROR(__xludf.DUMMYFUNCTION("""COMPUTED_VALUE"""),"Structures")</f>
        <v>Structures</v>
      </c>
      <c r="G8" s="2" t="str">
        <f>IFERROR(__xludf.DUMMYFUNCTION("""COMPUTED_VALUE"""),"SolidWorks")</f>
        <v>SolidWorks</v>
      </c>
      <c r="H8" s="2" t="str">
        <f>IFERROR(__xludf.DUMMYFUNCTION("""COMPUTED_VALUE"""),"Marginal Stability")</f>
        <v>Marginal Stability</v>
      </c>
      <c r="I8" s="12" t="str">
        <f>IFERROR(__xludf.DUMMYFUNCTION("""COMPUTED_VALUE"""),"Holds the rocket to the launch rail.")</f>
        <v>Holds the rocket to the launch rail.</v>
      </c>
      <c r="J8" s="2" t="str">
        <f>IFERROR(__xludf.DUMMYFUNCTION("""COMPUTED_VALUE"""),"6061_T6")</f>
        <v>6061_T6</v>
      </c>
      <c r="K8" s="2" t="str">
        <f>IFERROR(__xludf.DUMMYFUNCTION("""COMPUTED_VALUE"""),"Imperial")</f>
        <v>Imperial</v>
      </c>
      <c r="L8" s="14" t="str">
        <f>IFERROR(__xludf.DUMMYFUNCTION("""COMPUTED_VALUE"""),"Andre Shahinian")</f>
        <v>Andre Shahinian</v>
      </c>
      <c r="M8" s="15">
        <f>IFERROR(__xludf.DUMMYFUNCTION("""COMPUTED_VALUE"""),43501.0)</f>
        <v>43501</v>
      </c>
      <c r="N8" s="17" t="str">
        <f>IFERROR(__xludf.DUMMYFUNCTION("""COMPUTED_VALUE"""),"https://drive.google.com/open?id=1lS8FcEh-06_VJIh0zEmOw0zsHaHcvpWs")</f>
        <v>https://drive.google.com/open?id=1lS8FcEh-06_VJIh0zEmOw0zsHaHcvpWs</v>
      </c>
      <c r="O8" s="18" t="str">
        <f>IFERROR(__xludf.DUMMYFUNCTION("""COMPUTED_VALUE"""),"In progress")</f>
        <v>In progress</v>
      </c>
      <c r="P8" s="1" t="str">
        <f>IFERROR(__xludf.DUMMYFUNCTION("""COMPUTED_VALUE"""),"")</f>
        <v/>
      </c>
      <c r="Q8" s="1" t="str">
        <f>IFERROR(__xludf.DUMMYFUNCTION("""COMPUTED_VALUE"""),"")</f>
        <v/>
      </c>
      <c r="R8" s="1" t="str">
        <f>IFERROR(__xludf.DUMMYFUNCTION("""COMPUTED_VALUE"""),"")</f>
        <v/>
      </c>
      <c r="S8" s="1" t="str">
        <f>IFERROR(__xludf.DUMMYFUNCTION("""COMPUTED_VALUE"""),"")</f>
        <v/>
      </c>
      <c r="T8" s="1" t="str">
        <f>IFERROR(__xludf.DUMMYFUNCTION("""COMPUTED_VALUE"""),"")</f>
        <v/>
      </c>
      <c r="U8" s="1" t="str">
        <f>IFERROR(__xludf.DUMMYFUNCTION("""COMPUTED_VALUE"""),"")</f>
        <v/>
      </c>
      <c r="V8" s="1" t="str">
        <f>IFERROR(__xludf.DUMMYFUNCTION("""COMPUTED_VALUE"""),"")</f>
        <v/>
      </c>
      <c r="W8" s="1" t="str">
        <f>IFERROR(__xludf.DUMMYFUNCTION("""COMPUTED_VALUE"""),"")</f>
        <v/>
      </c>
      <c r="X8" s="1" t="str">
        <f>IFERROR(__xludf.DUMMYFUNCTION("""COMPUTED_VALUE"""),"")</f>
        <v/>
      </c>
      <c r="Y8" s="1" t="str">
        <f>IFERROR(__xludf.DUMMYFUNCTION("""COMPUTED_VALUE"""),"")</f>
        <v/>
      </c>
      <c r="Z8" s="1" t="str">
        <f>IFERROR(__xludf.DUMMYFUNCTION("""COMPUTED_VALUE"""),"")</f>
        <v/>
      </c>
      <c r="AA8" s="1" t="str">
        <f>IFERROR(__xludf.DUMMYFUNCTION("""COMPUTED_VALUE"""),"")</f>
        <v/>
      </c>
      <c r="AB8" s="1" t="str">
        <f>IFERROR(__xludf.DUMMYFUNCTION("""COMPUTED_VALUE"""),"")</f>
        <v/>
      </c>
      <c r="AC8" s="1"/>
      <c r="AD8" s="1"/>
      <c r="AE8" s="1"/>
      <c r="AF8" s="1"/>
      <c r="AG8" s="1"/>
      <c r="AH8" s="1"/>
      <c r="AI8" s="1"/>
      <c r="AJ8" s="1"/>
    </row>
    <row r="9">
      <c r="A9" s="7"/>
      <c r="B9" s="8"/>
      <c r="C9" s="9">
        <f>IFERROR(__xludf.DUMMYFUNCTION("""COMPUTED_VALUE"""),10008.0)</f>
        <v>10008</v>
      </c>
      <c r="D9" s="10" t="str">
        <f>IFERROR(__xludf.DUMMYFUNCTION("""COMPUTED_VALUE"""),"R06")</f>
        <v>R06</v>
      </c>
      <c r="E9" s="11" t="str">
        <f>IFERROR(__xludf.DUMMYFUNCTION("""COMPUTED_VALUE"""),"Lower Avionics Bay")</f>
        <v>Lower Avionics Bay</v>
      </c>
      <c r="F9" s="2" t="str">
        <f>IFERROR(__xludf.DUMMYFUNCTION("""COMPUTED_VALUE"""),"Structures")</f>
        <v>Structures</v>
      </c>
      <c r="G9" s="2" t="str">
        <f>IFERROR(__xludf.DUMMYFUNCTION("""COMPUTED_VALUE"""),"SolidWorks")</f>
        <v>SolidWorks</v>
      </c>
      <c r="H9" s="2" t="str">
        <f>IFERROR(__xludf.DUMMYFUNCTION("""COMPUTED_VALUE"""),"Marginal Stability")</f>
        <v>Marginal Stability</v>
      </c>
      <c r="I9" s="12" t="str">
        <f>IFERROR(__xludf.DUMMYFUNCTION("""COMPUTED_VALUE"""),"Holds avionics stuff.")</f>
        <v>Holds avionics stuff.</v>
      </c>
      <c r="J9" s="2" t="str">
        <f>IFERROR(__xludf.DUMMYFUNCTION("""COMPUTED_VALUE"""),"6061 T6")</f>
        <v>6061 T6</v>
      </c>
      <c r="K9" s="2" t="str">
        <f>IFERROR(__xludf.DUMMYFUNCTION("""COMPUTED_VALUE"""),"Imperial")</f>
        <v>Imperial</v>
      </c>
      <c r="L9" s="14" t="str">
        <f>IFERROR(__xludf.DUMMYFUNCTION("""COMPUTED_VALUE"""),"Matthew Lok")</f>
        <v>Matthew Lok</v>
      </c>
      <c r="M9" s="15">
        <f>IFERROR(__xludf.DUMMYFUNCTION("""COMPUTED_VALUE"""),43505.0)</f>
        <v>43505</v>
      </c>
      <c r="N9" s="17" t="str">
        <f>IFERROR(__xludf.DUMMYFUNCTION("""COMPUTED_VALUE"""),"https://drive.google.com/open?id=1CIDYVvDB-IQ5QeciZEDx2vJYQe8JuR0J")</f>
        <v>https://drive.google.com/open?id=1CIDYVvDB-IQ5QeciZEDx2vJYQe8JuR0J</v>
      </c>
      <c r="O9" s="18" t="str">
        <f>IFERROR(__xludf.DUMMYFUNCTION("""COMPUTED_VALUE"""),"In progress")</f>
        <v>In progress</v>
      </c>
      <c r="P9" s="1" t="str">
        <f>IFERROR(__xludf.DUMMYFUNCTION("""COMPUTED_VALUE"""),"")</f>
        <v/>
      </c>
      <c r="Q9" s="1" t="str">
        <f>IFERROR(__xludf.DUMMYFUNCTION("""COMPUTED_VALUE"""),"")</f>
        <v/>
      </c>
      <c r="R9" s="1" t="str">
        <f>IFERROR(__xludf.DUMMYFUNCTION("""COMPUTED_VALUE"""),"")</f>
        <v/>
      </c>
      <c r="S9" s="1" t="str">
        <f>IFERROR(__xludf.DUMMYFUNCTION("""COMPUTED_VALUE"""),"")</f>
        <v/>
      </c>
      <c r="T9" s="1" t="str">
        <f>IFERROR(__xludf.DUMMYFUNCTION("""COMPUTED_VALUE"""),"")</f>
        <v/>
      </c>
      <c r="U9" s="1" t="str">
        <f>IFERROR(__xludf.DUMMYFUNCTION("""COMPUTED_VALUE"""),"")</f>
        <v/>
      </c>
      <c r="V9" s="1" t="str">
        <f>IFERROR(__xludf.DUMMYFUNCTION("""COMPUTED_VALUE"""),"")</f>
        <v/>
      </c>
      <c r="W9" s="1" t="str">
        <f>IFERROR(__xludf.DUMMYFUNCTION("""COMPUTED_VALUE"""),"")</f>
        <v/>
      </c>
      <c r="X9" s="1" t="str">
        <f>IFERROR(__xludf.DUMMYFUNCTION("""COMPUTED_VALUE"""),"")</f>
        <v/>
      </c>
      <c r="Y9" s="1" t="str">
        <f>IFERROR(__xludf.DUMMYFUNCTION("""COMPUTED_VALUE"""),"")</f>
        <v/>
      </c>
      <c r="Z9" s="1" t="str">
        <f>IFERROR(__xludf.DUMMYFUNCTION("""COMPUTED_VALUE"""),"")</f>
        <v/>
      </c>
      <c r="AA9" s="1" t="str">
        <f>IFERROR(__xludf.DUMMYFUNCTION("""COMPUTED_VALUE"""),"")</f>
        <v/>
      </c>
      <c r="AB9" s="1" t="str">
        <f>IFERROR(__xludf.DUMMYFUNCTION("""COMPUTED_VALUE"""),"")</f>
        <v/>
      </c>
      <c r="AC9" s="1"/>
      <c r="AD9" s="1"/>
      <c r="AE9" s="1"/>
      <c r="AF9" s="1"/>
      <c r="AG9" s="1"/>
      <c r="AH9" s="1"/>
      <c r="AI9" s="1"/>
      <c r="AJ9" s="1"/>
    </row>
    <row r="10">
      <c r="A10" s="7"/>
      <c r="B10" s="8"/>
      <c r="C10" s="9">
        <f>IFERROR(__xludf.DUMMYFUNCTION("""COMPUTED_VALUE"""),10009.0)</f>
        <v>10009</v>
      </c>
      <c r="D10" s="10" t="str">
        <f>IFERROR(__xludf.DUMMYFUNCTION("""COMPUTED_VALUE"""),"R04")</f>
        <v>R04</v>
      </c>
      <c r="E10" s="11" t="str">
        <f>IFERROR(__xludf.DUMMYFUNCTION("""COMPUTED_VALUE"""),"Upper Avionics Bay")</f>
        <v>Upper Avionics Bay</v>
      </c>
      <c r="F10" s="2" t="str">
        <f>IFERROR(__xludf.DUMMYFUNCTION("""COMPUTED_VALUE"""),"Structures")</f>
        <v>Structures</v>
      </c>
      <c r="G10" s="2" t="str">
        <f>IFERROR(__xludf.DUMMYFUNCTION("""COMPUTED_VALUE"""),"SolidWorks")</f>
        <v>SolidWorks</v>
      </c>
      <c r="H10" s="2" t="str">
        <f>IFERROR(__xludf.DUMMYFUNCTION("""COMPUTED_VALUE"""),"Marginal Stability")</f>
        <v>Marginal Stability</v>
      </c>
      <c r="I10" s="12" t="str">
        <f>IFERROR(__xludf.DUMMYFUNCTION("""COMPUTED_VALUE"""),"Holds avionics stuff.")</f>
        <v>Holds avionics stuff.</v>
      </c>
      <c r="J10" s="2" t="str">
        <f>IFERROR(__xludf.DUMMYFUNCTION("""COMPUTED_VALUE"""),"Multiple")</f>
        <v>Multiple</v>
      </c>
      <c r="K10" s="2" t="str">
        <f>IFERROR(__xludf.DUMMYFUNCTION("""COMPUTED_VALUE"""),"Imperial")</f>
        <v>Imperial</v>
      </c>
      <c r="L10" s="14" t="str">
        <f>IFERROR(__xludf.DUMMYFUNCTION("""COMPUTED_VALUE"""),"Matthew Lok")</f>
        <v>Matthew Lok</v>
      </c>
      <c r="M10" s="15">
        <f>IFERROR(__xludf.DUMMYFUNCTION("""COMPUTED_VALUE"""),43501.0)</f>
        <v>43501</v>
      </c>
      <c r="N10" s="17" t="str">
        <f>IFERROR(__xludf.DUMMYFUNCTION("""COMPUTED_VALUE"""),"https://drive.google.com/open?id=1fngf05DfW2_i1JEiQBInp8snbbK4DQBc")</f>
        <v>https://drive.google.com/open?id=1fngf05DfW2_i1JEiQBInp8snbbK4DQBc</v>
      </c>
      <c r="O10" s="18" t="str">
        <f>IFERROR(__xludf.DUMMYFUNCTION("""COMPUTED_VALUE"""),"In Progress")</f>
        <v>In Progress</v>
      </c>
      <c r="P10" s="1" t="str">
        <f>IFERROR(__xludf.DUMMYFUNCTION("""COMPUTED_VALUE"""),"")</f>
        <v/>
      </c>
      <c r="Q10" s="1" t="str">
        <f>IFERROR(__xludf.DUMMYFUNCTION("""COMPUTED_VALUE"""),"")</f>
        <v/>
      </c>
      <c r="R10" s="1" t="str">
        <f>IFERROR(__xludf.DUMMYFUNCTION("""COMPUTED_VALUE"""),"")</f>
        <v/>
      </c>
      <c r="S10" s="1" t="str">
        <f>IFERROR(__xludf.DUMMYFUNCTION("""COMPUTED_VALUE"""),"")</f>
        <v/>
      </c>
      <c r="T10" s="1" t="str">
        <f>IFERROR(__xludf.DUMMYFUNCTION("""COMPUTED_VALUE"""),"")</f>
        <v/>
      </c>
      <c r="U10" s="1" t="str">
        <f>IFERROR(__xludf.DUMMYFUNCTION("""COMPUTED_VALUE"""),"")</f>
        <v/>
      </c>
      <c r="V10" s="1" t="str">
        <f>IFERROR(__xludf.DUMMYFUNCTION("""COMPUTED_VALUE"""),"")</f>
        <v/>
      </c>
      <c r="W10" s="1" t="str">
        <f>IFERROR(__xludf.DUMMYFUNCTION("""COMPUTED_VALUE"""),"")</f>
        <v/>
      </c>
      <c r="X10" s="1" t="str">
        <f>IFERROR(__xludf.DUMMYFUNCTION("""COMPUTED_VALUE"""),"")</f>
        <v/>
      </c>
      <c r="Y10" s="1" t="str">
        <f>IFERROR(__xludf.DUMMYFUNCTION("""COMPUTED_VALUE"""),"")</f>
        <v/>
      </c>
      <c r="Z10" s="1" t="str">
        <f>IFERROR(__xludf.DUMMYFUNCTION("""COMPUTED_VALUE"""),"")</f>
        <v/>
      </c>
      <c r="AA10" s="1" t="str">
        <f>IFERROR(__xludf.DUMMYFUNCTION("""COMPUTED_VALUE"""),"")</f>
        <v/>
      </c>
      <c r="AB10" s="1" t="str">
        <f>IFERROR(__xludf.DUMMYFUNCTION("""COMPUTED_VALUE"""),"")</f>
        <v/>
      </c>
      <c r="AC10" s="1"/>
      <c r="AD10" s="1"/>
      <c r="AE10" s="1"/>
      <c r="AF10" s="1"/>
      <c r="AG10" s="1"/>
      <c r="AH10" s="1"/>
      <c r="AI10" s="1"/>
      <c r="AJ10" s="1"/>
    </row>
    <row r="11">
      <c r="A11" s="7"/>
      <c r="B11" s="8"/>
      <c r="C11" s="9">
        <f>IFERROR(__xludf.DUMMYFUNCTION("""COMPUTED_VALUE"""),10010.0)</f>
        <v>10010</v>
      </c>
      <c r="D11" s="10" t="str">
        <f>IFERROR(__xludf.DUMMYFUNCTION("""COMPUTED_VALUE"""),"R01")</f>
        <v>R01</v>
      </c>
      <c r="E11" s="11" t="str">
        <f>IFERROR(__xludf.DUMMYFUNCTION("""COMPUTED_VALUE"""),"Injector")</f>
        <v>Injector</v>
      </c>
      <c r="F11" s="2" t="str">
        <f>IFERROR(__xludf.DUMMYFUNCTION("""COMPUTED_VALUE"""),"Propulsion")</f>
        <v>Propulsion</v>
      </c>
      <c r="G11" s="2" t="str">
        <f>IFERROR(__xludf.DUMMYFUNCTION("""COMPUTED_VALUE"""),"SolidWorks")</f>
        <v>SolidWorks</v>
      </c>
      <c r="H11" s="2" t="str">
        <f>IFERROR(__xludf.DUMMYFUNCTION("""COMPUTED_VALUE"""),"Marginal Stability")</f>
        <v>Marginal Stability</v>
      </c>
      <c r="I11" s="12" t="str">
        <f>IFERROR(__xludf.DUMMYFUNCTION("""COMPUTED_VALUE"""),"Injector Plate housing Injector Elements")</f>
        <v>Injector Plate housing Injector Elements</v>
      </c>
      <c r="J11" s="1" t="str">
        <f>IFERROR(__xludf.DUMMYFUNCTION("""COMPUTED_VALUE"""),"")</f>
        <v/>
      </c>
      <c r="K11" s="2" t="str">
        <f>IFERROR(__xludf.DUMMYFUNCTION("""COMPUTED_VALUE"""),"Imperial")</f>
        <v>Imperial</v>
      </c>
      <c r="L11" s="14" t="str">
        <f>IFERROR(__xludf.DUMMYFUNCTION("""COMPUTED_VALUE"""),"Luis Perez")</f>
        <v>Luis Perez</v>
      </c>
      <c r="M11" s="19">
        <f>IFERROR(__xludf.DUMMYFUNCTION("""COMPUTED_VALUE"""),43514.0)</f>
        <v>43514</v>
      </c>
      <c r="N11" s="27" t="str">
        <f>IFERROR(__xludf.DUMMYFUNCTION("""COMPUTED_VALUE"""),"https://drive.google.com/open?id=1zAih9B8GDgVsnWmRULLxlQzSgQuYqHeZ")</f>
        <v>https://drive.google.com/open?id=1zAih9B8GDgVsnWmRULLxlQzSgQuYqHeZ</v>
      </c>
      <c r="O11" s="18" t="str">
        <f>IFERROR(__xludf.DUMMYFUNCTION("""COMPUTED_VALUE"""),"In Progress")</f>
        <v>In Progress</v>
      </c>
      <c r="P11" s="1" t="str">
        <f>IFERROR(__xludf.DUMMYFUNCTION("""COMPUTED_VALUE"""),"")</f>
        <v/>
      </c>
      <c r="Q11" s="1" t="str">
        <f>IFERROR(__xludf.DUMMYFUNCTION("""COMPUTED_VALUE"""),"")</f>
        <v/>
      </c>
      <c r="R11" s="1" t="str">
        <f>IFERROR(__xludf.DUMMYFUNCTION("""COMPUTED_VALUE"""),"")</f>
        <v/>
      </c>
      <c r="S11" s="1" t="str">
        <f>IFERROR(__xludf.DUMMYFUNCTION("""COMPUTED_VALUE"""),"")</f>
        <v/>
      </c>
      <c r="T11" s="1" t="str">
        <f>IFERROR(__xludf.DUMMYFUNCTION("""COMPUTED_VALUE"""),"")</f>
        <v/>
      </c>
      <c r="U11" s="1" t="str">
        <f>IFERROR(__xludf.DUMMYFUNCTION("""COMPUTED_VALUE"""),"")</f>
        <v/>
      </c>
      <c r="V11" s="1" t="str">
        <f>IFERROR(__xludf.DUMMYFUNCTION("""COMPUTED_VALUE"""),"")</f>
        <v/>
      </c>
      <c r="W11" s="1" t="str">
        <f>IFERROR(__xludf.DUMMYFUNCTION("""COMPUTED_VALUE"""),"")</f>
        <v/>
      </c>
      <c r="X11" s="1" t="str">
        <f>IFERROR(__xludf.DUMMYFUNCTION("""COMPUTED_VALUE"""),"")</f>
        <v/>
      </c>
      <c r="Y11" s="1" t="str">
        <f>IFERROR(__xludf.DUMMYFUNCTION("""COMPUTED_VALUE"""),"")</f>
        <v/>
      </c>
      <c r="Z11" s="1" t="str">
        <f>IFERROR(__xludf.DUMMYFUNCTION("""COMPUTED_VALUE"""),"")</f>
        <v/>
      </c>
      <c r="AA11" s="1" t="str">
        <f>IFERROR(__xludf.DUMMYFUNCTION("""COMPUTED_VALUE"""),"")</f>
        <v/>
      </c>
      <c r="AB11" s="1" t="str">
        <f>IFERROR(__xludf.DUMMYFUNCTION("""COMPUTED_VALUE"""),"")</f>
        <v/>
      </c>
      <c r="AC11" s="1"/>
      <c r="AD11" s="1"/>
      <c r="AE11" s="1"/>
      <c r="AF11" s="1"/>
      <c r="AG11" s="1"/>
      <c r="AH11" s="1"/>
      <c r="AI11" s="1"/>
      <c r="AJ11" s="1"/>
    </row>
    <row r="12">
      <c r="A12" s="7"/>
      <c r="B12" s="8"/>
      <c r="C12" s="9">
        <f>IFERROR(__xludf.DUMMYFUNCTION("""COMPUTED_VALUE"""),10011.0)</f>
        <v>10011</v>
      </c>
      <c r="D12" s="10" t="str">
        <f>IFERROR(__xludf.DUMMYFUNCTION("""COMPUTED_VALUE"""),"R01")</f>
        <v>R01</v>
      </c>
      <c r="E12" s="11" t="str">
        <f>IFERROR(__xludf.DUMMYFUNCTION("""COMPUTED_VALUE"""),"Drogue Release System")</f>
        <v>Drogue Release System</v>
      </c>
      <c r="F12" s="2" t="str">
        <f>IFERROR(__xludf.DUMMYFUNCTION("""COMPUTED_VALUE"""),"Structures")</f>
        <v>Structures</v>
      </c>
      <c r="G12" s="2" t="str">
        <f>IFERROR(__xludf.DUMMYFUNCTION("""COMPUTED_VALUE"""),"SolidWorks")</f>
        <v>SolidWorks</v>
      </c>
      <c r="H12" s="2" t="str">
        <f>IFERROR(__xludf.DUMMYFUNCTION("""COMPUTED_VALUE"""),"Marginal Stability")</f>
        <v>Marginal Stability</v>
      </c>
      <c r="I12" s="12" t="str">
        <f>IFERROR(__xludf.DUMMYFUNCTION("""COMPUTED_VALUE"""),"Holds and Releases Drogue Chute")</f>
        <v>Holds and Releases Drogue Chute</v>
      </c>
      <c r="J12" s="2" t="str">
        <f>IFERROR(__xludf.DUMMYFUNCTION("""COMPUTED_VALUE"""),"Multiple")</f>
        <v>Multiple</v>
      </c>
      <c r="K12" s="2" t="str">
        <f>IFERROR(__xludf.DUMMYFUNCTION("""COMPUTED_VALUE"""),"Imperial")</f>
        <v>Imperial</v>
      </c>
      <c r="L12" s="14" t="str">
        <f>IFERROR(__xludf.DUMMYFUNCTION("""COMPUTED_VALUE"""),"Kyle Gore")</f>
        <v>Kyle Gore</v>
      </c>
      <c r="M12" s="16">
        <f>IFERROR(__xludf.DUMMYFUNCTION("""COMPUTED_VALUE"""),43522.0)</f>
        <v>43522</v>
      </c>
      <c r="N12" s="17" t="str">
        <f>IFERROR(__xludf.DUMMYFUNCTION("""COMPUTED_VALUE"""),"https://drive.google.com/open?id=15K35jV9WxQmHUaEZr2PeHojzMyImxzkM")</f>
        <v>https://drive.google.com/open?id=15K35jV9WxQmHUaEZr2PeHojzMyImxzkM</v>
      </c>
      <c r="O12" s="18" t="str">
        <f>IFERROR(__xludf.DUMMYFUNCTION("""COMPUTED_VALUE"""),"In Progress")</f>
        <v>In Progress</v>
      </c>
      <c r="P12" s="1" t="str">
        <f>IFERROR(__xludf.DUMMYFUNCTION("""COMPUTED_VALUE"""),"")</f>
        <v/>
      </c>
      <c r="Q12" s="1" t="str">
        <f>IFERROR(__xludf.DUMMYFUNCTION("""COMPUTED_VALUE"""),"")</f>
        <v/>
      </c>
      <c r="R12" s="1" t="str">
        <f>IFERROR(__xludf.DUMMYFUNCTION("""COMPUTED_VALUE"""),"")</f>
        <v/>
      </c>
      <c r="S12" s="1" t="str">
        <f>IFERROR(__xludf.DUMMYFUNCTION("""COMPUTED_VALUE"""),"")</f>
        <v/>
      </c>
      <c r="T12" s="1" t="str">
        <f>IFERROR(__xludf.DUMMYFUNCTION("""COMPUTED_VALUE"""),"")</f>
        <v/>
      </c>
      <c r="U12" s="1" t="str">
        <f>IFERROR(__xludf.DUMMYFUNCTION("""COMPUTED_VALUE"""),"")</f>
        <v/>
      </c>
      <c r="V12" s="1" t="str">
        <f>IFERROR(__xludf.DUMMYFUNCTION("""COMPUTED_VALUE"""),"")</f>
        <v/>
      </c>
      <c r="W12" s="1" t="str">
        <f>IFERROR(__xludf.DUMMYFUNCTION("""COMPUTED_VALUE"""),"")</f>
        <v/>
      </c>
      <c r="X12" s="1" t="str">
        <f>IFERROR(__xludf.DUMMYFUNCTION("""COMPUTED_VALUE"""),"")</f>
        <v/>
      </c>
      <c r="Y12" s="1" t="str">
        <f>IFERROR(__xludf.DUMMYFUNCTION("""COMPUTED_VALUE"""),"")</f>
        <v/>
      </c>
      <c r="Z12" s="1" t="str">
        <f>IFERROR(__xludf.DUMMYFUNCTION("""COMPUTED_VALUE"""),"")</f>
        <v/>
      </c>
      <c r="AA12" s="1" t="str">
        <f>IFERROR(__xludf.DUMMYFUNCTION("""COMPUTED_VALUE"""),"")</f>
        <v/>
      </c>
      <c r="AB12" s="1" t="str">
        <f>IFERROR(__xludf.DUMMYFUNCTION("""COMPUTED_VALUE"""),"")</f>
        <v/>
      </c>
      <c r="AC12" s="1"/>
      <c r="AD12" s="1"/>
      <c r="AE12" s="1"/>
      <c r="AF12" s="1"/>
      <c r="AG12" s="1"/>
      <c r="AH12" s="1"/>
      <c r="AI12" s="1"/>
      <c r="AJ12" s="1"/>
    </row>
    <row r="13">
      <c r="A13" s="7"/>
      <c r="B13" s="8"/>
      <c r="C13" s="9">
        <f>IFERROR(__xludf.DUMMYFUNCTION("""COMPUTED_VALUE"""),10012.0)</f>
        <v>10012</v>
      </c>
      <c r="D13" s="10" t="str">
        <f>IFERROR(__xludf.DUMMYFUNCTION("""COMPUTED_VALUE"""),"R01")</f>
        <v>R01</v>
      </c>
      <c r="E13" s="11" t="str">
        <f>IFERROR(__xludf.DUMMYFUNCTION("""COMPUTED_VALUE"""),"Propellant Tank Assembly")</f>
        <v>Propellant Tank Assembly</v>
      </c>
      <c r="F13" s="2" t="str">
        <f>IFERROR(__xludf.DUMMYFUNCTION("""COMPUTED_VALUE"""),"Structures")</f>
        <v>Structures</v>
      </c>
      <c r="G13" s="2" t="str">
        <f>IFERROR(__xludf.DUMMYFUNCTION("""COMPUTED_VALUE"""),"SolidWorks")</f>
        <v>SolidWorks</v>
      </c>
      <c r="H13" s="2" t="str">
        <f>IFERROR(__xludf.DUMMYFUNCTION("""COMPUTED_VALUE"""),"Marginal Stability")</f>
        <v>Marginal Stability</v>
      </c>
      <c r="I13" s="12" t="str">
        <f>IFERROR(__xludf.DUMMYFUNCTION("""COMPUTED_VALUE"""),"Fuel tanks with internal plumbing")</f>
        <v>Fuel tanks with internal plumbing</v>
      </c>
      <c r="J13" s="2" t="str">
        <f>IFERROR(__xludf.DUMMYFUNCTION("""COMPUTED_VALUE"""),"6061-T6")</f>
        <v>6061-T6</v>
      </c>
      <c r="K13" s="2" t="str">
        <f>IFERROR(__xludf.DUMMYFUNCTION("""COMPUTED_VALUE"""),"Imperial")</f>
        <v>Imperial</v>
      </c>
      <c r="L13" s="14" t="str">
        <f>IFERROR(__xludf.DUMMYFUNCTION("""COMPUTED_VALUE"""),"Joshua Elmer/Alex Pallesco")</f>
        <v>Joshua Elmer/Alex Pallesco</v>
      </c>
      <c r="M13" s="19">
        <f>IFERROR(__xludf.DUMMYFUNCTION("""COMPUTED_VALUE"""),43525.0)</f>
        <v>43525</v>
      </c>
      <c r="N13" s="14" t="str">
        <f>IFERROR(__xludf.DUMMYFUNCTION("""COMPUTED_VALUE"""),"")</f>
        <v/>
      </c>
      <c r="O13" s="18" t="str">
        <f>IFERROR(__xludf.DUMMYFUNCTION("""COMPUTED_VALUE"""),"In Progress")</f>
        <v>In Progress</v>
      </c>
      <c r="P13" s="1" t="str">
        <f>IFERROR(__xludf.DUMMYFUNCTION("""COMPUTED_VALUE"""),"")</f>
        <v/>
      </c>
      <c r="Q13" s="1" t="str">
        <f>IFERROR(__xludf.DUMMYFUNCTION("""COMPUTED_VALUE"""),"")</f>
        <v/>
      </c>
      <c r="R13" s="1" t="str">
        <f>IFERROR(__xludf.DUMMYFUNCTION("""COMPUTED_VALUE"""),"")</f>
        <v/>
      </c>
      <c r="S13" s="1" t="str">
        <f>IFERROR(__xludf.DUMMYFUNCTION("""COMPUTED_VALUE"""),"")</f>
        <v/>
      </c>
      <c r="T13" s="1" t="str">
        <f>IFERROR(__xludf.DUMMYFUNCTION("""COMPUTED_VALUE"""),"")</f>
        <v/>
      </c>
      <c r="U13" s="1" t="str">
        <f>IFERROR(__xludf.DUMMYFUNCTION("""COMPUTED_VALUE"""),"")</f>
        <v/>
      </c>
      <c r="V13" s="1" t="str">
        <f>IFERROR(__xludf.DUMMYFUNCTION("""COMPUTED_VALUE"""),"")</f>
        <v/>
      </c>
      <c r="W13" s="1" t="str">
        <f>IFERROR(__xludf.DUMMYFUNCTION("""COMPUTED_VALUE"""),"")</f>
        <v/>
      </c>
      <c r="X13" s="1" t="str">
        <f>IFERROR(__xludf.DUMMYFUNCTION("""COMPUTED_VALUE"""),"")</f>
        <v/>
      </c>
      <c r="Y13" s="1" t="str">
        <f>IFERROR(__xludf.DUMMYFUNCTION("""COMPUTED_VALUE"""),"")</f>
        <v/>
      </c>
      <c r="Z13" s="1" t="str">
        <f>IFERROR(__xludf.DUMMYFUNCTION("""COMPUTED_VALUE"""),"")</f>
        <v/>
      </c>
      <c r="AA13" s="1" t="str">
        <f>IFERROR(__xludf.DUMMYFUNCTION("""COMPUTED_VALUE"""),"")</f>
        <v/>
      </c>
      <c r="AB13" s="1" t="str">
        <f>IFERROR(__xludf.DUMMYFUNCTION("""COMPUTED_VALUE"""),"")</f>
        <v/>
      </c>
      <c r="AC13" s="1"/>
      <c r="AD13" s="1"/>
      <c r="AE13" s="1"/>
      <c r="AF13" s="1"/>
      <c r="AG13" s="1"/>
      <c r="AH13" s="1"/>
      <c r="AI13" s="1"/>
      <c r="AJ13" s="1"/>
    </row>
    <row r="14">
      <c r="A14" s="7"/>
      <c r="B14" s="8"/>
      <c r="C14" s="9">
        <f>IFERROR(__xludf.DUMMYFUNCTION("""COMPUTED_VALUE"""),10013.0)</f>
        <v>10013</v>
      </c>
      <c r="D14" s="10" t="str">
        <f>IFERROR(__xludf.DUMMYFUNCTION("""COMPUTED_VALUE"""),"R01")</f>
        <v>R01</v>
      </c>
      <c r="E14" s="11" t="str">
        <f>IFERROR(__xludf.DUMMYFUNCTION("""COMPUTED_VALUE"""),"Engine")</f>
        <v>Engine</v>
      </c>
      <c r="F14" s="18" t="str">
        <f>IFERROR(__xludf.DUMMYFUNCTION("""COMPUTED_VALUE"""),"Propulsion")</f>
        <v>Propulsion</v>
      </c>
      <c r="G14" s="18" t="str">
        <f>IFERROR(__xludf.DUMMYFUNCTION("""COMPUTED_VALUE"""),"SolidWorks")</f>
        <v>SolidWorks</v>
      </c>
      <c r="H14" s="2" t="str">
        <f>IFERROR(__xludf.DUMMYFUNCTION("""COMPUTED_VALUE"""),"Marginal Stability")</f>
        <v>Marginal Stability</v>
      </c>
      <c r="I14" s="12" t="str">
        <f>IFERROR(__xludf.DUMMYFUNCTION("""COMPUTED_VALUE"""),"Engine with Thrust Mount and Injector")</f>
        <v>Engine with Thrust Mount and Injector</v>
      </c>
      <c r="J14" s="2" t="str">
        <f>IFERROR(__xludf.DUMMYFUNCTION("""COMPUTED_VALUE"""),"Multiple")</f>
        <v>Multiple</v>
      </c>
      <c r="K14" s="2" t="str">
        <f>IFERROR(__xludf.DUMMYFUNCTION("""COMPUTED_VALUE"""),"Imperial")</f>
        <v>Imperial</v>
      </c>
      <c r="L14" s="18" t="str">
        <f>IFERROR(__xludf.DUMMYFUNCTION("""COMPUTED_VALUE"""),"Luis Perez and Nick Ashforth")</f>
        <v>Luis Perez and Nick Ashforth</v>
      </c>
      <c r="M14" s="33">
        <f>IFERROR(__xludf.DUMMYFUNCTION("""COMPUTED_VALUE"""),43537.0)</f>
        <v>43537</v>
      </c>
      <c r="N14" s="34" t="str">
        <f>IFERROR(__xludf.DUMMYFUNCTION("""COMPUTED_VALUE"""),"https://drive.google.com/open?id=1-dMp_CAW1KVqk_0ZGOH_QEvGDHnSwNlR")</f>
        <v>https://drive.google.com/open?id=1-dMp_CAW1KVqk_0ZGOH_QEvGDHnSwNlR</v>
      </c>
      <c r="O14" s="18" t="str">
        <f>IFERROR(__xludf.DUMMYFUNCTION("""COMPUTED_VALUE"""),"In Progress")</f>
        <v>In Progress</v>
      </c>
      <c r="P14" s="1" t="str">
        <f>IFERROR(__xludf.DUMMYFUNCTION("""COMPUTED_VALUE"""),"")</f>
        <v/>
      </c>
      <c r="Q14" s="1" t="str">
        <f>IFERROR(__xludf.DUMMYFUNCTION("""COMPUTED_VALUE"""),"")</f>
        <v/>
      </c>
      <c r="R14" s="1" t="str">
        <f>IFERROR(__xludf.DUMMYFUNCTION("""COMPUTED_VALUE"""),"")</f>
        <v/>
      </c>
      <c r="S14" s="1" t="str">
        <f>IFERROR(__xludf.DUMMYFUNCTION("""COMPUTED_VALUE"""),"")</f>
        <v/>
      </c>
      <c r="T14" s="1" t="str">
        <f>IFERROR(__xludf.DUMMYFUNCTION("""COMPUTED_VALUE"""),"")</f>
        <v/>
      </c>
      <c r="U14" s="1" t="str">
        <f>IFERROR(__xludf.DUMMYFUNCTION("""COMPUTED_VALUE"""),"")</f>
        <v/>
      </c>
      <c r="V14" s="1" t="str">
        <f>IFERROR(__xludf.DUMMYFUNCTION("""COMPUTED_VALUE"""),"")</f>
        <v/>
      </c>
      <c r="W14" s="1" t="str">
        <f>IFERROR(__xludf.DUMMYFUNCTION("""COMPUTED_VALUE"""),"")</f>
        <v/>
      </c>
      <c r="X14" s="1" t="str">
        <f>IFERROR(__xludf.DUMMYFUNCTION("""COMPUTED_VALUE"""),"")</f>
        <v/>
      </c>
      <c r="Y14" s="1" t="str">
        <f>IFERROR(__xludf.DUMMYFUNCTION("""COMPUTED_VALUE"""),"")</f>
        <v/>
      </c>
      <c r="Z14" s="1" t="str">
        <f>IFERROR(__xludf.DUMMYFUNCTION("""COMPUTED_VALUE"""),"")</f>
        <v/>
      </c>
      <c r="AA14" s="1" t="str">
        <f>IFERROR(__xludf.DUMMYFUNCTION("""COMPUTED_VALUE"""),"")</f>
        <v/>
      </c>
      <c r="AB14" s="1" t="str">
        <f>IFERROR(__xludf.DUMMYFUNCTION("""COMPUTED_VALUE"""),"")</f>
        <v/>
      </c>
      <c r="AC14" s="1"/>
      <c r="AD14" s="1"/>
      <c r="AE14" s="1"/>
      <c r="AF14" s="1"/>
      <c r="AG14" s="1"/>
      <c r="AH14" s="1"/>
      <c r="AI14" s="1"/>
      <c r="AJ14" s="1"/>
    </row>
    <row r="15">
      <c r="A15" s="7"/>
      <c r="B15" s="8"/>
      <c r="C15" s="9">
        <f>IFERROR(__xludf.DUMMYFUNCTION("""COMPUTED_VALUE"""),11001.0)</f>
        <v>11001</v>
      </c>
      <c r="D15" s="10" t="str">
        <f>IFERROR(__xludf.DUMMYFUNCTION("""COMPUTED_VALUE"""),"R01")</f>
        <v>R01</v>
      </c>
      <c r="E15" s="11" t="str">
        <f>IFERROR(__xludf.DUMMYFUNCTION("""COMPUTED_VALUE"""),"Inv_Injector")</f>
        <v>Inv_Injector</v>
      </c>
      <c r="F15" s="18" t="str">
        <f>IFERROR(__xludf.DUMMYFUNCTION("""COMPUTED_VALUE"""),"Analysis")</f>
        <v>Analysis</v>
      </c>
      <c r="G15" s="2" t="str">
        <f>IFERROR(__xludf.DUMMYFUNCTION("""COMPUTED_VALUE"""),"Solidworks/ANSYS")</f>
        <v>Solidworks/ANSYS</v>
      </c>
      <c r="H15" s="2" t="str">
        <f>IFERROR(__xludf.DUMMYFUNCTION("""COMPUTED_VALUE"""),"Marginal Stability")</f>
        <v>Marginal Stability</v>
      </c>
      <c r="I15" s="12" t="str">
        <f>IFERROR(__xludf.DUMMYFUNCTION("""COMPUTED_VALUE"""),"Inv. geom. for CFD")</f>
        <v>Inv. geom. for CFD</v>
      </c>
      <c r="J15" s="2" t="str">
        <f>IFERROR(__xludf.DUMMYFUNCTION("""COMPUTED_VALUE"""),"N/A")</f>
        <v>N/A</v>
      </c>
      <c r="K15" s="2" t="str">
        <f>IFERROR(__xludf.DUMMYFUNCTION("""COMPUTED_VALUE"""),"Imperial")</f>
        <v>Imperial</v>
      </c>
      <c r="L15" s="2" t="str">
        <f>IFERROR(__xludf.DUMMYFUNCTION("""COMPUTED_VALUE"""),"Jonathan Zhang")</f>
        <v>Jonathan Zhang</v>
      </c>
      <c r="M15" s="21">
        <f>IFERROR(__xludf.DUMMYFUNCTION("""COMPUTED_VALUE"""),43356.0)</f>
        <v>43356</v>
      </c>
      <c r="N15" s="17" t="str">
        <f>IFERROR(__xludf.DUMMYFUNCTION("""COMPUTED_VALUE"""),"https://drive.google.com/open?id=1bdJ9ns6-CuUPH6e-EA8DdvkD2jxBaETV")</f>
        <v>https://drive.google.com/open?id=1bdJ9ns6-CuUPH6e-EA8DdvkD2jxBaETV</v>
      </c>
      <c r="O15" s="18" t="str">
        <f>IFERROR(__xludf.DUMMYFUNCTION("""COMPUTED_VALUE"""),"C")</f>
        <v>C</v>
      </c>
      <c r="P15" s="1" t="str">
        <f>IFERROR(__xludf.DUMMYFUNCTION("""COMPUTED_VALUE"""),"")</f>
        <v/>
      </c>
      <c r="Q15" s="1" t="str">
        <f>IFERROR(__xludf.DUMMYFUNCTION("""COMPUTED_VALUE"""),"")</f>
        <v/>
      </c>
      <c r="R15" s="1" t="str">
        <f>IFERROR(__xludf.DUMMYFUNCTION("""COMPUTED_VALUE"""),"")</f>
        <v/>
      </c>
      <c r="S15" s="1" t="str">
        <f>IFERROR(__xludf.DUMMYFUNCTION("""COMPUTED_VALUE"""),"")</f>
        <v/>
      </c>
      <c r="T15" s="1" t="str">
        <f>IFERROR(__xludf.DUMMYFUNCTION("""COMPUTED_VALUE"""),"")</f>
        <v/>
      </c>
      <c r="U15" s="1" t="str">
        <f>IFERROR(__xludf.DUMMYFUNCTION("""COMPUTED_VALUE"""),"")</f>
        <v/>
      </c>
      <c r="V15" s="1" t="str">
        <f>IFERROR(__xludf.DUMMYFUNCTION("""COMPUTED_VALUE"""),"")</f>
        <v/>
      </c>
      <c r="W15" s="1" t="str">
        <f>IFERROR(__xludf.DUMMYFUNCTION("""COMPUTED_VALUE"""),"")</f>
        <v/>
      </c>
      <c r="X15" s="1" t="str">
        <f>IFERROR(__xludf.DUMMYFUNCTION("""COMPUTED_VALUE"""),"")</f>
        <v/>
      </c>
      <c r="Y15" s="1" t="str">
        <f>IFERROR(__xludf.DUMMYFUNCTION("""COMPUTED_VALUE"""),"")</f>
        <v/>
      </c>
      <c r="Z15" s="1" t="str">
        <f>IFERROR(__xludf.DUMMYFUNCTION("""COMPUTED_VALUE"""),"")</f>
        <v/>
      </c>
      <c r="AA15" s="1" t="str">
        <f>IFERROR(__xludf.DUMMYFUNCTION("""COMPUTED_VALUE"""),"")</f>
        <v/>
      </c>
      <c r="AB15" s="1" t="str">
        <f>IFERROR(__xludf.DUMMYFUNCTION("""COMPUTED_VALUE"""),"")</f>
        <v/>
      </c>
      <c r="AC15" s="1"/>
      <c r="AD15" s="1"/>
      <c r="AE15" s="1"/>
      <c r="AF15" s="1"/>
      <c r="AG15" s="1"/>
      <c r="AH15" s="1"/>
      <c r="AI15" s="1"/>
      <c r="AJ15" s="1"/>
    </row>
    <row r="16">
      <c r="A16" s="7"/>
      <c r="B16" s="8"/>
      <c r="C16" s="9">
        <f>IFERROR(__xludf.DUMMYFUNCTION("""COMPUTED_VALUE"""),13001.0)</f>
        <v>13001</v>
      </c>
      <c r="D16" s="10" t="str">
        <f>IFERROR(__xludf.DUMMYFUNCTION("""COMPUTED_VALUE"""),"R02")</f>
        <v>R02</v>
      </c>
      <c r="E16" s="11" t="str">
        <f>IFERROR(__xludf.DUMMYFUNCTION("""COMPUTED_VALUE"""),"Thrust Plate")</f>
        <v>Thrust Plate</v>
      </c>
      <c r="F16" s="18" t="str">
        <f>IFERROR(__xludf.DUMMYFUNCTION("""COMPUTED_VALUE"""),"Propulsion")</f>
        <v>Propulsion</v>
      </c>
      <c r="G16" s="2" t="str">
        <f>IFERROR(__xludf.DUMMYFUNCTION("""COMPUTED_VALUE"""),"SolidWorks")</f>
        <v>SolidWorks</v>
      </c>
      <c r="H16" s="18" t="str">
        <f>IFERROR(__xludf.DUMMYFUNCTION("""COMPUTED_VALUE"""),"Marginal Stability")</f>
        <v>Marginal Stability</v>
      </c>
      <c r="I16" s="12" t="str">
        <f>IFERROR(__xludf.DUMMYFUNCTION("""COMPUTED_VALUE"""),"Mount for attaching motor to lower airframe")</f>
        <v>Mount for attaching motor to lower airframe</v>
      </c>
      <c r="J16" s="2" t="str">
        <f>IFERROR(__xludf.DUMMYFUNCTION("""COMPUTED_VALUE"""),"6061-T6")</f>
        <v>6061-T6</v>
      </c>
      <c r="K16" s="2" t="str">
        <f>IFERROR(__xludf.DUMMYFUNCTION("""COMPUTED_VALUE"""),"Imperial")</f>
        <v>Imperial</v>
      </c>
      <c r="L16" s="2" t="str">
        <f>IFERROR(__xludf.DUMMYFUNCTION("""COMPUTED_VALUE"""),"Joshua Elmer")</f>
        <v>Joshua Elmer</v>
      </c>
      <c r="M16" s="21" t="str">
        <f>IFERROR(__xludf.DUMMYFUNCTION("""COMPUTED_VALUE"""),"Sept/2018")</f>
        <v>Sept/2018</v>
      </c>
      <c r="N16" s="14" t="str">
        <f>IFERROR(__xludf.DUMMYFUNCTION("""COMPUTED_VALUE"""),"")</f>
        <v/>
      </c>
      <c r="O16" s="18" t="str">
        <f>IFERROR(__xludf.DUMMYFUNCTION("""COMPUTED_VALUE"""),"In Progress")</f>
        <v>In Progress</v>
      </c>
      <c r="P16" s="1" t="str">
        <f>IFERROR(__xludf.DUMMYFUNCTION("""COMPUTED_VALUE"""),"")</f>
        <v/>
      </c>
      <c r="Q16" s="1" t="str">
        <f>IFERROR(__xludf.DUMMYFUNCTION("""COMPUTED_VALUE"""),"")</f>
        <v/>
      </c>
      <c r="R16" s="1" t="str">
        <f>IFERROR(__xludf.DUMMYFUNCTION("""COMPUTED_VALUE"""),"")</f>
        <v/>
      </c>
      <c r="S16" s="1" t="str">
        <f>IFERROR(__xludf.DUMMYFUNCTION("""COMPUTED_VALUE"""),"")</f>
        <v/>
      </c>
      <c r="T16" s="1" t="str">
        <f>IFERROR(__xludf.DUMMYFUNCTION("""COMPUTED_VALUE"""),"")</f>
        <v/>
      </c>
      <c r="U16" s="1" t="str">
        <f>IFERROR(__xludf.DUMMYFUNCTION("""COMPUTED_VALUE"""),"")</f>
        <v/>
      </c>
      <c r="V16" s="1" t="str">
        <f>IFERROR(__xludf.DUMMYFUNCTION("""COMPUTED_VALUE"""),"")</f>
        <v/>
      </c>
      <c r="W16" s="1" t="str">
        <f>IFERROR(__xludf.DUMMYFUNCTION("""COMPUTED_VALUE"""),"")</f>
        <v/>
      </c>
      <c r="X16" s="1" t="str">
        <f>IFERROR(__xludf.DUMMYFUNCTION("""COMPUTED_VALUE"""),"")</f>
        <v/>
      </c>
      <c r="Y16" s="1" t="str">
        <f>IFERROR(__xludf.DUMMYFUNCTION("""COMPUTED_VALUE"""),"")</f>
        <v/>
      </c>
      <c r="Z16" s="1" t="str">
        <f>IFERROR(__xludf.DUMMYFUNCTION("""COMPUTED_VALUE"""),"")</f>
        <v/>
      </c>
      <c r="AA16" s="1" t="str">
        <f>IFERROR(__xludf.DUMMYFUNCTION("""COMPUTED_VALUE"""),"")</f>
        <v/>
      </c>
      <c r="AB16" s="1" t="str">
        <f>IFERROR(__xludf.DUMMYFUNCTION("""COMPUTED_VALUE"""),"")</f>
        <v/>
      </c>
      <c r="AC16" s="1"/>
      <c r="AD16" s="1"/>
      <c r="AE16" s="1"/>
      <c r="AF16" s="1"/>
      <c r="AG16" s="1"/>
      <c r="AH16" s="1"/>
      <c r="AI16" s="1"/>
      <c r="AJ16" s="1"/>
    </row>
    <row r="17">
      <c r="A17" s="7"/>
      <c r="B17" s="8"/>
      <c r="C17" s="9">
        <f>IFERROR(__xludf.DUMMYFUNCTION("""COMPUTED_VALUE"""),13002.0)</f>
        <v>13002</v>
      </c>
      <c r="D17" s="10" t="str">
        <f>IFERROR(__xludf.DUMMYFUNCTION("""COMPUTED_VALUE"""),"R04")</f>
        <v>R04</v>
      </c>
      <c r="E17" s="11" t="str">
        <f>IFERROR(__xludf.DUMMYFUNCTION("""COMPUTED_VALUE"""),"Injector Post")</f>
        <v>Injector Post</v>
      </c>
      <c r="F17" s="18" t="str">
        <f>IFERROR(__xludf.DUMMYFUNCTION("""COMPUTED_VALUE"""),"Propulsion")</f>
        <v>Propulsion</v>
      </c>
      <c r="G17" s="2" t="str">
        <f>IFERROR(__xludf.DUMMYFUNCTION("""COMPUTED_VALUE"""),"SolidWorks")</f>
        <v>SolidWorks</v>
      </c>
      <c r="H17" s="18" t="str">
        <f>IFERROR(__xludf.DUMMYFUNCTION("""COMPUTED_VALUE"""),"Marginal Stability")</f>
        <v>Marginal Stability</v>
      </c>
      <c r="I17" s="12" t="str">
        <f>IFERROR(__xludf.DUMMYFUNCTION("""COMPUTED_VALUE"""),"Individual injector element")</f>
        <v>Individual injector element</v>
      </c>
      <c r="J17" s="2" t="str">
        <f>IFERROR(__xludf.DUMMYFUNCTION("""COMPUTED_VALUE"""),"")</f>
        <v/>
      </c>
      <c r="K17" s="2" t="str">
        <f>IFERROR(__xludf.DUMMYFUNCTION("""COMPUTED_VALUE"""),"Imperial")</f>
        <v>Imperial</v>
      </c>
      <c r="L17" s="2" t="str">
        <f>IFERROR(__xludf.DUMMYFUNCTION("""COMPUTED_VALUE"""),"Luis Perez")</f>
        <v>Luis Perez</v>
      </c>
      <c r="M17" s="21">
        <f>IFERROR(__xludf.DUMMYFUNCTION("""COMPUTED_VALUE"""),43374.0)</f>
        <v>43374</v>
      </c>
      <c r="N17" s="17" t="str">
        <f>IFERROR(__xludf.DUMMYFUNCTION("""COMPUTED_VALUE"""),"https://drive.google.com/open?id=11GLzImQMjyVOKcHgnrQfa_RsutA5upaQ")</f>
        <v>https://drive.google.com/open?id=11GLzImQMjyVOKcHgnrQfa_RsutA5upaQ</v>
      </c>
      <c r="O17" s="18" t="str">
        <f>IFERROR(__xludf.DUMMYFUNCTION("""COMPUTED_VALUE"""),"In Progress")</f>
        <v>In Progress</v>
      </c>
      <c r="P17" s="1" t="str">
        <f>IFERROR(__xludf.DUMMYFUNCTION("""COMPUTED_VALUE"""),"")</f>
        <v/>
      </c>
      <c r="Q17" s="1" t="str">
        <f>IFERROR(__xludf.DUMMYFUNCTION("""COMPUTED_VALUE"""),"")</f>
        <v/>
      </c>
      <c r="R17" s="1" t="str">
        <f>IFERROR(__xludf.DUMMYFUNCTION("""COMPUTED_VALUE"""),"")</f>
        <v/>
      </c>
      <c r="S17" s="1" t="str">
        <f>IFERROR(__xludf.DUMMYFUNCTION("""COMPUTED_VALUE"""),"")</f>
        <v/>
      </c>
      <c r="T17" s="1" t="str">
        <f>IFERROR(__xludf.DUMMYFUNCTION("""COMPUTED_VALUE"""),"")</f>
        <v/>
      </c>
      <c r="U17" s="1" t="str">
        <f>IFERROR(__xludf.DUMMYFUNCTION("""COMPUTED_VALUE"""),"")</f>
        <v/>
      </c>
      <c r="V17" s="1" t="str">
        <f>IFERROR(__xludf.DUMMYFUNCTION("""COMPUTED_VALUE"""),"")</f>
        <v/>
      </c>
      <c r="W17" s="1" t="str">
        <f>IFERROR(__xludf.DUMMYFUNCTION("""COMPUTED_VALUE"""),"")</f>
        <v/>
      </c>
      <c r="X17" s="1" t="str">
        <f>IFERROR(__xludf.DUMMYFUNCTION("""COMPUTED_VALUE"""),"")</f>
        <v/>
      </c>
      <c r="Y17" s="1" t="str">
        <f>IFERROR(__xludf.DUMMYFUNCTION("""COMPUTED_VALUE"""),"")</f>
        <v/>
      </c>
      <c r="Z17" s="1" t="str">
        <f>IFERROR(__xludf.DUMMYFUNCTION("""COMPUTED_VALUE"""),"")</f>
        <v/>
      </c>
      <c r="AA17" s="1" t="str">
        <f>IFERROR(__xludf.DUMMYFUNCTION("""COMPUTED_VALUE"""),"")</f>
        <v/>
      </c>
      <c r="AB17" s="1" t="str">
        <f>IFERROR(__xludf.DUMMYFUNCTION("""COMPUTED_VALUE"""),"")</f>
        <v/>
      </c>
      <c r="AC17" s="1"/>
      <c r="AD17" s="1"/>
      <c r="AE17" s="1"/>
      <c r="AF17" s="1"/>
      <c r="AG17" s="1"/>
      <c r="AH17" s="1"/>
      <c r="AI17" s="1"/>
      <c r="AJ17" s="1"/>
    </row>
    <row r="18">
      <c r="A18" s="7"/>
      <c r="B18" s="8"/>
      <c r="C18" s="9">
        <f>IFERROR(__xludf.DUMMYFUNCTION("""COMPUTED_VALUE"""),13003.0)</f>
        <v>13003</v>
      </c>
      <c r="D18" s="10" t="str">
        <f>IFERROR(__xludf.DUMMYFUNCTION("""COMPUTED_VALUE"""),"R01")</f>
        <v>R01</v>
      </c>
      <c r="E18" s="11" t="str">
        <f>IFERROR(__xludf.DUMMYFUNCTION("""COMPUTED_VALUE"""),"Lower Manifold")</f>
        <v>Lower Manifold</v>
      </c>
      <c r="F18" s="18" t="str">
        <f>IFERROR(__xludf.DUMMYFUNCTION("""COMPUTED_VALUE"""),"Propulsion")</f>
        <v>Propulsion</v>
      </c>
      <c r="G18" s="2" t="str">
        <f>IFERROR(__xludf.DUMMYFUNCTION("""COMPUTED_VALUE"""),"SolidWorks")</f>
        <v>SolidWorks</v>
      </c>
      <c r="H18" s="18" t="str">
        <f>IFERROR(__xludf.DUMMYFUNCTION("""COMPUTED_VALUE"""),"Marginal Stability")</f>
        <v>Marginal Stability</v>
      </c>
      <c r="I18" s="12" t="str">
        <f>IFERROR(__xludf.DUMMYFUNCTION("""COMPUTED_VALUE"""),"Bottom Piece of Testing Manifold")</f>
        <v>Bottom Piece of Testing Manifold</v>
      </c>
      <c r="J18" s="2" t="str">
        <f>IFERROR(__xludf.DUMMYFUNCTION("""COMPUTED_VALUE"""),"")</f>
        <v/>
      </c>
      <c r="K18" s="2" t="str">
        <f>IFERROR(__xludf.DUMMYFUNCTION("""COMPUTED_VALUE"""),"Imperial")</f>
        <v>Imperial</v>
      </c>
      <c r="L18" s="2" t="str">
        <f>IFERROR(__xludf.DUMMYFUNCTION("""COMPUTED_VALUE"""),"Joseph Murad")</f>
        <v>Joseph Murad</v>
      </c>
      <c r="M18" s="21">
        <f>IFERROR(__xludf.DUMMYFUNCTION("""COMPUTED_VALUE"""),43443.0)</f>
        <v>43443</v>
      </c>
      <c r="N18" s="17" t="str">
        <f>IFERROR(__xludf.DUMMYFUNCTION("""COMPUTED_VALUE"""),"https://drive.google.com/open?id=1Lzo24uD2x3Fd724ObEwTFdAwTX4I98iN")</f>
        <v>https://drive.google.com/open?id=1Lzo24uD2x3Fd724ObEwTFdAwTX4I98iN</v>
      </c>
      <c r="O18" s="18" t="str">
        <f>IFERROR(__xludf.DUMMYFUNCTION("""COMPUTED_VALUE"""),"")</f>
        <v/>
      </c>
      <c r="P18" s="1" t="str">
        <f>IFERROR(__xludf.DUMMYFUNCTION("""COMPUTED_VALUE"""),"")</f>
        <v/>
      </c>
      <c r="Q18" s="1" t="str">
        <f>IFERROR(__xludf.DUMMYFUNCTION("""COMPUTED_VALUE"""),"")</f>
        <v/>
      </c>
      <c r="R18" s="1" t="str">
        <f>IFERROR(__xludf.DUMMYFUNCTION("""COMPUTED_VALUE"""),"")</f>
        <v/>
      </c>
      <c r="S18" s="1" t="str">
        <f>IFERROR(__xludf.DUMMYFUNCTION("""COMPUTED_VALUE"""),"")</f>
        <v/>
      </c>
      <c r="T18" s="1" t="str">
        <f>IFERROR(__xludf.DUMMYFUNCTION("""COMPUTED_VALUE"""),"")</f>
        <v/>
      </c>
      <c r="U18" s="1" t="str">
        <f>IFERROR(__xludf.DUMMYFUNCTION("""COMPUTED_VALUE"""),"")</f>
        <v/>
      </c>
      <c r="V18" s="1" t="str">
        <f>IFERROR(__xludf.DUMMYFUNCTION("""COMPUTED_VALUE"""),"")</f>
        <v/>
      </c>
      <c r="W18" s="1" t="str">
        <f>IFERROR(__xludf.DUMMYFUNCTION("""COMPUTED_VALUE"""),"")</f>
        <v/>
      </c>
      <c r="X18" s="1" t="str">
        <f>IFERROR(__xludf.DUMMYFUNCTION("""COMPUTED_VALUE"""),"")</f>
        <v/>
      </c>
      <c r="Y18" s="1" t="str">
        <f>IFERROR(__xludf.DUMMYFUNCTION("""COMPUTED_VALUE"""),"")</f>
        <v/>
      </c>
      <c r="Z18" s="1" t="str">
        <f>IFERROR(__xludf.DUMMYFUNCTION("""COMPUTED_VALUE"""),"")</f>
        <v/>
      </c>
      <c r="AA18" s="1" t="str">
        <f>IFERROR(__xludf.DUMMYFUNCTION("""COMPUTED_VALUE"""),"")</f>
        <v/>
      </c>
      <c r="AB18" s="1" t="str">
        <f>IFERROR(__xludf.DUMMYFUNCTION("""COMPUTED_VALUE"""),"")</f>
        <v/>
      </c>
      <c r="AC18" s="1"/>
      <c r="AD18" s="1"/>
      <c r="AE18" s="1"/>
      <c r="AF18" s="1"/>
      <c r="AG18" s="1"/>
      <c r="AH18" s="1"/>
      <c r="AI18" s="1"/>
      <c r="AJ18" s="1"/>
    </row>
    <row r="19">
      <c r="A19" s="7"/>
      <c r="B19" s="8"/>
      <c r="C19" s="9">
        <f>IFERROR(__xludf.DUMMYFUNCTION("""COMPUTED_VALUE"""),13004.0)</f>
        <v>13004</v>
      </c>
      <c r="D19" s="10" t="str">
        <f>IFERROR(__xludf.DUMMYFUNCTION("""COMPUTED_VALUE"""),"R01")</f>
        <v>R01</v>
      </c>
      <c r="E19" s="11" t="str">
        <f>IFERROR(__xludf.DUMMYFUNCTION("""COMPUTED_VALUE"""),"Upper Manifold")</f>
        <v>Upper Manifold</v>
      </c>
      <c r="F19" s="18" t="str">
        <f>IFERROR(__xludf.DUMMYFUNCTION("""COMPUTED_VALUE"""),"Propulsion")</f>
        <v>Propulsion</v>
      </c>
      <c r="G19" s="2" t="str">
        <f>IFERROR(__xludf.DUMMYFUNCTION("""COMPUTED_VALUE"""),"SolidWorks")</f>
        <v>SolidWorks</v>
      </c>
      <c r="H19" s="18" t="str">
        <f>IFERROR(__xludf.DUMMYFUNCTION("""COMPUTED_VALUE"""),"Marginal Stability")</f>
        <v>Marginal Stability</v>
      </c>
      <c r="I19" s="12" t="str">
        <f>IFERROR(__xludf.DUMMYFUNCTION("""COMPUTED_VALUE"""),"Top Piece of Testing Manifold")</f>
        <v>Top Piece of Testing Manifold</v>
      </c>
      <c r="J19" s="2" t="str">
        <f>IFERROR(__xludf.DUMMYFUNCTION("""COMPUTED_VALUE"""),"")</f>
        <v/>
      </c>
      <c r="K19" s="2" t="str">
        <f>IFERROR(__xludf.DUMMYFUNCTION("""COMPUTED_VALUE"""),"Imperial")</f>
        <v>Imperial</v>
      </c>
      <c r="L19" s="2" t="str">
        <f>IFERROR(__xludf.DUMMYFUNCTION("""COMPUTED_VALUE"""),"Joseph Murad")</f>
        <v>Joseph Murad</v>
      </c>
      <c r="M19" s="21">
        <f>IFERROR(__xludf.DUMMYFUNCTION("""COMPUTED_VALUE"""),43443.0)</f>
        <v>43443</v>
      </c>
      <c r="N19" s="17" t="str">
        <f>IFERROR(__xludf.DUMMYFUNCTION("""COMPUTED_VALUE"""),"https://drive.google.com/open?id=15EONwBHUxUhPonA38wNA8QomMfEkuzki")</f>
        <v>https://drive.google.com/open?id=15EONwBHUxUhPonA38wNA8QomMfEkuzki</v>
      </c>
      <c r="O19" s="18" t="str">
        <f>IFERROR(__xludf.DUMMYFUNCTION("""COMPUTED_VALUE"""),"")</f>
        <v/>
      </c>
      <c r="P19" s="1" t="str">
        <f>IFERROR(__xludf.DUMMYFUNCTION("""COMPUTED_VALUE"""),"")</f>
        <v/>
      </c>
      <c r="Q19" s="1" t="str">
        <f>IFERROR(__xludf.DUMMYFUNCTION("""COMPUTED_VALUE"""),"")</f>
        <v/>
      </c>
      <c r="R19" s="1" t="str">
        <f>IFERROR(__xludf.DUMMYFUNCTION("""COMPUTED_VALUE"""),"")</f>
        <v/>
      </c>
      <c r="S19" s="1" t="str">
        <f>IFERROR(__xludf.DUMMYFUNCTION("""COMPUTED_VALUE"""),"")</f>
        <v/>
      </c>
      <c r="T19" s="1" t="str">
        <f>IFERROR(__xludf.DUMMYFUNCTION("""COMPUTED_VALUE"""),"")</f>
        <v/>
      </c>
      <c r="U19" s="1" t="str">
        <f>IFERROR(__xludf.DUMMYFUNCTION("""COMPUTED_VALUE"""),"")</f>
        <v/>
      </c>
      <c r="V19" s="1" t="str">
        <f>IFERROR(__xludf.DUMMYFUNCTION("""COMPUTED_VALUE"""),"")</f>
        <v/>
      </c>
      <c r="W19" s="1" t="str">
        <f>IFERROR(__xludf.DUMMYFUNCTION("""COMPUTED_VALUE"""),"")</f>
        <v/>
      </c>
      <c r="X19" s="1" t="str">
        <f>IFERROR(__xludf.DUMMYFUNCTION("""COMPUTED_VALUE"""),"")</f>
        <v/>
      </c>
      <c r="Y19" s="1" t="str">
        <f>IFERROR(__xludf.DUMMYFUNCTION("""COMPUTED_VALUE"""),"")</f>
        <v/>
      </c>
      <c r="Z19" s="1" t="str">
        <f>IFERROR(__xludf.DUMMYFUNCTION("""COMPUTED_VALUE"""),"")</f>
        <v/>
      </c>
      <c r="AA19" s="1" t="str">
        <f>IFERROR(__xludf.DUMMYFUNCTION("""COMPUTED_VALUE"""),"")</f>
        <v/>
      </c>
      <c r="AB19" s="1" t="str">
        <f>IFERROR(__xludf.DUMMYFUNCTION("""COMPUTED_VALUE"""),"")</f>
        <v/>
      </c>
      <c r="AC19" s="1"/>
      <c r="AD19" s="1"/>
      <c r="AE19" s="1"/>
      <c r="AF19" s="1"/>
      <c r="AG19" s="1"/>
      <c r="AH19" s="1"/>
      <c r="AI19" s="1"/>
      <c r="AJ19" s="1"/>
    </row>
    <row r="20">
      <c r="A20" s="7"/>
      <c r="B20" s="8"/>
      <c r="C20" s="9">
        <f>IFERROR(__xludf.DUMMYFUNCTION("""COMPUTED_VALUE"""),13005.0)</f>
        <v>13005</v>
      </c>
      <c r="D20" s="10" t="str">
        <f>IFERROR(__xludf.DUMMYFUNCTION("""COMPUTED_VALUE"""),"R01")</f>
        <v>R01</v>
      </c>
      <c r="E20" s="11" t="str">
        <f>IFERROR(__xludf.DUMMYFUNCTION("""COMPUTED_VALUE"""),"Manifold Collar")</f>
        <v>Manifold Collar</v>
      </c>
      <c r="F20" s="18" t="str">
        <f>IFERROR(__xludf.DUMMYFUNCTION("""COMPUTED_VALUE"""),"Propulsion")</f>
        <v>Propulsion</v>
      </c>
      <c r="G20" s="2" t="str">
        <f>IFERROR(__xludf.DUMMYFUNCTION("""COMPUTED_VALUE"""),"SolidWorks")</f>
        <v>SolidWorks</v>
      </c>
      <c r="H20" s="18" t="str">
        <f>IFERROR(__xludf.DUMMYFUNCTION("""COMPUTED_VALUE"""),"Marginal Stability")</f>
        <v>Marginal Stability</v>
      </c>
      <c r="I20" s="22" t="str">
        <f>IFERROR(__xludf.DUMMYFUNCTION("""COMPUTED_VALUE"""),"Manifold Collar")</f>
        <v>Manifold Collar</v>
      </c>
      <c r="J20" s="2" t="str">
        <f>IFERROR(__xludf.DUMMYFUNCTION("""COMPUTED_VALUE"""),"")</f>
        <v/>
      </c>
      <c r="K20" s="2" t="str">
        <f>IFERROR(__xludf.DUMMYFUNCTION("""COMPUTED_VALUE"""),"Imperial")</f>
        <v>Imperial</v>
      </c>
      <c r="L20" s="2" t="str">
        <f>IFERROR(__xludf.DUMMYFUNCTION("""COMPUTED_VALUE"""),"Joseph Murad")</f>
        <v>Joseph Murad</v>
      </c>
      <c r="M20" s="21">
        <f>IFERROR(__xludf.DUMMYFUNCTION("""COMPUTED_VALUE"""),43443.0)</f>
        <v>43443</v>
      </c>
      <c r="N20" s="17" t="str">
        <f>IFERROR(__xludf.DUMMYFUNCTION("""COMPUTED_VALUE"""),"https://drive.google.com/open?id=1JRLlKoq7Q6YJiYtDq6vGGAF04ELHjpDS")</f>
        <v>https://drive.google.com/open?id=1JRLlKoq7Q6YJiYtDq6vGGAF04ELHjpDS</v>
      </c>
      <c r="O20" s="18" t="str">
        <f>IFERROR(__xludf.DUMMYFUNCTION("""COMPUTED_VALUE"""),"")</f>
        <v/>
      </c>
      <c r="P20" s="1" t="str">
        <f>IFERROR(__xludf.DUMMYFUNCTION("""COMPUTED_VALUE"""),"")</f>
        <v/>
      </c>
      <c r="Q20" s="1" t="str">
        <f>IFERROR(__xludf.DUMMYFUNCTION("""COMPUTED_VALUE"""),"")</f>
        <v/>
      </c>
      <c r="R20" s="1" t="str">
        <f>IFERROR(__xludf.DUMMYFUNCTION("""COMPUTED_VALUE"""),"")</f>
        <v/>
      </c>
      <c r="S20" s="1" t="str">
        <f>IFERROR(__xludf.DUMMYFUNCTION("""COMPUTED_VALUE"""),"")</f>
        <v/>
      </c>
      <c r="T20" s="1" t="str">
        <f>IFERROR(__xludf.DUMMYFUNCTION("""COMPUTED_VALUE"""),"")</f>
        <v/>
      </c>
      <c r="U20" s="1" t="str">
        <f>IFERROR(__xludf.DUMMYFUNCTION("""COMPUTED_VALUE"""),"")</f>
        <v/>
      </c>
      <c r="V20" s="1" t="str">
        <f>IFERROR(__xludf.DUMMYFUNCTION("""COMPUTED_VALUE"""),"")</f>
        <v/>
      </c>
      <c r="W20" s="1" t="str">
        <f>IFERROR(__xludf.DUMMYFUNCTION("""COMPUTED_VALUE"""),"")</f>
        <v/>
      </c>
      <c r="X20" s="1" t="str">
        <f>IFERROR(__xludf.DUMMYFUNCTION("""COMPUTED_VALUE"""),"")</f>
        <v/>
      </c>
      <c r="Y20" s="1" t="str">
        <f>IFERROR(__xludf.DUMMYFUNCTION("""COMPUTED_VALUE"""),"")</f>
        <v/>
      </c>
      <c r="Z20" s="1" t="str">
        <f>IFERROR(__xludf.DUMMYFUNCTION("""COMPUTED_VALUE"""),"")</f>
        <v/>
      </c>
      <c r="AA20" s="1" t="str">
        <f>IFERROR(__xludf.DUMMYFUNCTION("""COMPUTED_VALUE"""),"")</f>
        <v/>
      </c>
      <c r="AB20" s="1" t="str">
        <f>IFERROR(__xludf.DUMMYFUNCTION("""COMPUTED_VALUE"""),"")</f>
        <v/>
      </c>
      <c r="AC20" s="1"/>
      <c r="AD20" s="1"/>
      <c r="AE20" s="1"/>
      <c r="AF20" s="1"/>
      <c r="AG20" s="1"/>
      <c r="AH20" s="1"/>
      <c r="AI20" s="1"/>
      <c r="AJ20" s="1"/>
    </row>
    <row r="21">
      <c r="A21" s="7"/>
      <c r="B21" s="8"/>
      <c r="C21" s="9">
        <f>IFERROR(__xludf.DUMMYFUNCTION("""COMPUTED_VALUE"""),13006.0)</f>
        <v>13006</v>
      </c>
      <c r="D21" s="10" t="str">
        <f>IFERROR(__xludf.DUMMYFUNCTION("""COMPUTED_VALUE"""),"R01")</f>
        <v>R01</v>
      </c>
      <c r="E21" s="11" t="str">
        <f>IFERROR(__xludf.DUMMYFUNCTION("""COMPUTED_VALUE"""),"Bot Collar")</f>
        <v>Bot Collar</v>
      </c>
      <c r="F21" s="18" t="str">
        <f>IFERROR(__xludf.DUMMYFUNCTION("""COMPUTED_VALUE"""),"Propulsion")</f>
        <v>Propulsion</v>
      </c>
      <c r="G21" s="2" t="str">
        <f>IFERROR(__xludf.DUMMYFUNCTION("""COMPUTED_VALUE"""),"SolidWorks")</f>
        <v>SolidWorks</v>
      </c>
      <c r="H21" s="18" t="str">
        <f>IFERROR(__xludf.DUMMYFUNCTION("""COMPUTED_VALUE"""),"Marginal Stability")</f>
        <v>Marginal Stability</v>
      </c>
      <c r="I21" s="22" t="str">
        <f>IFERROR(__xludf.DUMMYFUNCTION("""COMPUTED_VALUE"""),"? ask joseph")</f>
        <v>? ask joseph</v>
      </c>
      <c r="J21" s="2" t="str">
        <f>IFERROR(__xludf.DUMMYFUNCTION("""COMPUTED_VALUE"""),"")</f>
        <v/>
      </c>
      <c r="K21" s="2" t="str">
        <f>IFERROR(__xludf.DUMMYFUNCTION("""COMPUTED_VALUE"""),"Imperial")</f>
        <v>Imperial</v>
      </c>
      <c r="L21" s="2" t="str">
        <f>IFERROR(__xludf.DUMMYFUNCTION("""COMPUTED_VALUE"""),"Joseph Murad")</f>
        <v>Joseph Murad</v>
      </c>
      <c r="M21" s="21">
        <f>IFERROR(__xludf.DUMMYFUNCTION("""COMPUTED_VALUE"""),43443.0)</f>
        <v>43443</v>
      </c>
      <c r="N21" s="14" t="str">
        <f>IFERROR(__xludf.DUMMYFUNCTION("""COMPUTED_VALUE"""),"")</f>
        <v/>
      </c>
      <c r="O21" s="18" t="str">
        <f>IFERROR(__xludf.DUMMYFUNCTION("""COMPUTED_VALUE"""),"")</f>
        <v/>
      </c>
      <c r="P21" s="1" t="str">
        <f>IFERROR(__xludf.DUMMYFUNCTION("""COMPUTED_VALUE"""),"")</f>
        <v/>
      </c>
      <c r="Q21" s="1" t="str">
        <f>IFERROR(__xludf.DUMMYFUNCTION("""COMPUTED_VALUE"""),"")</f>
        <v/>
      </c>
      <c r="R21" s="1" t="str">
        <f>IFERROR(__xludf.DUMMYFUNCTION("""COMPUTED_VALUE"""),"")</f>
        <v/>
      </c>
      <c r="S21" s="1" t="str">
        <f>IFERROR(__xludf.DUMMYFUNCTION("""COMPUTED_VALUE"""),"")</f>
        <v/>
      </c>
      <c r="T21" s="1" t="str">
        <f>IFERROR(__xludf.DUMMYFUNCTION("""COMPUTED_VALUE"""),"")</f>
        <v/>
      </c>
      <c r="U21" s="1" t="str">
        <f>IFERROR(__xludf.DUMMYFUNCTION("""COMPUTED_VALUE"""),"")</f>
        <v/>
      </c>
      <c r="V21" s="1" t="str">
        <f>IFERROR(__xludf.DUMMYFUNCTION("""COMPUTED_VALUE"""),"")</f>
        <v/>
      </c>
      <c r="W21" s="1" t="str">
        <f>IFERROR(__xludf.DUMMYFUNCTION("""COMPUTED_VALUE"""),"")</f>
        <v/>
      </c>
      <c r="X21" s="1" t="str">
        <f>IFERROR(__xludf.DUMMYFUNCTION("""COMPUTED_VALUE"""),"")</f>
        <v/>
      </c>
      <c r="Y21" s="1" t="str">
        <f>IFERROR(__xludf.DUMMYFUNCTION("""COMPUTED_VALUE"""),"")</f>
        <v/>
      </c>
      <c r="Z21" s="1" t="str">
        <f>IFERROR(__xludf.DUMMYFUNCTION("""COMPUTED_VALUE"""),"")</f>
        <v/>
      </c>
      <c r="AA21" s="1" t="str">
        <f>IFERROR(__xludf.DUMMYFUNCTION("""COMPUTED_VALUE"""),"")</f>
        <v/>
      </c>
      <c r="AB21" s="1" t="str">
        <f>IFERROR(__xludf.DUMMYFUNCTION("""COMPUTED_VALUE"""),"")</f>
        <v/>
      </c>
      <c r="AC21" s="1"/>
      <c r="AD21" s="1"/>
      <c r="AE21" s="1"/>
      <c r="AF21" s="1"/>
      <c r="AG21" s="1"/>
      <c r="AH21" s="1"/>
      <c r="AI21" s="1"/>
      <c r="AJ21" s="1"/>
    </row>
    <row r="22">
      <c r="A22" s="7"/>
      <c r="B22" s="8"/>
      <c r="C22" s="9">
        <f>IFERROR(__xludf.DUMMYFUNCTION("""COMPUTED_VALUE"""),13007.0)</f>
        <v>13007</v>
      </c>
      <c r="D22" s="10" t="str">
        <f>IFERROR(__xludf.DUMMYFUNCTION("""COMPUTED_VALUE"""),"R01")</f>
        <v>R01</v>
      </c>
      <c r="E22" s="23" t="str">
        <f>IFERROR(__xludf.DUMMYFUNCTION("""COMPUTED_VALUE"""),"Thrust Mount")</f>
        <v>Thrust Mount</v>
      </c>
      <c r="F22" s="18" t="str">
        <f>IFERROR(__xludf.DUMMYFUNCTION("""COMPUTED_VALUE"""),"Propulsion")</f>
        <v>Propulsion</v>
      </c>
      <c r="G22" s="2" t="str">
        <f>IFERROR(__xludf.DUMMYFUNCTION("""COMPUTED_VALUE"""),"SolidWorks")</f>
        <v>SolidWorks</v>
      </c>
      <c r="H22" s="18" t="str">
        <f>IFERROR(__xludf.DUMMYFUNCTION("""COMPUTED_VALUE"""),"Marginal Stability")</f>
        <v>Marginal Stability</v>
      </c>
      <c r="I22" s="12" t="str">
        <f>IFERROR(__xludf.DUMMYFUNCTION("""COMPUTED_VALUE"""),"Injector - Aerostructure Interface")</f>
        <v>Injector - Aerostructure Interface</v>
      </c>
      <c r="J22" s="2" t="str">
        <f>IFERROR(__xludf.DUMMYFUNCTION("""COMPUTED_VALUE"""),"Al 6061-T6")</f>
        <v>Al 6061-T6</v>
      </c>
      <c r="K22" s="2" t="str">
        <f>IFERROR(__xludf.DUMMYFUNCTION("""COMPUTED_VALUE"""),"Imperial")</f>
        <v>Imperial</v>
      </c>
      <c r="L22" s="2" t="str">
        <f>IFERROR(__xludf.DUMMYFUNCTION("""COMPUTED_VALUE"""),"Luis Calle")</f>
        <v>Luis Calle</v>
      </c>
      <c r="M22" s="39">
        <f>IFERROR(__xludf.DUMMYFUNCTION("""COMPUTED_VALUE"""),43119.0)</f>
        <v>43119</v>
      </c>
      <c r="N22" s="40" t="str">
        <f>IFERROR(__xludf.DUMMYFUNCTION("""COMPUTED_VALUE"""),"https://drive.google.com/open?id=1iROIOWN2H3OVrmbOyx4elAgc0Su02Uvn")</f>
        <v>https://drive.google.com/open?id=1iROIOWN2H3OVrmbOyx4elAgc0Su02Uvn</v>
      </c>
      <c r="O22" s="18" t="str">
        <f>IFERROR(__xludf.DUMMYFUNCTION("""COMPUTED_VALUE"""),"In Progress")</f>
        <v>In Progress</v>
      </c>
      <c r="P22" s="1" t="str">
        <f>IFERROR(__xludf.DUMMYFUNCTION("""COMPUTED_VALUE"""),"")</f>
        <v/>
      </c>
      <c r="Q22" s="1" t="str">
        <f>IFERROR(__xludf.DUMMYFUNCTION("""COMPUTED_VALUE"""),"")</f>
        <v/>
      </c>
      <c r="R22" s="1" t="str">
        <f>IFERROR(__xludf.DUMMYFUNCTION("""COMPUTED_VALUE"""),"")</f>
        <v/>
      </c>
      <c r="S22" s="1" t="str">
        <f>IFERROR(__xludf.DUMMYFUNCTION("""COMPUTED_VALUE"""),"")</f>
        <v/>
      </c>
      <c r="T22" s="1" t="str">
        <f>IFERROR(__xludf.DUMMYFUNCTION("""COMPUTED_VALUE"""),"")</f>
        <v/>
      </c>
      <c r="U22" s="1" t="str">
        <f>IFERROR(__xludf.DUMMYFUNCTION("""COMPUTED_VALUE"""),"")</f>
        <v/>
      </c>
      <c r="V22" s="1" t="str">
        <f>IFERROR(__xludf.DUMMYFUNCTION("""COMPUTED_VALUE"""),"")</f>
        <v/>
      </c>
      <c r="W22" s="1" t="str">
        <f>IFERROR(__xludf.DUMMYFUNCTION("""COMPUTED_VALUE"""),"")</f>
        <v/>
      </c>
      <c r="X22" s="1" t="str">
        <f>IFERROR(__xludf.DUMMYFUNCTION("""COMPUTED_VALUE"""),"")</f>
        <v/>
      </c>
      <c r="Y22" s="1" t="str">
        <f>IFERROR(__xludf.DUMMYFUNCTION("""COMPUTED_VALUE"""),"")</f>
        <v/>
      </c>
      <c r="Z22" s="1" t="str">
        <f>IFERROR(__xludf.DUMMYFUNCTION("""COMPUTED_VALUE"""),"")</f>
        <v/>
      </c>
      <c r="AA22" s="1" t="str">
        <f>IFERROR(__xludf.DUMMYFUNCTION("""COMPUTED_VALUE"""),"")</f>
        <v/>
      </c>
      <c r="AB22" s="1" t="str">
        <f>IFERROR(__xludf.DUMMYFUNCTION("""COMPUTED_VALUE"""),"")</f>
        <v/>
      </c>
      <c r="AC22" s="1"/>
      <c r="AD22" s="1"/>
      <c r="AE22" s="1"/>
      <c r="AF22" s="1"/>
      <c r="AG22" s="1"/>
      <c r="AH22" s="1"/>
      <c r="AI22" s="1"/>
      <c r="AJ22" s="1"/>
    </row>
    <row r="23">
      <c r="A23" s="7"/>
      <c r="B23" s="8"/>
      <c r="C23" s="9">
        <f>IFERROR(__xludf.DUMMYFUNCTION("""COMPUTED_VALUE"""),13008.0)</f>
        <v>13008</v>
      </c>
      <c r="D23" s="10" t="str">
        <f>IFERROR(__xludf.DUMMYFUNCTION("""COMPUTED_VALUE"""),"R03")</f>
        <v>R03</v>
      </c>
      <c r="E23" s="23" t="str">
        <f>IFERROR(__xludf.DUMMYFUNCTION("""COMPUTED_VALUE"""),"Injector Plate")</f>
        <v>Injector Plate</v>
      </c>
      <c r="F23" s="18" t="str">
        <f>IFERROR(__xludf.DUMMYFUNCTION("""COMPUTED_VALUE"""),"Propulsion")</f>
        <v>Propulsion</v>
      </c>
      <c r="G23" s="2" t="str">
        <f>IFERROR(__xludf.DUMMYFUNCTION("""COMPUTED_VALUE"""),"SolidWorks")</f>
        <v>SolidWorks</v>
      </c>
      <c r="H23" s="18" t="str">
        <f>IFERROR(__xludf.DUMMYFUNCTION("""COMPUTED_VALUE"""),"Marginal Stability")</f>
        <v>Marginal Stability</v>
      </c>
      <c r="I23" s="12" t="str">
        <f>IFERROR(__xludf.DUMMYFUNCTION("""COMPUTED_VALUE"""),"Injector Plate interfacing with TCA")</f>
        <v>Injector Plate interfacing with TCA</v>
      </c>
      <c r="J23" s="2" t="str">
        <f>IFERROR(__xludf.DUMMYFUNCTION("""COMPUTED_VALUE"""),"")</f>
        <v/>
      </c>
      <c r="K23" s="2" t="str">
        <f>IFERROR(__xludf.DUMMYFUNCTION("""COMPUTED_VALUE"""),"Imperial")</f>
        <v>Imperial</v>
      </c>
      <c r="L23" s="2" t="str">
        <f>IFERROR(__xludf.DUMMYFUNCTION("""COMPUTED_VALUE"""),"Luis Perez")</f>
        <v>Luis Perez</v>
      </c>
      <c r="M23" s="21">
        <f>IFERROR(__xludf.DUMMYFUNCTION("""COMPUTED_VALUE"""),43514.0)</f>
        <v>43514</v>
      </c>
      <c r="N23" s="17" t="str">
        <f>IFERROR(__xludf.DUMMYFUNCTION("""COMPUTED_VALUE"""),"https://drive.google.com/open?id=1Xs5DumGkjYO--vLFcwFjdFdRstTMob4K")</f>
        <v>https://drive.google.com/open?id=1Xs5DumGkjYO--vLFcwFjdFdRstTMob4K</v>
      </c>
      <c r="O23" s="18" t="str">
        <f>IFERROR(__xludf.DUMMYFUNCTION("""COMPUTED_VALUE"""),"In Progress")</f>
        <v>In Progress</v>
      </c>
      <c r="P23" s="1" t="str">
        <f>IFERROR(__xludf.DUMMYFUNCTION("""COMPUTED_VALUE"""),"")</f>
        <v/>
      </c>
      <c r="Q23" s="1" t="str">
        <f>IFERROR(__xludf.DUMMYFUNCTION("""COMPUTED_VALUE"""),"")</f>
        <v/>
      </c>
      <c r="R23" s="1" t="str">
        <f>IFERROR(__xludf.DUMMYFUNCTION("""COMPUTED_VALUE"""),"")</f>
        <v/>
      </c>
      <c r="S23" s="1" t="str">
        <f>IFERROR(__xludf.DUMMYFUNCTION("""COMPUTED_VALUE"""),"")</f>
        <v/>
      </c>
      <c r="T23" s="1" t="str">
        <f>IFERROR(__xludf.DUMMYFUNCTION("""COMPUTED_VALUE"""),"")</f>
        <v/>
      </c>
      <c r="U23" s="1" t="str">
        <f>IFERROR(__xludf.DUMMYFUNCTION("""COMPUTED_VALUE"""),"")</f>
        <v/>
      </c>
      <c r="V23" s="1" t="str">
        <f>IFERROR(__xludf.DUMMYFUNCTION("""COMPUTED_VALUE"""),"")</f>
        <v/>
      </c>
      <c r="W23" s="1" t="str">
        <f>IFERROR(__xludf.DUMMYFUNCTION("""COMPUTED_VALUE"""),"")</f>
        <v/>
      </c>
      <c r="X23" s="1" t="str">
        <f>IFERROR(__xludf.DUMMYFUNCTION("""COMPUTED_VALUE"""),"")</f>
        <v/>
      </c>
      <c r="Y23" s="1" t="str">
        <f>IFERROR(__xludf.DUMMYFUNCTION("""COMPUTED_VALUE"""),"")</f>
        <v/>
      </c>
      <c r="Z23" s="1" t="str">
        <f>IFERROR(__xludf.DUMMYFUNCTION("""COMPUTED_VALUE"""),"")</f>
        <v/>
      </c>
      <c r="AA23" s="1" t="str">
        <f>IFERROR(__xludf.DUMMYFUNCTION("""COMPUTED_VALUE"""),"")</f>
        <v/>
      </c>
      <c r="AB23" s="1" t="str">
        <f>IFERROR(__xludf.DUMMYFUNCTION("""COMPUTED_VALUE"""),"")</f>
        <v/>
      </c>
      <c r="AC23" s="1"/>
      <c r="AD23" s="1"/>
      <c r="AE23" s="1"/>
      <c r="AF23" s="1"/>
      <c r="AG23" s="1"/>
      <c r="AH23" s="1"/>
      <c r="AI23" s="1"/>
      <c r="AJ23" s="1"/>
    </row>
    <row r="24">
      <c r="A24" s="7"/>
      <c r="B24" s="8"/>
      <c r="C24" s="9">
        <f>IFERROR(__xludf.DUMMYFUNCTION("""COMPUTED_VALUE"""),13009.0)</f>
        <v>13009</v>
      </c>
      <c r="D24" s="10" t="str">
        <f>IFERROR(__xludf.DUMMYFUNCTION("""COMPUTED_VALUE"""),"R01")</f>
        <v>R01</v>
      </c>
      <c r="E24" s="23" t="str">
        <f>IFERROR(__xludf.DUMMYFUNCTION("""COMPUTED_VALUE"""),"LOX Dome")</f>
        <v>LOX Dome</v>
      </c>
      <c r="F24" s="18" t="str">
        <f>IFERROR(__xludf.DUMMYFUNCTION("""COMPUTED_VALUE"""),"Propulsion")</f>
        <v>Propulsion</v>
      </c>
      <c r="G24" s="2" t="str">
        <f>IFERROR(__xludf.DUMMYFUNCTION("""COMPUTED_VALUE"""),"SolidWorks")</f>
        <v>SolidWorks</v>
      </c>
      <c r="H24" s="18" t="str">
        <f>IFERROR(__xludf.DUMMYFUNCTION("""COMPUTED_VALUE"""),"Marginal Stability")</f>
        <v>Marginal Stability</v>
      </c>
      <c r="I24" s="12" t="str">
        <f>IFERROR(__xludf.DUMMYFUNCTION("""COMPUTED_VALUE"""),"Dome for the LOx side of the Injector")</f>
        <v>Dome for the LOx side of the Injector</v>
      </c>
      <c r="J24" s="2" t="str">
        <f>IFERROR(__xludf.DUMMYFUNCTION("""COMPUTED_VALUE"""),"Stainless Steel 303")</f>
        <v>Stainless Steel 303</v>
      </c>
      <c r="K24" s="2" t="str">
        <f>IFERROR(__xludf.DUMMYFUNCTION("""COMPUTED_VALUE"""),"Imperial")</f>
        <v>Imperial</v>
      </c>
      <c r="L24" s="2" t="str">
        <f>IFERROR(__xludf.DUMMYFUNCTION("""COMPUTED_VALUE"""),"Luis Perez")</f>
        <v>Luis Perez</v>
      </c>
      <c r="M24" s="21">
        <f>IFERROR(__xludf.DUMMYFUNCTION("""COMPUTED_VALUE"""),43648.0)</f>
        <v>43648</v>
      </c>
      <c r="N24" s="14" t="str">
        <f>IFERROR(__xludf.DUMMYFUNCTION("""COMPUTED_VALUE"""),"")</f>
        <v/>
      </c>
      <c r="O24" s="18" t="str">
        <f>IFERROR(__xludf.DUMMYFUNCTION("""COMPUTED_VALUE"""),"In Progress")</f>
        <v>In Progress</v>
      </c>
      <c r="P24" s="1" t="str">
        <f>IFERROR(__xludf.DUMMYFUNCTION("""COMPUTED_VALUE"""),"")</f>
        <v/>
      </c>
      <c r="Q24" s="1" t="str">
        <f>IFERROR(__xludf.DUMMYFUNCTION("""COMPUTED_VALUE"""),"")</f>
        <v/>
      </c>
      <c r="R24" s="1" t="str">
        <f>IFERROR(__xludf.DUMMYFUNCTION("""COMPUTED_VALUE"""),"")</f>
        <v/>
      </c>
      <c r="S24" s="1" t="str">
        <f>IFERROR(__xludf.DUMMYFUNCTION("""COMPUTED_VALUE"""),"")</f>
        <v/>
      </c>
      <c r="T24" s="1" t="str">
        <f>IFERROR(__xludf.DUMMYFUNCTION("""COMPUTED_VALUE"""),"")</f>
        <v/>
      </c>
      <c r="U24" s="1" t="str">
        <f>IFERROR(__xludf.DUMMYFUNCTION("""COMPUTED_VALUE"""),"")</f>
        <v/>
      </c>
      <c r="V24" s="1" t="str">
        <f>IFERROR(__xludf.DUMMYFUNCTION("""COMPUTED_VALUE"""),"")</f>
        <v/>
      </c>
      <c r="W24" s="1" t="str">
        <f>IFERROR(__xludf.DUMMYFUNCTION("""COMPUTED_VALUE"""),"")</f>
        <v/>
      </c>
      <c r="X24" s="1" t="str">
        <f>IFERROR(__xludf.DUMMYFUNCTION("""COMPUTED_VALUE"""),"")</f>
        <v/>
      </c>
      <c r="Y24" s="1" t="str">
        <f>IFERROR(__xludf.DUMMYFUNCTION("""COMPUTED_VALUE"""),"")</f>
        <v/>
      </c>
      <c r="Z24" s="1" t="str">
        <f>IFERROR(__xludf.DUMMYFUNCTION("""COMPUTED_VALUE"""),"")</f>
        <v/>
      </c>
      <c r="AA24" s="1" t="str">
        <f>IFERROR(__xludf.DUMMYFUNCTION("""COMPUTED_VALUE"""),"")</f>
        <v/>
      </c>
      <c r="AB24" s="1" t="str">
        <f>IFERROR(__xludf.DUMMYFUNCTION("""COMPUTED_VALUE"""),"")</f>
        <v/>
      </c>
      <c r="AC24" s="1"/>
      <c r="AD24" s="1"/>
      <c r="AE24" s="1"/>
      <c r="AF24" s="1"/>
      <c r="AG24" s="1"/>
      <c r="AH24" s="1"/>
      <c r="AI24" s="1"/>
      <c r="AJ24" s="1"/>
    </row>
    <row r="25">
      <c r="A25" s="7"/>
      <c r="B25" s="8"/>
      <c r="C25" s="9">
        <f>IFERROR(__xludf.DUMMYFUNCTION("""COMPUTED_VALUE"""),13100.0)</f>
        <v>13100</v>
      </c>
      <c r="D25" s="10" t="str">
        <f>IFERROR(__xludf.DUMMYFUNCTION("""COMPUTED_VALUE"""),"R02")</f>
        <v>R02</v>
      </c>
      <c r="E25" s="23" t="str">
        <f>IFERROR(__xludf.DUMMYFUNCTION("""COMPUTED_VALUE"""),"Thrust Chamber")</f>
        <v>Thrust Chamber</v>
      </c>
      <c r="F25" s="18" t="str">
        <f>IFERROR(__xludf.DUMMYFUNCTION("""COMPUTED_VALUE"""),"Propulsion")</f>
        <v>Propulsion</v>
      </c>
      <c r="G25" s="2" t="str">
        <f>IFERROR(__xludf.DUMMYFUNCTION("""COMPUTED_VALUE"""),"SolidWorks")</f>
        <v>SolidWorks</v>
      </c>
      <c r="H25" s="18" t="str">
        <f>IFERROR(__xludf.DUMMYFUNCTION("""COMPUTED_VALUE"""),"Marginal Stability")</f>
        <v>Marginal Stability</v>
      </c>
      <c r="I25" s="12" t="str">
        <f>IFERROR(__xludf.DUMMYFUNCTION("""COMPUTED_VALUE"""),"Main engine body")</f>
        <v>Main engine body</v>
      </c>
      <c r="J25" s="2" t="str">
        <f>IFERROR(__xludf.DUMMYFUNCTION("""COMPUTED_VALUE"""),"Inconel 718")</f>
        <v>Inconel 718</v>
      </c>
      <c r="K25" s="2" t="str">
        <f>IFERROR(__xludf.DUMMYFUNCTION("""COMPUTED_VALUE"""),"Imperial")</f>
        <v>Imperial</v>
      </c>
      <c r="L25" s="2" t="str">
        <f>IFERROR(__xludf.DUMMYFUNCTION("""COMPUTED_VALUE"""),"Nicholas Ashforth")</f>
        <v>Nicholas Ashforth</v>
      </c>
      <c r="M25" s="21">
        <f>IFERROR(__xludf.DUMMYFUNCTION("""COMPUTED_VALUE"""),43533.0)</f>
        <v>43533</v>
      </c>
      <c r="N25" s="17" t="str">
        <f>IFERROR(__xludf.DUMMYFUNCTION("""COMPUTED_VALUE"""),"Link")</f>
        <v>Link</v>
      </c>
      <c r="O25" s="18" t="str">
        <f>IFERROR(__xludf.DUMMYFUNCTION("""COMPUTED_VALUE"""),"In Progress")</f>
        <v>In Progress</v>
      </c>
      <c r="P25" s="1" t="str">
        <f>IFERROR(__xludf.DUMMYFUNCTION("""COMPUTED_VALUE"""),"")</f>
        <v/>
      </c>
      <c r="Q25" s="1" t="str">
        <f>IFERROR(__xludf.DUMMYFUNCTION("""COMPUTED_VALUE"""),"")</f>
        <v/>
      </c>
      <c r="R25" s="1" t="str">
        <f>IFERROR(__xludf.DUMMYFUNCTION("""COMPUTED_VALUE"""),"")</f>
        <v/>
      </c>
      <c r="S25" s="1" t="str">
        <f>IFERROR(__xludf.DUMMYFUNCTION("""COMPUTED_VALUE"""),"")</f>
        <v/>
      </c>
      <c r="T25" s="1" t="str">
        <f>IFERROR(__xludf.DUMMYFUNCTION("""COMPUTED_VALUE"""),"")</f>
        <v/>
      </c>
      <c r="U25" s="1" t="str">
        <f>IFERROR(__xludf.DUMMYFUNCTION("""COMPUTED_VALUE"""),"")</f>
        <v/>
      </c>
      <c r="V25" s="1" t="str">
        <f>IFERROR(__xludf.DUMMYFUNCTION("""COMPUTED_VALUE"""),"")</f>
        <v/>
      </c>
      <c r="W25" s="1" t="str">
        <f>IFERROR(__xludf.DUMMYFUNCTION("""COMPUTED_VALUE"""),"")</f>
        <v/>
      </c>
      <c r="X25" s="1" t="str">
        <f>IFERROR(__xludf.DUMMYFUNCTION("""COMPUTED_VALUE"""),"")</f>
        <v/>
      </c>
      <c r="Y25" s="1" t="str">
        <f>IFERROR(__xludf.DUMMYFUNCTION("""COMPUTED_VALUE"""),"")</f>
        <v/>
      </c>
      <c r="Z25" s="1" t="str">
        <f>IFERROR(__xludf.DUMMYFUNCTION("""COMPUTED_VALUE"""),"")</f>
        <v/>
      </c>
      <c r="AA25" s="1" t="str">
        <f>IFERROR(__xludf.DUMMYFUNCTION("""COMPUTED_VALUE"""),"")</f>
        <v/>
      </c>
      <c r="AB25" s="1" t="str">
        <f>IFERROR(__xludf.DUMMYFUNCTION("""COMPUTED_VALUE"""),"")</f>
        <v/>
      </c>
      <c r="AC25" s="1"/>
      <c r="AD25" s="1"/>
      <c r="AE25" s="1"/>
      <c r="AF25" s="1"/>
      <c r="AG25" s="1"/>
      <c r="AH25" s="1"/>
      <c r="AI25" s="1"/>
      <c r="AJ25" s="1"/>
    </row>
    <row r="26">
      <c r="A26" s="7"/>
      <c r="B26" s="8"/>
      <c r="C26" s="9">
        <f>IFERROR(__xludf.DUMMYFUNCTION("""COMPUTED_VALUE"""),13101.0)</f>
        <v>13101</v>
      </c>
      <c r="D26" s="10" t="str">
        <f>IFERROR(__xludf.DUMMYFUNCTION("""COMPUTED_VALUE"""),"R01")</f>
        <v>R01</v>
      </c>
      <c r="E26" s="23" t="str">
        <f>IFERROR(__xludf.DUMMYFUNCTION("""COMPUTED_VALUE"""),"TCA Gasket")</f>
        <v>TCA Gasket</v>
      </c>
      <c r="F26" s="18" t="str">
        <f>IFERROR(__xludf.DUMMYFUNCTION("""COMPUTED_VALUE"""),"Propulsion")</f>
        <v>Propulsion</v>
      </c>
      <c r="G26" s="2" t="str">
        <f>IFERROR(__xludf.DUMMYFUNCTION("""COMPUTED_VALUE"""),"SolidWorks")</f>
        <v>SolidWorks</v>
      </c>
      <c r="H26" s="18" t="str">
        <f>IFERROR(__xludf.DUMMYFUNCTION("""COMPUTED_VALUE"""),"Marginal Stability")</f>
        <v>Marginal Stability</v>
      </c>
      <c r="I26" s="12" t="str">
        <f>IFERROR(__xludf.DUMMYFUNCTION("""COMPUTED_VALUE"""),"Gasket between TCA and Injector")</f>
        <v>Gasket between TCA and Injector</v>
      </c>
      <c r="J26" s="2" t="str">
        <f>IFERROR(__xludf.DUMMYFUNCTION("""COMPUTED_VALUE"""),"Copper")</f>
        <v>Copper</v>
      </c>
      <c r="K26" s="2" t="str">
        <f>IFERROR(__xludf.DUMMYFUNCTION("""COMPUTED_VALUE"""),"Imperial")</f>
        <v>Imperial</v>
      </c>
      <c r="L26" s="2" t="str">
        <f>IFERROR(__xludf.DUMMYFUNCTION("""COMPUTED_VALUE"""),"Nicholas Ashforth")</f>
        <v>Nicholas Ashforth</v>
      </c>
      <c r="M26" s="21">
        <f>IFERROR(__xludf.DUMMYFUNCTION("""COMPUTED_VALUE"""),43544.0)</f>
        <v>43544</v>
      </c>
      <c r="N26" s="40" t="str">
        <f>IFERROR(__xludf.DUMMYFUNCTION("""COMPUTED_VALUE"""),"Link")</f>
        <v>Link</v>
      </c>
      <c r="O26" s="18" t="str">
        <f>IFERROR(__xludf.DUMMYFUNCTION("""COMPUTED_VALUE"""),"In Progress")</f>
        <v>In Progress</v>
      </c>
      <c r="P26" s="1" t="str">
        <f>IFERROR(__xludf.DUMMYFUNCTION("""COMPUTED_VALUE"""),"")</f>
        <v/>
      </c>
      <c r="Q26" s="1" t="str">
        <f>IFERROR(__xludf.DUMMYFUNCTION("""COMPUTED_VALUE"""),"")</f>
        <v/>
      </c>
      <c r="R26" s="1" t="str">
        <f>IFERROR(__xludf.DUMMYFUNCTION("""COMPUTED_VALUE"""),"")</f>
        <v/>
      </c>
      <c r="S26" s="1" t="str">
        <f>IFERROR(__xludf.DUMMYFUNCTION("""COMPUTED_VALUE"""),"")</f>
        <v/>
      </c>
      <c r="T26" s="1" t="str">
        <f>IFERROR(__xludf.DUMMYFUNCTION("""COMPUTED_VALUE"""),"")</f>
        <v/>
      </c>
      <c r="U26" s="1" t="str">
        <f>IFERROR(__xludf.DUMMYFUNCTION("""COMPUTED_VALUE"""),"")</f>
        <v/>
      </c>
      <c r="V26" s="1" t="str">
        <f>IFERROR(__xludf.DUMMYFUNCTION("""COMPUTED_VALUE"""),"")</f>
        <v/>
      </c>
      <c r="W26" s="1" t="str">
        <f>IFERROR(__xludf.DUMMYFUNCTION("""COMPUTED_VALUE"""),"")</f>
        <v/>
      </c>
      <c r="X26" s="1" t="str">
        <f>IFERROR(__xludf.DUMMYFUNCTION("""COMPUTED_VALUE"""),"")</f>
        <v/>
      </c>
      <c r="Y26" s="1" t="str">
        <f>IFERROR(__xludf.DUMMYFUNCTION("""COMPUTED_VALUE"""),"")</f>
        <v/>
      </c>
      <c r="Z26" s="1" t="str">
        <f>IFERROR(__xludf.DUMMYFUNCTION("""COMPUTED_VALUE"""),"")</f>
        <v/>
      </c>
      <c r="AA26" s="1" t="str">
        <f>IFERROR(__xludf.DUMMYFUNCTION("""COMPUTED_VALUE"""),"")</f>
        <v/>
      </c>
      <c r="AB26" s="1" t="str">
        <f>IFERROR(__xludf.DUMMYFUNCTION("""COMPUTED_VALUE"""),"")</f>
        <v/>
      </c>
      <c r="AC26" s="1"/>
      <c r="AD26" s="1"/>
      <c r="AE26" s="1"/>
      <c r="AF26" s="1"/>
      <c r="AG26" s="1"/>
      <c r="AH26" s="1"/>
      <c r="AI26" s="1"/>
      <c r="AJ26" s="1"/>
    </row>
    <row r="27">
      <c r="A27" s="7"/>
      <c r="B27" s="8"/>
      <c r="C27" s="9">
        <f>IFERROR(__xludf.DUMMYFUNCTION("""COMPUTED_VALUE"""),14001.0)</f>
        <v>14001</v>
      </c>
      <c r="D27" s="10" t="str">
        <f>IFERROR(__xludf.DUMMYFUNCTION("""COMPUTED_VALUE"""),"R01")</f>
        <v>R01</v>
      </c>
      <c r="E27" s="23" t="str">
        <f>IFERROR(__xludf.DUMMYFUNCTION("""COMPUTED_VALUE"""),"Nose_Cone")</f>
        <v>Nose_Cone</v>
      </c>
      <c r="F27" s="18" t="str">
        <f>IFERROR(__xludf.DUMMYFUNCTION("""COMPUTED_VALUE"""),"Structures")</f>
        <v>Structures</v>
      </c>
      <c r="G27" s="2" t="str">
        <f>IFERROR(__xludf.DUMMYFUNCTION("""COMPUTED_VALUE"""),"SolidWorks")</f>
        <v>SolidWorks</v>
      </c>
      <c r="H27" s="18" t="str">
        <f>IFERROR(__xludf.DUMMYFUNCTION("""COMPUTED_VALUE"""),"Marginal Stability")</f>
        <v>Marginal Stability</v>
      </c>
      <c r="I27" s="12" t="str">
        <f>IFERROR(__xludf.DUMMYFUNCTION("""COMPUTED_VALUE"""),"Initial carbon-fiber nose cone mockup, gold-toned for better contrast")</f>
        <v>Initial carbon-fiber nose cone mockup, gold-toned for better contrast</v>
      </c>
      <c r="J27" s="2" t="str">
        <f>IFERROR(__xludf.DUMMYFUNCTION("""COMPUTED_VALUE"""),"Carbon fiber")</f>
        <v>Carbon fiber</v>
      </c>
      <c r="K27" s="2" t="str">
        <f>IFERROR(__xludf.DUMMYFUNCTION("""COMPUTED_VALUE"""),"Imperial")</f>
        <v>Imperial</v>
      </c>
      <c r="L27" s="2" t="str">
        <f>IFERROR(__xludf.DUMMYFUNCTION("""COMPUTED_VALUE"""),"Ross Libman")</f>
        <v>Ross Libman</v>
      </c>
      <c r="M27" s="21">
        <f>IFERROR(__xludf.DUMMYFUNCTION("""COMPUTED_VALUE"""),43306.0)</f>
        <v>43306</v>
      </c>
      <c r="N27" s="40" t="str">
        <f>IFERROR(__xludf.DUMMYFUNCTION("""COMPUTED_VALUE"""),"https://drive.google.com/open?id=1XG6XpoKgHJIuK-rC99yPlm19kRrlGlpZ")</f>
        <v>https://drive.google.com/open?id=1XG6XpoKgHJIuK-rC99yPlm19kRrlGlpZ</v>
      </c>
      <c r="O27" s="18" t="str">
        <f>IFERROR(__xludf.DUMMYFUNCTION("""COMPUTED_VALUE"""),"In progress")</f>
        <v>In progress</v>
      </c>
      <c r="P27" s="1" t="str">
        <f>IFERROR(__xludf.DUMMYFUNCTION("""COMPUTED_VALUE"""),"")</f>
        <v/>
      </c>
      <c r="Q27" s="1" t="str">
        <f>IFERROR(__xludf.DUMMYFUNCTION("""COMPUTED_VALUE"""),"")</f>
        <v/>
      </c>
      <c r="R27" s="1" t="str">
        <f>IFERROR(__xludf.DUMMYFUNCTION("""COMPUTED_VALUE"""),"")</f>
        <v/>
      </c>
      <c r="S27" s="1" t="str">
        <f>IFERROR(__xludf.DUMMYFUNCTION("""COMPUTED_VALUE"""),"")</f>
        <v/>
      </c>
      <c r="T27" s="1" t="str">
        <f>IFERROR(__xludf.DUMMYFUNCTION("""COMPUTED_VALUE"""),"")</f>
        <v/>
      </c>
      <c r="U27" s="1" t="str">
        <f>IFERROR(__xludf.DUMMYFUNCTION("""COMPUTED_VALUE"""),"")</f>
        <v/>
      </c>
      <c r="V27" s="1" t="str">
        <f>IFERROR(__xludf.DUMMYFUNCTION("""COMPUTED_VALUE"""),"")</f>
        <v/>
      </c>
      <c r="W27" s="1" t="str">
        <f>IFERROR(__xludf.DUMMYFUNCTION("""COMPUTED_VALUE"""),"")</f>
        <v/>
      </c>
      <c r="X27" s="1" t="str">
        <f>IFERROR(__xludf.DUMMYFUNCTION("""COMPUTED_VALUE"""),"")</f>
        <v/>
      </c>
      <c r="Y27" s="1" t="str">
        <f>IFERROR(__xludf.DUMMYFUNCTION("""COMPUTED_VALUE"""),"")</f>
        <v/>
      </c>
      <c r="Z27" s="1" t="str">
        <f>IFERROR(__xludf.DUMMYFUNCTION("""COMPUTED_VALUE"""),"")</f>
        <v/>
      </c>
      <c r="AA27" s="1" t="str">
        <f>IFERROR(__xludf.DUMMYFUNCTION("""COMPUTED_VALUE"""),"")</f>
        <v/>
      </c>
      <c r="AB27" s="1" t="str">
        <f>IFERROR(__xludf.DUMMYFUNCTION("""COMPUTED_VALUE"""),"")</f>
        <v/>
      </c>
      <c r="AC27" s="1"/>
      <c r="AD27" s="1"/>
      <c r="AE27" s="1"/>
      <c r="AF27" s="1"/>
      <c r="AG27" s="1"/>
      <c r="AH27" s="1"/>
      <c r="AI27" s="1"/>
      <c r="AJ27" s="1"/>
    </row>
    <row r="28">
      <c r="A28" s="7"/>
      <c r="B28" s="8"/>
      <c r="C28" s="9">
        <f>IFERROR(__xludf.DUMMYFUNCTION("""COMPUTED_VALUE"""),14002.0)</f>
        <v>14002</v>
      </c>
      <c r="D28" s="10" t="str">
        <f>IFERROR(__xludf.DUMMYFUNCTION("""COMPUTED_VALUE"""),"R06")</f>
        <v>R06</v>
      </c>
      <c r="E28" s="11" t="str">
        <f>IFERROR(__xludf.DUMMYFUNCTION("""COMPUTED_VALUE"""),"RP-1_Bulkhead")</f>
        <v>RP-1_Bulkhead</v>
      </c>
      <c r="F28" s="18" t="str">
        <f>IFERROR(__xludf.DUMMYFUNCTION("""COMPUTED_VALUE"""),"Structures")</f>
        <v>Structures</v>
      </c>
      <c r="G28" s="2" t="str">
        <f>IFERROR(__xludf.DUMMYFUNCTION("""COMPUTED_VALUE"""),"SolidWorks")</f>
        <v>SolidWorks</v>
      </c>
      <c r="H28" s="18" t="str">
        <f>IFERROR(__xludf.DUMMYFUNCTION("""COMPUTED_VALUE"""),"Marginal Stability")</f>
        <v>Marginal Stability</v>
      </c>
      <c r="I28" s="25" t="str">
        <f>IFERROR(__xludf.DUMMYFUNCTION("""COMPUTED_VALUE"""),"Added indexed ridge for mounting airframe, implemented global variables, fillets on internal edges")</f>
        <v>Added indexed ridge for mounting airframe, implemented global variables, fillets on internal edges</v>
      </c>
      <c r="J28" s="2" t="str">
        <f>IFERROR(__xludf.DUMMYFUNCTION("""COMPUTED_VALUE"""),"6061-T6")</f>
        <v>6061-T6</v>
      </c>
      <c r="K28" s="2" t="str">
        <f>IFERROR(__xludf.DUMMYFUNCTION("""COMPUTED_VALUE"""),"Imperial")</f>
        <v>Imperial</v>
      </c>
      <c r="L28" s="2" t="str">
        <f>IFERROR(__xludf.DUMMYFUNCTION("""COMPUTED_VALUE"""),"Joshua Elmer")</f>
        <v>Joshua Elmer</v>
      </c>
      <c r="M28" s="26" t="str">
        <f>IFERROR(__xludf.DUMMYFUNCTION("""COMPUTED_VALUE"""),"Sept/2018")</f>
        <v>Sept/2018</v>
      </c>
      <c r="N28" s="30" t="str">
        <f>IFERROR(__xludf.DUMMYFUNCTION("""COMPUTED_VALUE"""),"https://drive.google.com/open?id=1Mdq3pE2tntVH615Oe7XgjoqRWKZFEtst")</f>
        <v>https://drive.google.com/open?id=1Mdq3pE2tntVH615Oe7XgjoqRWKZFEtst</v>
      </c>
      <c r="O28" s="18" t="str">
        <f>IFERROR(__xludf.DUMMYFUNCTION("""COMPUTED_VALUE"""),"Completed")</f>
        <v>Completed</v>
      </c>
      <c r="P28" s="1" t="str">
        <f>IFERROR(__xludf.DUMMYFUNCTION("""COMPUTED_VALUE"""),"")</f>
        <v/>
      </c>
      <c r="Q28" s="1" t="str">
        <f>IFERROR(__xludf.DUMMYFUNCTION("""COMPUTED_VALUE"""),"")</f>
        <v/>
      </c>
      <c r="R28" s="1" t="str">
        <f>IFERROR(__xludf.DUMMYFUNCTION("""COMPUTED_VALUE"""),"")</f>
        <v/>
      </c>
      <c r="S28" s="1" t="str">
        <f>IFERROR(__xludf.DUMMYFUNCTION("""COMPUTED_VALUE"""),"")</f>
        <v/>
      </c>
      <c r="T28" s="1" t="str">
        <f>IFERROR(__xludf.DUMMYFUNCTION("""COMPUTED_VALUE"""),"")</f>
        <v/>
      </c>
      <c r="U28" s="1" t="str">
        <f>IFERROR(__xludf.DUMMYFUNCTION("""COMPUTED_VALUE"""),"")</f>
        <v/>
      </c>
      <c r="V28" s="1" t="str">
        <f>IFERROR(__xludf.DUMMYFUNCTION("""COMPUTED_VALUE"""),"")</f>
        <v/>
      </c>
      <c r="W28" s="1" t="str">
        <f>IFERROR(__xludf.DUMMYFUNCTION("""COMPUTED_VALUE"""),"")</f>
        <v/>
      </c>
      <c r="X28" s="1" t="str">
        <f>IFERROR(__xludf.DUMMYFUNCTION("""COMPUTED_VALUE"""),"")</f>
        <v/>
      </c>
      <c r="Y28" s="1" t="str">
        <f>IFERROR(__xludf.DUMMYFUNCTION("""COMPUTED_VALUE"""),"")</f>
        <v/>
      </c>
      <c r="Z28" s="1" t="str">
        <f>IFERROR(__xludf.DUMMYFUNCTION("""COMPUTED_VALUE"""),"")</f>
        <v/>
      </c>
      <c r="AA28" s="1" t="str">
        <f>IFERROR(__xludf.DUMMYFUNCTION("""COMPUTED_VALUE"""),"")</f>
        <v/>
      </c>
      <c r="AB28" s="1" t="str">
        <f>IFERROR(__xludf.DUMMYFUNCTION("""COMPUTED_VALUE"""),"")</f>
        <v/>
      </c>
      <c r="AC28" s="1"/>
      <c r="AD28" s="1"/>
      <c r="AE28" s="1"/>
      <c r="AF28" s="1"/>
      <c r="AG28" s="1"/>
      <c r="AH28" s="1"/>
      <c r="AI28" s="1"/>
      <c r="AJ28" s="1"/>
    </row>
    <row r="29">
      <c r="A29" s="7"/>
      <c r="B29" s="8"/>
      <c r="C29" s="13">
        <f>IFERROR(__xludf.DUMMYFUNCTION("""COMPUTED_VALUE"""),14002.0)</f>
        <v>14002</v>
      </c>
      <c r="D29" s="10" t="str">
        <f>IFERROR(__xludf.DUMMYFUNCTION("""COMPUTED_VALUE"""),"R07")</f>
        <v>R07</v>
      </c>
      <c r="E29" s="11" t="str">
        <f>IFERROR(__xludf.DUMMYFUNCTION("""COMPUTED_VALUE"""),"RP-1_Bulkhead")</f>
        <v>RP-1_Bulkhead</v>
      </c>
      <c r="F29" s="18" t="str">
        <f>IFERROR(__xludf.DUMMYFUNCTION("""COMPUTED_VALUE"""),"Structures")</f>
        <v>Structures</v>
      </c>
      <c r="G29" s="2" t="str">
        <f>IFERROR(__xludf.DUMMYFUNCTION("""COMPUTED_VALUE"""),"SolidWorks")</f>
        <v>SolidWorks</v>
      </c>
      <c r="H29" s="18" t="str">
        <f>IFERROR(__xludf.DUMMYFUNCTION("""COMPUTED_VALUE"""),"Marginal Stability")</f>
        <v>Marginal Stability</v>
      </c>
      <c r="I29" s="25" t="str">
        <f>IFERROR(__xludf.DUMMYFUNCTION("""COMPUTED_VALUE"""),"Welded redesign with improved weld surfaces (chamfer) to weld to tank walls, reduced port reinforcement. LOX/Anullar Port to engine, He Engine Purge Port, and RP-1 to engine Port ")</f>
        <v>Welded redesign with improved weld surfaces (chamfer) to weld to tank walls, reduced port reinforcement. LOX/Anullar Port to engine, He Engine Purge Port, and RP-1 to engine Port </v>
      </c>
      <c r="J29" s="2" t="str">
        <f>IFERROR(__xludf.DUMMYFUNCTION("""COMPUTED_VALUE"""),"6061-T6")</f>
        <v>6061-T6</v>
      </c>
      <c r="K29" s="2" t="str">
        <f>IFERROR(__xludf.DUMMYFUNCTION("""COMPUTED_VALUE"""),"Imperial")</f>
        <v>Imperial</v>
      </c>
      <c r="L29" s="2" t="str">
        <f>IFERROR(__xludf.DUMMYFUNCTION("""COMPUTED_VALUE"""),"Alexander Pallesco")</f>
        <v>Alexander Pallesco</v>
      </c>
      <c r="M29" s="26">
        <f>IFERROR(__xludf.DUMMYFUNCTION("""COMPUTED_VALUE"""),43497.0)</f>
        <v>43497</v>
      </c>
      <c r="N29" s="30" t="str">
        <f>IFERROR(__xludf.DUMMYFUNCTION("""COMPUTED_VALUE"""),"https://drive.google.com/open?id=1FFGUaHZOgoEqLJqpjtXBCaFby6YMEVGi")</f>
        <v>https://drive.google.com/open?id=1FFGUaHZOgoEqLJqpjtXBCaFby6YMEVGi</v>
      </c>
      <c r="O29" s="18" t="str">
        <f>IFERROR(__xludf.DUMMYFUNCTION("""COMPUTED_VALUE"""),"Completed")</f>
        <v>Completed</v>
      </c>
      <c r="P29" s="1" t="str">
        <f>IFERROR(__xludf.DUMMYFUNCTION("""COMPUTED_VALUE"""),"")</f>
        <v/>
      </c>
      <c r="Q29" s="1" t="str">
        <f>IFERROR(__xludf.DUMMYFUNCTION("""COMPUTED_VALUE"""),"")</f>
        <v/>
      </c>
      <c r="R29" s="1" t="str">
        <f>IFERROR(__xludf.DUMMYFUNCTION("""COMPUTED_VALUE"""),"")</f>
        <v/>
      </c>
      <c r="S29" s="1" t="str">
        <f>IFERROR(__xludf.DUMMYFUNCTION("""COMPUTED_VALUE"""),"")</f>
        <v/>
      </c>
      <c r="T29" s="1" t="str">
        <f>IFERROR(__xludf.DUMMYFUNCTION("""COMPUTED_VALUE"""),"")</f>
        <v/>
      </c>
      <c r="U29" s="1" t="str">
        <f>IFERROR(__xludf.DUMMYFUNCTION("""COMPUTED_VALUE"""),"")</f>
        <v/>
      </c>
      <c r="V29" s="1" t="str">
        <f>IFERROR(__xludf.DUMMYFUNCTION("""COMPUTED_VALUE"""),"")</f>
        <v/>
      </c>
      <c r="W29" s="1" t="str">
        <f>IFERROR(__xludf.DUMMYFUNCTION("""COMPUTED_VALUE"""),"")</f>
        <v/>
      </c>
      <c r="X29" s="1" t="str">
        <f>IFERROR(__xludf.DUMMYFUNCTION("""COMPUTED_VALUE"""),"")</f>
        <v/>
      </c>
      <c r="Y29" s="1" t="str">
        <f>IFERROR(__xludf.DUMMYFUNCTION("""COMPUTED_VALUE"""),"")</f>
        <v/>
      </c>
      <c r="Z29" s="1" t="str">
        <f>IFERROR(__xludf.DUMMYFUNCTION("""COMPUTED_VALUE"""),"")</f>
        <v/>
      </c>
      <c r="AA29" s="1" t="str">
        <f>IFERROR(__xludf.DUMMYFUNCTION("""COMPUTED_VALUE"""),"")</f>
        <v/>
      </c>
      <c r="AB29" s="1" t="str">
        <f>IFERROR(__xludf.DUMMYFUNCTION("""COMPUTED_VALUE"""),"")</f>
        <v/>
      </c>
      <c r="AC29" s="1"/>
      <c r="AD29" s="1"/>
      <c r="AE29" s="1"/>
      <c r="AF29" s="1"/>
      <c r="AG29" s="1"/>
      <c r="AH29" s="1"/>
      <c r="AI29" s="1"/>
      <c r="AJ29" s="1"/>
    </row>
    <row r="30">
      <c r="A30" s="7"/>
      <c r="B30" s="8"/>
      <c r="C30" s="9">
        <f>IFERROR(__xludf.DUMMYFUNCTION("""COMPUTED_VALUE"""),14003.0)</f>
        <v>14003</v>
      </c>
      <c r="D30" s="10" t="str">
        <f>IFERROR(__xludf.DUMMYFUNCTION("""COMPUTED_VALUE"""),"R04")</f>
        <v>R04</v>
      </c>
      <c r="E30" s="11" t="str">
        <f>IFERROR(__xludf.DUMMYFUNCTION("""COMPUTED_VALUE"""),"Common_Bulkhead")</f>
        <v>Common_Bulkhead</v>
      </c>
      <c r="F30" s="2" t="str">
        <f>IFERROR(__xludf.DUMMYFUNCTION("""COMPUTED_VALUE"""),"Structures")</f>
        <v>Structures</v>
      </c>
      <c r="G30" s="2" t="str">
        <f>IFERROR(__xludf.DUMMYFUNCTION("""COMPUTED_VALUE"""),"SolidWorks")</f>
        <v>SolidWorks</v>
      </c>
      <c r="H30" s="18" t="str">
        <f>IFERROR(__xludf.DUMMYFUNCTION("""COMPUTED_VALUE"""),"Marginal Stability")</f>
        <v>Marginal Stability</v>
      </c>
      <c r="I30" s="25" t="str">
        <f>IFERROR(__xludf.DUMMYFUNCTION("""COMPUTED_VALUE"""),"Common internal double-walled bulkhead dividing tanks, with port for LOx outlet")</f>
        <v>Common internal double-walled bulkhead dividing tanks, with port for LOx outlet</v>
      </c>
      <c r="J30" s="2" t="str">
        <f>IFERROR(__xludf.DUMMYFUNCTION("""COMPUTED_VALUE"""),"6061-T6")</f>
        <v>6061-T6</v>
      </c>
      <c r="K30" s="2" t="str">
        <f>IFERROR(__xludf.DUMMYFUNCTION("""COMPUTED_VALUE"""),"Imperial")</f>
        <v>Imperial</v>
      </c>
      <c r="L30" s="2" t="str">
        <f>IFERROR(__xludf.DUMMYFUNCTION("""COMPUTED_VALUE"""),"Joshua Elmer")</f>
        <v>Joshua Elmer</v>
      </c>
      <c r="M30" s="26">
        <f>IFERROR(__xludf.DUMMYFUNCTION("""COMPUTED_VALUE"""),43374.0)</f>
        <v>43374</v>
      </c>
      <c r="N30" s="30" t="str">
        <f>IFERROR(__xludf.DUMMYFUNCTION("""COMPUTED_VALUE"""),"https://drive.google.com/open?id=1Q3MXF6ikM6S-2RtAIflugmwm1NwX9htx")</f>
        <v>https://drive.google.com/open?id=1Q3MXF6ikM6S-2RtAIflugmwm1NwX9htx</v>
      </c>
      <c r="O30" s="18" t="str">
        <f>IFERROR(__xludf.DUMMYFUNCTION("""COMPUTED_VALUE"""),"Completed")</f>
        <v>Completed</v>
      </c>
      <c r="P30" s="1" t="str">
        <f>IFERROR(__xludf.DUMMYFUNCTION("""COMPUTED_VALUE"""),"")</f>
        <v/>
      </c>
      <c r="Q30" s="1" t="str">
        <f>IFERROR(__xludf.DUMMYFUNCTION("""COMPUTED_VALUE"""),"")</f>
        <v/>
      </c>
      <c r="R30" s="1" t="str">
        <f>IFERROR(__xludf.DUMMYFUNCTION("""COMPUTED_VALUE"""),"")</f>
        <v/>
      </c>
      <c r="S30" s="1" t="str">
        <f>IFERROR(__xludf.DUMMYFUNCTION("""COMPUTED_VALUE"""),"")</f>
        <v/>
      </c>
      <c r="T30" s="1" t="str">
        <f>IFERROR(__xludf.DUMMYFUNCTION("""COMPUTED_VALUE"""),"")</f>
        <v/>
      </c>
      <c r="U30" s="1" t="str">
        <f>IFERROR(__xludf.DUMMYFUNCTION("""COMPUTED_VALUE"""),"")</f>
        <v/>
      </c>
      <c r="V30" s="1" t="str">
        <f>IFERROR(__xludf.DUMMYFUNCTION("""COMPUTED_VALUE"""),"")</f>
        <v/>
      </c>
      <c r="W30" s="1" t="str">
        <f>IFERROR(__xludf.DUMMYFUNCTION("""COMPUTED_VALUE"""),"")</f>
        <v/>
      </c>
      <c r="X30" s="1" t="str">
        <f>IFERROR(__xludf.DUMMYFUNCTION("""COMPUTED_VALUE"""),"")</f>
        <v/>
      </c>
      <c r="Y30" s="1" t="str">
        <f>IFERROR(__xludf.DUMMYFUNCTION("""COMPUTED_VALUE"""),"")</f>
        <v/>
      </c>
      <c r="Z30" s="1" t="str">
        <f>IFERROR(__xludf.DUMMYFUNCTION("""COMPUTED_VALUE"""),"")</f>
        <v/>
      </c>
      <c r="AA30" s="1" t="str">
        <f>IFERROR(__xludf.DUMMYFUNCTION("""COMPUTED_VALUE"""),"")</f>
        <v/>
      </c>
      <c r="AB30" s="1" t="str">
        <f>IFERROR(__xludf.DUMMYFUNCTION("""COMPUTED_VALUE"""),"")</f>
        <v/>
      </c>
      <c r="AC30" s="1"/>
      <c r="AD30" s="1"/>
      <c r="AE30" s="1"/>
      <c r="AF30" s="1"/>
      <c r="AG30" s="1"/>
      <c r="AH30" s="1"/>
      <c r="AI30" s="1"/>
      <c r="AJ30" s="1"/>
    </row>
    <row r="31">
      <c r="A31" s="7"/>
      <c r="B31" s="8"/>
      <c r="C31" s="9" t="str">
        <f>IFERROR(__xludf.DUMMYFUNCTION("""COMPUTED_VALUE"""),"14003")</f>
        <v>14003</v>
      </c>
      <c r="D31" s="10" t="str">
        <f>IFERROR(__xludf.DUMMYFUNCTION("""COMPUTED_VALUE"""),"R07")</f>
        <v>R07</v>
      </c>
      <c r="E31" s="11" t="str">
        <f>IFERROR(__xludf.DUMMYFUNCTION("""COMPUTED_VALUE"""),"Common_Bulkhead")</f>
        <v>Common_Bulkhead</v>
      </c>
      <c r="F31" s="2" t="str">
        <f>IFERROR(__xludf.DUMMYFUNCTION("""COMPUTED_VALUE"""),"Structures")</f>
        <v>Structures</v>
      </c>
      <c r="G31" s="2" t="str">
        <f>IFERROR(__xludf.DUMMYFUNCTION("""COMPUTED_VALUE"""),"SolidWorks")</f>
        <v>SolidWorks</v>
      </c>
      <c r="H31" s="18" t="str">
        <f>IFERROR(__xludf.DUMMYFUNCTION("""COMPUTED_VALUE"""),"Marginal Stability")</f>
        <v>Marginal Stability</v>
      </c>
      <c r="I31" s="25" t="str">
        <f>IFERROR(__xludf.DUMMYFUNCTION("""COMPUTED_VALUE"""),"Welded redesign with improved weld surfaces (chamfer) to weld to tank walls, reduced port reinforcement. LOX passthrough, He Engine Purge passthrough, RP-1 pressurization, and RP-1 fill. ")</f>
        <v>Welded redesign with improved weld surfaces (chamfer) to weld to tank walls, reduced port reinforcement. LOX passthrough, He Engine Purge passthrough, RP-1 pressurization, and RP-1 fill. </v>
      </c>
      <c r="J31" s="2" t="str">
        <f>IFERROR(__xludf.DUMMYFUNCTION("""COMPUTED_VALUE"""),"6061-T6")</f>
        <v>6061-T6</v>
      </c>
      <c r="K31" s="2" t="str">
        <f>IFERROR(__xludf.DUMMYFUNCTION("""COMPUTED_VALUE"""),"Imperial")</f>
        <v>Imperial</v>
      </c>
      <c r="L31" s="2" t="str">
        <f>IFERROR(__xludf.DUMMYFUNCTION("""COMPUTED_VALUE"""),"Alexander Pallesco")</f>
        <v>Alexander Pallesco</v>
      </c>
      <c r="M31" s="26">
        <f>IFERROR(__xludf.DUMMYFUNCTION("""COMPUTED_VALUE"""),43497.0)</f>
        <v>43497</v>
      </c>
      <c r="N31" s="30" t="str">
        <f>IFERROR(__xludf.DUMMYFUNCTION("""COMPUTED_VALUE"""),"https://drive.google.com/open?id=1J1CoVTK6WLqAvfzfnTBfDDe5gkQBirtm")</f>
        <v>https://drive.google.com/open?id=1J1CoVTK6WLqAvfzfnTBfDDe5gkQBirtm</v>
      </c>
      <c r="O31" s="18" t="str">
        <f>IFERROR(__xludf.DUMMYFUNCTION("""COMPUTED_VALUE"""),"Completed")</f>
        <v>Completed</v>
      </c>
      <c r="P31" s="1" t="str">
        <f>IFERROR(__xludf.DUMMYFUNCTION("""COMPUTED_VALUE"""),"")</f>
        <v/>
      </c>
      <c r="Q31" s="1" t="str">
        <f>IFERROR(__xludf.DUMMYFUNCTION("""COMPUTED_VALUE"""),"")</f>
        <v/>
      </c>
      <c r="R31" s="1" t="str">
        <f>IFERROR(__xludf.DUMMYFUNCTION("""COMPUTED_VALUE"""),"")</f>
        <v/>
      </c>
      <c r="S31" s="1" t="str">
        <f>IFERROR(__xludf.DUMMYFUNCTION("""COMPUTED_VALUE"""),"")</f>
        <v/>
      </c>
      <c r="T31" s="1" t="str">
        <f>IFERROR(__xludf.DUMMYFUNCTION("""COMPUTED_VALUE"""),"")</f>
        <v/>
      </c>
      <c r="U31" s="1" t="str">
        <f>IFERROR(__xludf.DUMMYFUNCTION("""COMPUTED_VALUE"""),"")</f>
        <v/>
      </c>
      <c r="V31" s="1" t="str">
        <f>IFERROR(__xludf.DUMMYFUNCTION("""COMPUTED_VALUE"""),"")</f>
        <v/>
      </c>
      <c r="W31" s="1" t="str">
        <f>IFERROR(__xludf.DUMMYFUNCTION("""COMPUTED_VALUE"""),"")</f>
        <v/>
      </c>
      <c r="X31" s="1" t="str">
        <f>IFERROR(__xludf.DUMMYFUNCTION("""COMPUTED_VALUE"""),"")</f>
        <v/>
      </c>
      <c r="Y31" s="1" t="str">
        <f>IFERROR(__xludf.DUMMYFUNCTION("""COMPUTED_VALUE"""),"")</f>
        <v/>
      </c>
      <c r="Z31" s="1" t="str">
        <f>IFERROR(__xludf.DUMMYFUNCTION("""COMPUTED_VALUE"""),"")</f>
        <v/>
      </c>
      <c r="AA31" s="1" t="str">
        <f>IFERROR(__xludf.DUMMYFUNCTION("""COMPUTED_VALUE"""),"")</f>
        <v/>
      </c>
      <c r="AB31" s="1" t="str">
        <f>IFERROR(__xludf.DUMMYFUNCTION("""COMPUTED_VALUE"""),"")</f>
        <v/>
      </c>
      <c r="AC31" s="1"/>
      <c r="AD31" s="1"/>
      <c r="AE31" s="1"/>
      <c r="AF31" s="1"/>
      <c r="AG31" s="1"/>
      <c r="AH31" s="1"/>
      <c r="AI31" s="1"/>
      <c r="AJ31" s="1"/>
    </row>
    <row r="32">
      <c r="A32" s="7"/>
      <c r="B32" s="8"/>
      <c r="C32" s="9">
        <f>IFERROR(__xludf.DUMMYFUNCTION("""COMPUTED_VALUE"""),14004.0)</f>
        <v>14004</v>
      </c>
      <c r="D32" s="10" t="str">
        <f>IFERROR(__xludf.DUMMYFUNCTION("""COMPUTED_VALUE"""),"R06")</f>
        <v>R06</v>
      </c>
      <c r="E32" s="11" t="str">
        <f>IFERROR(__xludf.DUMMYFUNCTION("""COMPUTED_VALUE"""),"LOx_Bulkhead")</f>
        <v>LOx_Bulkhead</v>
      </c>
      <c r="F32" s="2" t="str">
        <f>IFERROR(__xludf.DUMMYFUNCTION("""COMPUTED_VALUE"""),"Structures")</f>
        <v>Structures</v>
      </c>
      <c r="G32" s="2" t="str">
        <f>IFERROR(__xludf.DUMMYFUNCTION("""COMPUTED_VALUE"""),"SolidWorks")</f>
        <v>SolidWorks</v>
      </c>
      <c r="H32" s="18" t="str">
        <f>IFERROR(__xludf.DUMMYFUNCTION("""COMPUTED_VALUE"""),"Marginal Stability")</f>
        <v>Marginal Stability</v>
      </c>
      <c r="I32" s="25" t="str">
        <f>IFERROR(__xludf.DUMMYFUNCTION("""COMPUTED_VALUE"""),"Added indexed ridge for mounting airframe, implemented global variables, fillets on internal edges")</f>
        <v>Added indexed ridge for mounting airframe, implemented global variables, fillets on internal edges</v>
      </c>
      <c r="J32" s="2" t="str">
        <f>IFERROR(__xludf.DUMMYFUNCTION("""COMPUTED_VALUE"""),"6061-T6")</f>
        <v>6061-T6</v>
      </c>
      <c r="K32" s="2" t="str">
        <f>IFERROR(__xludf.DUMMYFUNCTION("""COMPUTED_VALUE"""),"Imperial")</f>
        <v>Imperial</v>
      </c>
      <c r="L32" s="2" t="str">
        <f>IFERROR(__xludf.DUMMYFUNCTION("""COMPUTED_VALUE"""),"Joshua Elmer")</f>
        <v>Joshua Elmer</v>
      </c>
      <c r="M32" s="26" t="str">
        <f>IFERROR(__xludf.DUMMYFUNCTION("""COMPUTED_VALUE"""),"Sept/2018")</f>
        <v>Sept/2018</v>
      </c>
      <c r="N32" s="30" t="str">
        <f>IFERROR(__xludf.DUMMYFUNCTION("""COMPUTED_VALUE"""),"https://drive.google.com/open?id=1tQzI1sFwpB9NwCMe6lwGSTrOJz8MwaFo")</f>
        <v>https://drive.google.com/open?id=1tQzI1sFwpB9NwCMe6lwGSTrOJz8MwaFo</v>
      </c>
      <c r="O32" s="18" t="str">
        <f>IFERROR(__xludf.DUMMYFUNCTION("""COMPUTED_VALUE"""),"Completed")</f>
        <v>Completed</v>
      </c>
      <c r="P32" s="1" t="str">
        <f>IFERROR(__xludf.DUMMYFUNCTION("""COMPUTED_VALUE"""),"")</f>
        <v/>
      </c>
      <c r="Q32" s="1" t="str">
        <f>IFERROR(__xludf.DUMMYFUNCTION("""COMPUTED_VALUE"""),"")</f>
        <v/>
      </c>
      <c r="R32" s="1" t="str">
        <f>IFERROR(__xludf.DUMMYFUNCTION("""COMPUTED_VALUE"""),"")</f>
        <v/>
      </c>
      <c r="S32" s="1" t="str">
        <f>IFERROR(__xludf.DUMMYFUNCTION("""COMPUTED_VALUE"""),"")</f>
        <v/>
      </c>
      <c r="T32" s="1" t="str">
        <f>IFERROR(__xludf.DUMMYFUNCTION("""COMPUTED_VALUE"""),"")</f>
        <v/>
      </c>
      <c r="U32" s="1" t="str">
        <f>IFERROR(__xludf.DUMMYFUNCTION("""COMPUTED_VALUE"""),"")</f>
        <v/>
      </c>
      <c r="V32" s="1" t="str">
        <f>IFERROR(__xludf.DUMMYFUNCTION("""COMPUTED_VALUE"""),"")</f>
        <v/>
      </c>
      <c r="W32" s="1" t="str">
        <f>IFERROR(__xludf.DUMMYFUNCTION("""COMPUTED_VALUE"""),"")</f>
        <v/>
      </c>
      <c r="X32" s="1" t="str">
        <f>IFERROR(__xludf.DUMMYFUNCTION("""COMPUTED_VALUE"""),"")</f>
        <v/>
      </c>
      <c r="Y32" s="1" t="str">
        <f>IFERROR(__xludf.DUMMYFUNCTION("""COMPUTED_VALUE"""),"")</f>
        <v/>
      </c>
      <c r="Z32" s="1" t="str">
        <f>IFERROR(__xludf.DUMMYFUNCTION("""COMPUTED_VALUE"""),"")</f>
        <v/>
      </c>
      <c r="AA32" s="1" t="str">
        <f>IFERROR(__xludf.DUMMYFUNCTION("""COMPUTED_VALUE"""),"")</f>
        <v/>
      </c>
      <c r="AB32" s="1" t="str">
        <f>IFERROR(__xludf.DUMMYFUNCTION("""COMPUTED_VALUE"""),"")</f>
        <v/>
      </c>
      <c r="AC32" s="1"/>
      <c r="AD32" s="1"/>
      <c r="AE32" s="1"/>
      <c r="AF32" s="1"/>
      <c r="AG32" s="1"/>
      <c r="AH32" s="1"/>
      <c r="AI32" s="1"/>
      <c r="AJ32" s="1"/>
    </row>
    <row r="33">
      <c r="A33" s="7"/>
      <c r="B33" s="8"/>
      <c r="C33" s="13">
        <f>IFERROR(__xludf.DUMMYFUNCTION("""COMPUTED_VALUE"""),14004.0)</f>
        <v>14004</v>
      </c>
      <c r="D33" s="10" t="str">
        <f>IFERROR(__xludf.DUMMYFUNCTION("""COMPUTED_VALUE"""),"R08")</f>
        <v>R08</v>
      </c>
      <c r="E33" s="11" t="str">
        <f>IFERROR(__xludf.DUMMYFUNCTION("""COMPUTED_VALUE"""),"LOX_Bulkhead")</f>
        <v>LOX_Bulkhead</v>
      </c>
      <c r="F33" s="2" t="str">
        <f>IFERROR(__xludf.DUMMYFUNCTION("""COMPUTED_VALUE"""),"Structures")</f>
        <v>Structures</v>
      </c>
      <c r="G33" s="2" t="str">
        <f>IFERROR(__xludf.DUMMYFUNCTION("""COMPUTED_VALUE"""),"SolidWorks")</f>
        <v>SolidWorks</v>
      </c>
      <c r="H33" t="str">
        <f>IFERROR(__xludf.DUMMYFUNCTION("""COMPUTED_VALUE"""),"Marginal Stability")</f>
        <v>Marginal Stability</v>
      </c>
      <c r="I33" s="12" t="str">
        <f>IFERROR(__xludf.DUMMYFUNCTION("""COMPUTED_VALUE"""),"Welded redesign with improved weld surfaces (chamfer) to weld to tank walls, reduced port reinforcement. LOX Fill Port, RP-1 Fill Port, He Purge Port, LOX Pressurization Port, RP-1 Pressurization Port, Pressure Transducer")</f>
        <v>Welded redesign with improved weld surfaces (chamfer) to weld to tank walls, reduced port reinforcement. LOX Fill Port, RP-1 Fill Port, He Purge Port, LOX Pressurization Port, RP-1 Pressurization Port, Pressure Transducer</v>
      </c>
      <c r="J33" s="2" t="str">
        <f>IFERROR(__xludf.DUMMYFUNCTION("""COMPUTED_VALUE"""),"6061-T6")</f>
        <v>6061-T6</v>
      </c>
      <c r="K33" s="2" t="str">
        <f>IFERROR(__xludf.DUMMYFUNCTION("""COMPUTED_VALUE"""),"Imperial")</f>
        <v>Imperial</v>
      </c>
      <c r="L33" s="2" t="str">
        <f>IFERROR(__xludf.DUMMYFUNCTION("""COMPUTED_VALUE"""),"Joshua Elmer")</f>
        <v>Joshua Elmer</v>
      </c>
      <c r="M33" s="26">
        <f>IFERROR(__xludf.DUMMYFUNCTION("""COMPUTED_VALUE"""),43497.0)</f>
        <v>43497</v>
      </c>
      <c r="N33" s="34" t="str">
        <f>IFERROR(__xludf.DUMMYFUNCTION("""COMPUTED_VALUE"""),"https://drive.google.com/open?id=1spU2LsVXF0U6aayZbQnOgfV6gI1rBedy")</f>
        <v>https://drive.google.com/open?id=1spU2LsVXF0U6aayZbQnOgfV6gI1rBedy</v>
      </c>
      <c r="O33" s="18" t="str">
        <f>IFERROR(__xludf.DUMMYFUNCTION("""COMPUTED_VALUE"""),"Completed")</f>
        <v>Completed</v>
      </c>
      <c r="P33" s="1" t="str">
        <f>IFERROR(__xludf.DUMMYFUNCTION("""COMPUTED_VALUE"""),"")</f>
        <v/>
      </c>
      <c r="Q33" s="1" t="str">
        <f>IFERROR(__xludf.DUMMYFUNCTION("""COMPUTED_VALUE"""),"")</f>
        <v/>
      </c>
      <c r="R33" s="1" t="str">
        <f>IFERROR(__xludf.DUMMYFUNCTION("""COMPUTED_VALUE"""),"")</f>
        <v/>
      </c>
      <c r="S33" s="1" t="str">
        <f>IFERROR(__xludf.DUMMYFUNCTION("""COMPUTED_VALUE"""),"")</f>
        <v/>
      </c>
      <c r="T33" s="1" t="str">
        <f>IFERROR(__xludf.DUMMYFUNCTION("""COMPUTED_VALUE"""),"")</f>
        <v/>
      </c>
      <c r="U33" s="1" t="str">
        <f>IFERROR(__xludf.DUMMYFUNCTION("""COMPUTED_VALUE"""),"")</f>
        <v/>
      </c>
      <c r="V33" s="1" t="str">
        <f>IFERROR(__xludf.DUMMYFUNCTION("""COMPUTED_VALUE"""),"")</f>
        <v/>
      </c>
      <c r="W33" s="1" t="str">
        <f>IFERROR(__xludf.DUMMYFUNCTION("""COMPUTED_VALUE"""),"")</f>
        <v/>
      </c>
      <c r="X33" s="1" t="str">
        <f>IFERROR(__xludf.DUMMYFUNCTION("""COMPUTED_VALUE"""),"")</f>
        <v/>
      </c>
      <c r="Y33" s="1" t="str">
        <f>IFERROR(__xludf.DUMMYFUNCTION("""COMPUTED_VALUE"""),"")</f>
        <v/>
      </c>
      <c r="Z33" s="1" t="str">
        <f>IFERROR(__xludf.DUMMYFUNCTION("""COMPUTED_VALUE"""),"")</f>
        <v/>
      </c>
      <c r="AA33" s="1" t="str">
        <f>IFERROR(__xludf.DUMMYFUNCTION("""COMPUTED_VALUE"""),"")</f>
        <v/>
      </c>
      <c r="AB33" s="1" t="str">
        <f>IFERROR(__xludf.DUMMYFUNCTION("""COMPUTED_VALUE"""),"")</f>
        <v/>
      </c>
      <c r="AC33" s="1"/>
      <c r="AD33" s="1"/>
      <c r="AE33" s="1"/>
      <c r="AF33" s="1"/>
      <c r="AG33" s="1"/>
      <c r="AH33" s="1"/>
      <c r="AI33" s="1"/>
      <c r="AJ33" s="1"/>
    </row>
    <row r="34">
      <c r="A34" s="7"/>
      <c r="B34" s="8"/>
      <c r="C34" s="9">
        <f>IFERROR(__xludf.DUMMYFUNCTION("""COMPUTED_VALUE"""),14005.0)</f>
        <v>14005</v>
      </c>
      <c r="D34" s="10" t="str">
        <f>IFERROR(__xludf.DUMMYFUNCTION("""COMPUTED_VALUE"""),"R04")</f>
        <v>R04</v>
      </c>
      <c r="E34" s="11" t="str">
        <f>IFERROR(__xludf.DUMMYFUNCTION("""COMPUTED_VALUE"""),"LOx_Tank_Wall")</f>
        <v>LOx_Tank_Wall</v>
      </c>
      <c r="F34" s="2" t="str">
        <f>IFERROR(__xludf.DUMMYFUNCTION("""COMPUTED_VALUE"""),"Structures")</f>
        <v>Structures</v>
      </c>
      <c r="G34" s="2" t="str">
        <f>IFERROR(__xludf.DUMMYFUNCTION("""COMPUTED_VALUE"""),"SolidWorks")</f>
        <v>SolidWorks</v>
      </c>
      <c r="H34" s="18" t="str">
        <f>IFERROR(__xludf.DUMMYFUNCTION("""COMPUTED_VALUE"""),"Marginal Stability")</f>
        <v>Marginal Stability</v>
      </c>
      <c r="I34" s="12" t="str">
        <f>IFERROR(__xludf.DUMMYFUNCTION("""COMPUTED_VALUE"""),"Outer wall of LOx tank (600 psi, FS 4)")</f>
        <v>Outer wall of LOx tank (600 psi, FS 4)</v>
      </c>
      <c r="J34" s="2" t="str">
        <f>IFERROR(__xludf.DUMMYFUNCTION("""COMPUTED_VALUE"""),"6061-T6")</f>
        <v>6061-T6</v>
      </c>
      <c r="K34" s="2" t="str">
        <f>IFERROR(__xludf.DUMMYFUNCTION("""COMPUTED_VALUE"""),"Imperial")</f>
        <v>Imperial</v>
      </c>
      <c r="L34" s="2" t="str">
        <f>IFERROR(__xludf.DUMMYFUNCTION("""COMPUTED_VALUE"""),"Joshua Elmer")</f>
        <v>Joshua Elmer</v>
      </c>
      <c r="M34" s="26" t="str">
        <f>IFERROR(__xludf.DUMMYFUNCTION("""COMPUTED_VALUE"""),"Sept/2018")</f>
        <v>Sept/2018</v>
      </c>
      <c r="N34" s="34" t="str">
        <f>IFERROR(__xludf.DUMMYFUNCTION("""COMPUTED_VALUE"""),"https://drive.google.com/open?id=1_uaz2wDxHWPvSqQ0TdpyvWGPqwYVvDci")</f>
        <v>https://drive.google.com/open?id=1_uaz2wDxHWPvSqQ0TdpyvWGPqwYVvDci</v>
      </c>
      <c r="O34" s="18" t="str">
        <f>IFERROR(__xludf.DUMMYFUNCTION("""COMPUTED_VALUE"""),"In progress")</f>
        <v>In progress</v>
      </c>
      <c r="P34" s="1" t="str">
        <f>IFERROR(__xludf.DUMMYFUNCTION("""COMPUTED_VALUE"""),"")</f>
        <v/>
      </c>
      <c r="Q34" s="1" t="str">
        <f>IFERROR(__xludf.DUMMYFUNCTION("""COMPUTED_VALUE"""),"")</f>
        <v/>
      </c>
      <c r="R34" s="1" t="str">
        <f>IFERROR(__xludf.DUMMYFUNCTION("""COMPUTED_VALUE"""),"")</f>
        <v/>
      </c>
      <c r="S34" s="1" t="str">
        <f>IFERROR(__xludf.DUMMYFUNCTION("""COMPUTED_VALUE"""),"")</f>
        <v/>
      </c>
      <c r="T34" s="1" t="str">
        <f>IFERROR(__xludf.DUMMYFUNCTION("""COMPUTED_VALUE"""),"")</f>
        <v/>
      </c>
      <c r="U34" s="1" t="str">
        <f>IFERROR(__xludf.DUMMYFUNCTION("""COMPUTED_VALUE"""),"")</f>
        <v/>
      </c>
      <c r="V34" s="1" t="str">
        <f>IFERROR(__xludf.DUMMYFUNCTION("""COMPUTED_VALUE"""),"")</f>
        <v/>
      </c>
      <c r="W34" s="1" t="str">
        <f>IFERROR(__xludf.DUMMYFUNCTION("""COMPUTED_VALUE"""),"")</f>
        <v/>
      </c>
      <c r="X34" s="1" t="str">
        <f>IFERROR(__xludf.DUMMYFUNCTION("""COMPUTED_VALUE"""),"")</f>
        <v/>
      </c>
      <c r="Y34" s="1" t="str">
        <f>IFERROR(__xludf.DUMMYFUNCTION("""COMPUTED_VALUE"""),"")</f>
        <v/>
      </c>
      <c r="Z34" s="1" t="str">
        <f>IFERROR(__xludf.DUMMYFUNCTION("""COMPUTED_VALUE"""),"")</f>
        <v/>
      </c>
      <c r="AA34" s="1" t="str">
        <f>IFERROR(__xludf.DUMMYFUNCTION("""COMPUTED_VALUE"""),"")</f>
        <v/>
      </c>
      <c r="AB34" s="1" t="str">
        <f>IFERROR(__xludf.DUMMYFUNCTION("""COMPUTED_VALUE"""),"")</f>
        <v/>
      </c>
      <c r="AC34" s="1"/>
      <c r="AD34" s="1"/>
      <c r="AE34" s="1"/>
      <c r="AF34" s="1"/>
      <c r="AG34" s="1"/>
      <c r="AH34" s="1"/>
      <c r="AI34" s="1"/>
      <c r="AJ34" s="1"/>
    </row>
    <row r="35">
      <c r="A35" s="7"/>
      <c r="B35" s="8"/>
      <c r="C35" s="9">
        <f>IFERROR(__xludf.DUMMYFUNCTION("""COMPUTED_VALUE"""),14006.0)</f>
        <v>14006</v>
      </c>
      <c r="D35" s="10" t="str">
        <f>IFERROR(__xludf.DUMMYFUNCTION("""COMPUTED_VALUE"""),"R04")</f>
        <v>R04</v>
      </c>
      <c r="E35" s="11" t="str">
        <f>IFERROR(__xludf.DUMMYFUNCTION("""COMPUTED_VALUE"""),"RP-1_Tank_Wall")</f>
        <v>RP-1_Tank_Wall</v>
      </c>
      <c r="F35" s="2" t="str">
        <f>IFERROR(__xludf.DUMMYFUNCTION("""COMPUTED_VALUE"""),"Structures")</f>
        <v>Structures</v>
      </c>
      <c r="G35" s="2" t="str">
        <f>IFERROR(__xludf.DUMMYFUNCTION("""COMPUTED_VALUE"""),"SolidWorks")</f>
        <v>SolidWorks</v>
      </c>
      <c r="H35" s="18" t="str">
        <f>IFERROR(__xludf.DUMMYFUNCTION("""COMPUTED_VALUE"""),"Marginal Stability")</f>
        <v>Marginal Stability</v>
      </c>
      <c r="I35" s="12" t="str">
        <f>IFERROR(__xludf.DUMMYFUNCTION("""COMPUTED_VALUE"""),"Outer wall of RP-1 Tank (600 psi, FS 4)")</f>
        <v>Outer wall of RP-1 Tank (600 psi, FS 4)</v>
      </c>
      <c r="J35" s="2" t="str">
        <f>IFERROR(__xludf.DUMMYFUNCTION("""COMPUTED_VALUE"""),"6061-T6")</f>
        <v>6061-T6</v>
      </c>
      <c r="K35" s="2" t="str">
        <f>IFERROR(__xludf.DUMMYFUNCTION("""COMPUTED_VALUE"""),"Imperial")</f>
        <v>Imperial</v>
      </c>
      <c r="L35" s="2" t="str">
        <f>IFERROR(__xludf.DUMMYFUNCTION("""COMPUTED_VALUE"""),"Joshua Elmer")</f>
        <v>Joshua Elmer</v>
      </c>
      <c r="M35" s="26" t="str">
        <f>IFERROR(__xludf.DUMMYFUNCTION("""COMPUTED_VALUE"""),"Sept/2018")</f>
        <v>Sept/2018</v>
      </c>
      <c r="N35" s="34" t="str">
        <f>IFERROR(__xludf.DUMMYFUNCTION("""COMPUTED_VALUE"""),"https://drive.google.com/open?id=1jxl6DU6_rDRsXwdwYjHH0JrfaQymys9Q")</f>
        <v>https://drive.google.com/open?id=1jxl6DU6_rDRsXwdwYjHH0JrfaQymys9Q</v>
      </c>
      <c r="O35" s="18" t="str">
        <f>IFERROR(__xludf.DUMMYFUNCTION("""COMPUTED_VALUE"""),"In progress")</f>
        <v>In progress</v>
      </c>
      <c r="P35" s="1" t="str">
        <f>IFERROR(__xludf.DUMMYFUNCTION("""COMPUTED_VALUE"""),"")</f>
        <v/>
      </c>
      <c r="Q35" s="1" t="str">
        <f>IFERROR(__xludf.DUMMYFUNCTION("""COMPUTED_VALUE"""),"")</f>
        <v/>
      </c>
      <c r="R35" s="1" t="str">
        <f>IFERROR(__xludf.DUMMYFUNCTION("""COMPUTED_VALUE"""),"")</f>
        <v/>
      </c>
      <c r="S35" s="1" t="str">
        <f>IFERROR(__xludf.DUMMYFUNCTION("""COMPUTED_VALUE"""),"")</f>
        <v/>
      </c>
      <c r="T35" s="1" t="str">
        <f>IFERROR(__xludf.DUMMYFUNCTION("""COMPUTED_VALUE"""),"")</f>
        <v/>
      </c>
      <c r="U35" s="1" t="str">
        <f>IFERROR(__xludf.DUMMYFUNCTION("""COMPUTED_VALUE"""),"")</f>
        <v/>
      </c>
      <c r="V35" s="1" t="str">
        <f>IFERROR(__xludf.DUMMYFUNCTION("""COMPUTED_VALUE"""),"")</f>
        <v/>
      </c>
      <c r="W35" s="1" t="str">
        <f>IFERROR(__xludf.DUMMYFUNCTION("""COMPUTED_VALUE"""),"")</f>
        <v/>
      </c>
      <c r="X35" s="1" t="str">
        <f>IFERROR(__xludf.DUMMYFUNCTION("""COMPUTED_VALUE"""),"")</f>
        <v/>
      </c>
      <c r="Y35" s="1" t="str">
        <f>IFERROR(__xludf.DUMMYFUNCTION("""COMPUTED_VALUE"""),"")</f>
        <v/>
      </c>
      <c r="Z35" s="1" t="str">
        <f>IFERROR(__xludf.DUMMYFUNCTION("""COMPUTED_VALUE"""),"")</f>
        <v/>
      </c>
      <c r="AA35" s="1" t="str">
        <f>IFERROR(__xludf.DUMMYFUNCTION("""COMPUTED_VALUE"""),"")</f>
        <v/>
      </c>
      <c r="AB35" s="1" t="str">
        <f>IFERROR(__xludf.DUMMYFUNCTION("""COMPUTED_VALUE"""),"")</f>
        <v/>
      </c>
      <c r="AC35" s="1"/>
      <c r="AD35" s="1"/>
      <c r="AE35" s="1"/>
      <c r="AF35" s="1"/>
      <c r="AG35" s="1"/>
      <c r="AH35" s="1"/>
      <c r="AI35" s="1"/>
      <c r="AJ35" s="1"/>
    </row>
    <row r="36">
      <c r="A36" s="7"/>
      <c r="B36" s="8"/>
      <c r="C36" s="9">
        <f>IFERROR(__xludf.DUMMYFUNCTION("""COMPUTED_VALUE"""),14007.0)</f>
        <v>14007</v>
      </c>
      <c r="D36" s="28" t="str">
        <f>IFERROR(__xludf.DUMMYFUNCTION("""COMPUTED_VALUE"""),"R01")</f>
        <v>R01</v>
      </c>
      <c r="E36" s="29" t="str">
        <f>IFERROR(__xludf.DUMMYFUNCTION("""COMPUTED_VALUE"""),"Airframe_Sec1")</f>
        <v>Airframe_Sec1</v>
      </c>
      <c r="F36" s="18" t="str">
        <f>IFERROR(__xludf.DUMMYFUNCTION("""COMPUTED_VALUE"""),"Structures")</f>
        <v>Structures</v>
      </c>
      <c r="G36" s="18" t="str">
        <f>IFERROR(__xludf.DUMMYFUNCTION("""COMPUTED_VALUE"""),"SolidWorks")</f>
        <v>SolidWorks</v>
      </c>
      <c r="H36" s="18" t="str">
        <f>IFERROR(__xludf.DUMMYFUNCTION("""COMPUTED_VALUE"""),"Marginal Stability")</f>
        <v>Marginal Stability</v>
      </c>
      <c r="I36" s="25" t="str">
        <f>IFERROR(__xludf.DUMMYFUNCTION("""COMPUTED_VALUE"""),"First section of the rocket body tube, above the pressurant tank assembly, storing avionics and recovery")</f>
        <v>First section of the rocket body tube, above the pressurant tank assembly, storing avionics and recovery</v>
      </c>
      <c r="J36" s="18" t="str">
        <f>IFERROR(__xludf.DUMMYFUNCTION("""COMPUTED_VALUE"""),"6061-T6")</f>
        <v>6061-T6</v>
      </c>
      <c r="K36" s="18" t="str">
        <f>IFERROR(__xludf.DUMMYFUNCTION("""COMPUTED_VALUE"""),"Imperial")</f>
        <v>Imperial</v>
      </c>
      <c r="L36" s="18" t="str">
        <f>IFERROR(__xludf.DUMMYFUNCTION("""COMPUTED_VALUE"""),"Joshua Hedgpeth")</f>
        <v>Joshua Hedgpeth</v>
      </c>
      <c r="M36" s="42">
        <f>IFERROR(__xludf.DUMMYFUNCTION("""COMPUTED_VALUE"""),43466.0)</f>
        <v>43466</v>
      </c>
      <c r="N36" s="34" t="str">
        <f>IFERROR(__xludf.DUMMYFUNCTION("""COMPUTED_VALUE"""),"https://drive.google.com/a/ucsd.edu/file/d/1JkVf2S1hkxiJx2SDtlUpDhQ_q_UjBaa9/view?usp=sharing")</f>
        <v>https://drive.google.com/a/ucsd.edu/file/d/1JkVf2S1hkxiJx2SDtlUpDhQ_q_UjBaa9/view?usp=sharing</v>
      </c>
      <c r="O36" s="18" t="str">
        <f>IFERROR(__xludf.DUMMYFUNCTION("""COMPUTED_VALUE"""),"In progress")</f>
        <v>In progress</v>
      </c>
      <c r="P36" s="1" t="str">
        <f>IFERROR(__xludf.DUMMYFUNCTION("""COMPUTED_VALUE"""),"")</f>
        <v/>
      </c>
      <c r="Q36" s="1" t="str">
        <f>IFERROR(__xludf.DUMMYFUNCTION("""COMPUTED_VALUE"""),"")</f>
        <v/>
      </c>
      <c r="R36" s="1" t="str">
        <f>IFERROR(__xludf.DUMMYFUNCTION("""COMPUTED_VALUE"""),"")</f>
        <v/>
      </c>
      <c r="S36" s="1" t="str">
        <f>IFERROR(__xludf.DUMMYFUNCTION("""COMPUTED_VALUE"""),"")</f>
        <v/>
      </c>
      <c r="T36" s="1" t="str">
        <f>IFERROR(__xludf.DUMMYFUNCTION("""COMPUTED_VALUE"""),"")</f>
        <v/>
      </c>
      <c r="U36" s="1" t="str">
        <f>IFERROR(__xludf.DUMMYFUNCTION("""COMPUTED_VALUE"""),"")</f>
        <v/>
      </c>
      <c r="V36" s="1" t="str">
        <f>IFERROR(__xludf.DUMMYFUNCTION("""COMPUTED_VALUE"""),"")</f>
        <v/>
      </c>
      <c r="W36" s="1" t="str">
        <f>IFERROR(__xludf.DUMMYFUNCTION("""COMPUTED_VALUE"""),"")</f>
        <v/>
      </c>
      <c r="X36" s="1" t="str">
        <f>IFERROR(__xludf.DUMMYFUNCTION("""COMPUTED_VALUE"""),"")</f>
        <v/>
      </c>
      <c r="Y36" s="1" t="str">
        <f>IFERROR(__xludf.DUMMYFUNCTION("""COMPUTED_VALUE"""),"")</f>
        <v/>
      </c>
      <c r="Z36" s="1" t="str">
        <f>IFERROR(__xludf.DUMMYFUNCTION("""COMPUTED_VALUE"""),"")</f>
        <v/>
      </c>
      <c r="AA36" s="1" t="str">
        <f>IFERROR(__xludf.DUMMYFUNCTION("""COMPUTED_VALUE"""),"")</f>
        <v/>
      </c>
      <c r="AB36" s="1" t="str">
        <f>IFERROR(__xludf.DUMMYFUNCTION("""COMPUTED_VALUE"""),"")</f>
        <v/>
      </c>
      <c r="AC36" s="1"/>
      <c r="AD36" s="1"/>
      <c r="AE36" s="1"/>
      <c r="AF36" s="1"/>
      <c r="AG36" s="1"/>
      <c r="AH36" s="1"/>
      <c r="AI36" s="1"/>
      <c r="AJ36" s="1"/>
    </row>
    <row r="37">
      <c r="A37" s="7"/>
      <c r="B37" s="8"/>
      <c r="C37" s="9">
        <f>IFERROR(__xludf.DUMMYFUNCTION("""COMPUTED_VALUE"""),14008.0)</f>
        <v>14008</v>
      </c>
      <c r="D37" s="28" t="str">
        <f>IFERROR(__xludf.DUMMYFUNCTION("""COMPUTED_VALUE"""),"R01")</f>
        <v>R01</v>
      </c>
      <c r="E37" s="29" t="str">
        <f>IFERROR(__xludf.DUMMYFUNCTION("""COMPUTED_VALUE"""),"Airframe_Sec2")</f>
        <v>Airframe_Sec2</v>
      </c>
      <c r="F37" s="18" t="str">
        <f>IFERROR(__xludf.DUMMYFUNCTION("""COMPUTED_VALUE"""),"Structures")</f>
        <v>Structures</v>
      </c>
      <c r="G37" s="18" t="str">
        <f>IFERROR(__xludf.DUMMYFUNCTION("""COMPUTED_VALUE"""),"SolidWorks")</f>
        <v>SolidWorks</v>
      </c>
      <c r="H37" s="18" t="str">
        <f>IFERROR(__xludf.DUMMYFUNCTION("""COMPUTED_VALUE"""),"Marginal Stability")</f>
        <v>Marginal Stability</v>
      </c>
      <c r="I37" s="25" t="str">
        <f>IFERROR(__xludf.DUMMYFUNCTION("""COMPUTED_VALUE"""),"Second section of the body tube which contains the pressurant tank assembly")</f>
        <v>Second section of the body tube which contains the pressurant tank assembly</v>
      </c>
      <c r="J37" s="18" t="str">
        <f>IFERROR(__xludf.DUMMYFUNCTION("""COMPUTED_VALUE"""),"6061-T6")</f>
        <v>6061-T6</v>
      </c>
      <c r="K37" s="18" t="str">
        <f>IFERROR(__xludf.DUMMYFUNCTION("""COMPUTED_VALUE"""),"Imperial")</f>
        <v>Imperial</v>
      </c>
      <c r="L37" s="18" t="str">
        <f>IFERROR(__xludf.DUMMYFUNCTION("""COMPUTED_VALUE"""),"Joshua Elmer")</f>
        <v>Joshua Elmer</v>
      </c>
      <c r="M37" s="42">
        <f>IFERROR(__xludf.DUMMYFUNCTION("""COMPUTED_VALUE"""),43313.0)</f>
        <v>43313</v>
      </c>
      <c r="N37" s="34" t="str">
        <f>IFERROR(__xludf.DUMMYFUNCTION("""COMPUTED_VALUE"""),"https://drive.google.com/open?id=13_WQGznCK2Te6_iOrqA2ys1_0BLNgaWD")</f>
        <v>https://drive.google.com/open?id=13_WQGznCK2Te6_iOrqA2ys1_0BLNgaWD</v>
      </c>
      <c r="O37" s="18" t="str">
        <f>IFERROR(__xludf.DUMMYFUNCTION("""COMPUTED_VALUE"""),"In progress")</f>
        <v>In progress</v>
      </c>
      <c r="P37" s="1" t="str">
        <f>IFERROR(__xludf.DUMMYFUNCTION("""COMPUTED_VALUE"""),"")</f>
        <v/>
      </c>
      <c r="Q37" s="1" t="str">
        <f>IFERROR(__xludf.DUMMYFUNCTION("""COMPUTED_VALUE"""),"")</f>
        <v/>
      </c>
      <c r="R37" s="1" t="str">
        <f>IFERROR(__xludf.DUMMYFUNCTION("""COMPUTED_VALUE"""),"")</f>
        <v/>
      </c>
      <c r="S37" s="1" t="str">
        <f>IFERROR(__xludf.DUMMYFUNCTION("""COMPUTED_VALUE"""),"")</f>
        <v/>
      </c>
      <c r="T37" s="1" t="str">
        <f>IFERROR(__xludf.DUMMYFUNCTION("""COMPUTED_VALUE"""),"")</f>
        <v/>
      </c>
      <c r="U37" s="1" t="str">
        <f>IFERROR(__xludf.DUMMYFUNCTION("""COMPUTED_VALUE"""),"")</f>
        <v/>
      </c>
      <c r="V37" s="1" t="str">
        <f>IFERROR(__xludf.DUMMYFUNCTION("""COMPUTED_VALUE"""),"")</f>
        <v/>
      </c>
      <c r="W37" s="1" t="str">
        <f>IFERROR(__xludf.DUMMYFUNCTION("""COMPUTED_VALUE"""),"")</f>
        <v/>
      </c>
      <c r="X37" s="1" t="str">
        <f>IFERROR(__xludf.DUMMYFUNCTION("""COMPUTED_VALUE"""),"")</f>
        <v/>
      </c>
      <c r="Y37" s="1" t="str">
        <f>IFERROR(__xludf.DUMMYFUNCTION("""COMPUTED_VALUE"""),"")</f>
        <v/>
      </c>
      <c r="Z37" s="1" t="str">
        <f>IFERROR(__xludf.DUMMYFUNCTION("""COMPUTED_VALUE"""),"")</f>
        <v/>
      </c>
      <c r="AA37" s="1" t="str">
        <f>IFERROR(__xludf.DUMMYFUNCTION("""COMPUTED_VALUE"""),"")</f>
        <v/>
      </c>
      <c r="AB37" s="1" t="str">
        <f>IFERROR(__xludf.DUMMYFUNCTION("""COMPUTED_VALUE"""),"")</f>
        <v/>
      </c>
      <c r="AC37" s="1"/>
      <c r="AD37" s="1"/>
      <c r="AE37" s="1"/>
      <c r="AF37" s="1"/>
      <c r="AG37" s="1"/>
      <c r="AH37" s="1"/>
      <c r="AI37" s="1"/>
      <c r="AJ37" s="1"/>
    </row>
    <row r="38">
      <c r="A38" s="7"/>
      <c r="B38" s="8"/>
      <c r="C38" s="9">
        <f>IFERROR(__xludf.DUMMYFUNCTION("""COMPUTED_VALUE"""),14009.0)</f>
        <v>14009</v>
      </c>
      <c r="D38" s="28" t="str">
        <f>IFERROR(__xludf.DUMMYFUNCTION("""COMPUTED_VALUE"""),"R08")</f>
        <v>R08</v>
      </c>
      <c r="E38" s="29" t="str">
        <f>IFERROR(__xludf.DUMMYFUNCTION("""COMPUTED_VALUE"""),"Raceway")</f>
        <v>Raceway</v>
      </c>
      <c r="F38" s="18" t="str">
        <f>IFERROR(__xludf.DUMMYFUNCTION("""COMPUTED_VALUE"""),"Structures")</f>
        <v>Structures</v>
      </c>
      <c r="G38" s="18" t="str">
        <f>IFERROR(__xludf.DUMMYFUNCTION("""COMPUTED_VALUE"""),"SolidWorks")</f>
        <v>SolidWorks</v>
      </c>
      <c r="H38" s="18" t="str">
        <f>IFERROR(__xludf.DUMMYFUNCTION("""COMPUTED_VALUE"""),"Marginal Stability")</f>
        <v>Marginal Stability</v>
      </c>
      <c r="I38" s="25" t="str">
        <f>IFERROR(__xludf.DUMMYFUNCTION("""COMPUTED_VALUE"""),"Protective cover for running plumbing and electrical from upper airframe to lower tanks and airframe")</f>
        <v>Protective cover for running plumbing and electrical from upper airframe to lower tanks and airframe</v>
      </c>
      <c r="J38" s="18" t="str">
        <f>IFERROR(__xludf.DUMMYFUNCTION("""COMPUTED_VALUE"""),"6061-T6")</f>
        <v>6061-T6</v>
      </c>
      <c r="K38" s="18" t="str">
        <f>IFERROR(__xludf.DUMMYFUNCTION("""COMPUTED_VALUE"""),"Imperial")</f>
        <v>Imperial</v>
      </c>
      <c r="L38" s="18" t="str">
        <f>IFERROR(__xludf.DUMMYFUNCTION("""COMPUTED_VALUE"""),"Joshua Elmer
Gerui (Ray) Sheng")</f>
        <v>Joshua Elmer
Gerui (Ray) Sheng</v>
      </c>
      <c r="M38" s="43">
        <f>IFERROR(__xludf.DUMMYFUNCTION("""COMPUTED_VALUE"""),43466.0)</f>
        <v>43466</v>
      </c>
      <c r="N38" s="18" t="str">
        <f>IFERROR(__xludf.DUMMYFUNCTION("""COMPUTED_VALUE"""),"https://drive.google.com/open?id=17nlMmuJdl5hBU4JxtBoXKveDDreg4DP7
https://drive.google.com/open?id=1jRjTDvT-Ey6YO1S3o1mHQ-GnPtwFuXpC
https://drive.google.com/open?id=1g1ASKn7hhVEoA57-XTF_W6kPHjAJ8m4t")</f>
        <v>https://drive.google.com/open?id=17nlMmuJdl5hBU4JxtBoXKveDDreg4DP7
https://drive.google.com/open?id=1jRjTDvT-Ey6YO1S3o1mHQ-GnPtwFuXpC
https://drive.google.com/open?id=1g1ASKn7hhVEoA57-XTF_W6kPHjAJ8m4t</v>
      </c>
      <c r="O38" s="18" t="str">
        <f>IFERROR(__xludf.DUMMYFUNCTION("""COMPUTED_VALUE"""),"In progress")</f>
        <v>In progress</v>
      </c>
      <c r="P38" s="1" t="str">
        <f>IFERROR(__xludf.DUMMYFUNCTION("""COMPUTED_VALUE"""),"")</f>
        <v/>
      </c>
      <c r="Q38" s="1" t="str">
        <f>IFERROR(__xludf.DUMMYFUNCTION("""COMPUTED_VALUE"""),"")</f>
        <v/>
      </c>
      <c r="R38" s="1" t="str">
        <f>IFERROR(__xludf.DUMMYFUNCTION("""COMPUTED_VALUE"""),"")</f>
        <v/>
      </c>
      <c r="S38" s="1" t="str">
        <f>IFERROR(__xludf.DUMMYFUNCTION("""COMPUTED_VALUE"""),"")</f>
        <v/>
      </c>
      <c r="T38" s="1" t="str">
        <f>IFERROR(__xludf.DUMMYFUNCTION("""COMPUTED_VALUE"""),"")</f>
        <v/>
      </c>
      <c r="U38" s="1" t="str">
        <f>IFERROR(__xludf.DUMMYFUNCTION("""COMPUTED_VALUE"""),"")</f>
        <v/>
      </c>
      <c r="V38" s="1" t="str">
        <f>IFERROR(__xludf.DUMMYFUNCTION("""COMPUTED_VALUE"""),"")</f>
        <v/>
      </c>
      <c r="W38" s="1" t="str">
        <f>IFERROR(__xludf.DUMMYFUNCTION("""COMPUTED_VALUE"""),"")</f>
        <v/>
      </c>
      <c r="X38" s="1" t="str">
        <f>IFERROR(__xludf.DUMMYFUNCTION("""COMPUTED_VALUE"""),"")</f>
        <v/>
      </c>
      <c r="Y38" s="1" t="str">
        <f>IFERROR(__xludf.DUMMYFUNCTION("""COMPUTED_VALUE"""),"")</f>
        <v/>
      </c>
      <c r="Z38" s="1" t="str">
        <f>IFERROR(__xludf.DUMMYFUNCTION("""COMPUTED_VALUE"""),"")</f>
        <v/>
      </c>
      <c r="AA38" s="1" t="str">
        <f>IFERROR(__xludf.DUMMYFUNCTION("""COMPUTED_VALUE"""),"")</f>
        <v/>
      </c>
      <c r="AB38" s="1" t="str">
        <f>IFERROR(__xludf.DUMMYFUNCTION("""COMPUTED_VALUE"""),"")</f>
        <v/>
      </c>
      <c r="AC38" s="1"/>
      <c r="AD38" s="1"/>
      <c r="AE38" s="1"/>
      <c r="AF38" s="1"/>
      <c r="AG38" s="1"/>
      <c r="AH38" s="1"/>
      <c r="AI38" s="1"/>
      <c r="AJ38" s="1"/>
    </row>
    <row r="39">
      <c r="A39" s="7"/>
      <c r="B39" s="8"/>
      <c r="C39" s="9">
        <f>IFERROR(__xludf.DUMMYFUNCTION("""COMPUTED_VALUE"""),14010.0)</f>
        <v>14010</v>
      </c>
      <c r="D39" s="28" t="str">
        <f>IFERROR(__xludf.DUMMYFUNCTION("""COMPUTED_VALUE"""),"R05")</f>
        <v>R05</v>
      </c>
      <c r="E39" s="29" t="str">
        <f>IFERROR(__xludf.DUMMYFUNCTION("""COMPUTED_VALUE"""),"Fin")</f>
        <v>Fin</v>
      </c>
      <c r="F39" s="18" t="str">
        <f>IFERROR(__xludf.DUMMYFUNCTION("""COMPUTED_VALUE"""),"Structures")</f>
        <v>Structures</v>
      </c>
      <c r="G39" s="18" t="str">
        <f>IFERROR(__xludf.DUMMYFUNCTION("""COMPUTED_VALUE"""),"SolidWorks")</f>
        <v>SolidWorks</v>
      </c>
      <c r="H39" s="18" t="str">
        <f>IFERROR(__xludf.DUMMYFUNCTION("""COMPUTED_VALUE"""),"Marginal Stability")</f>
        <v>Marginal Stability</v>
      </c>
      <c r="I39" s="25" t="str">
        <f>IFERROR(__xludf.DUMMYFUNCTION("""COMPUTED_VALUE"""),"Fins for stability during flight")</f>
        <v>Fins for stability during flight</v>
      </c>
      <c r="J39" s="18" t="str">
        <f>IFERROR(__xludf.DUMMYFUNCTION("""COMPUTED_VALUE"""),"Carbon fiber")</f>
        <v>Carbon fiber</v>
      </c>
      <c r="K39" s="18" t="str">
        <f>IFERROR(__xludf.DUMMYFUNCTION("""COMPUTED_VALUE"""),"Imperial")</f>
        <v>Imperial</v>
      </c>
      <c r="L39" s="18" t="str">
        <f>IFERROR(__xludf.DUMMYFUNCTION("""COMPUTED_VALUE"""),"Andrew Bilan")</f>
        <v>Andrew Bilan</v>
      </c>
      <c r="M39" s="44">
        <f>IFERROR(__xludf.DUMMYFUNCTION("""COMPUTED_VALUE"""),43386.0)</f>
        <v>43386</v>
      </c>
      <c r="N39" s="34" t="str">
        <f>IFERROR(__xludf.DUMMYFUNCTION("""COMPUTED_VALUE"""),"https://drive.google.com/open?id=1pxv5yOgPuQ4qqavFZKrMMezzVvmXoJNv")</f>
        <v>https://drive.google.com/open?id=1pxv5yOgPuQ4qqavFZKrMMezzVvmXoJNv</v>
      </c>
      <c r="O39" s="18" t="str">
        <f>IFERROR(__xludf.DUMMYFUNCTION("""COMPUTED_VALUE"""),"In progress")</f>
        <v>In progress</v>
      </c>
      <c r="P39" s="1" t="str">
        <f>IFERROR(__xludf.DUMMYFUNCTION("""COMPUTED_VALUE"""),"")</f>
        <v/>
      </c>
      <c r="Q39" s="1" t="str">
        <f>IFERROR(__xludf.DUMMYFUNCTION("""COMPUTED_VALUE"""),"")</f>
        <v/>
      </c>
      <c r="R39" s="1" t="str">
        <f>IFERROR(__xludf.DUMMYFUNCTION("""COMPUTED_VALUE"""),"")</f>
        <v/>
      </c>
      <c r="S39" s="1" t="str">
        <f>IFERROR(__xludf.DUMMYFUNCTION("""COMPUTED_VALUE"""),"")</f>
        <v/>
      </c>
      <c r="T39" s="1" t="str">
        <f>IFERROR(__xludf.DUMMYFUNCTION("""COMPUTED_VALUE"""),"")</f>
        <v/>
      </c>
      <c r="U39" s="1" t="str">
        <f>IFERROR(__xludf.DUMMYFUNCTION("""COMPUTED_VALUE"""),"")</f>
        <v/>
      </c>
      <c r="V39" s="1" t="str">
        <f>IFERROR(__xludf.DUMMYFUNCTION("""COMPUTED_VALUE"""),"")</f>
        <v/>
      </c>
      <c r="W39" s="1" t="str">
        <f>IFERROR(__xludf.DUMMYFUNCTION("""COMPUTED_VALUE"""),"")</f>
        <v/>
      </c>
      <c r="X39" s="1" t="str">
        <f>IFERROR(__xludf.DUMMYFUNCTION("""COMPUTED_VALUE"""),"")</f>
        <v/>
      </c>
      <c r="Y39" s="1" t="str">
        <f>IFERROR(__xludf.DUMMYFUNCTION("""COMPUTED_VALUE"""),"")</f>
        <v/>
      </c>
      <c r="Z39" s="1" t="str">
        <f>IFERROR(__xludf.DUMMYFUNCTION("""COMPUTED_VALUE"""),"")</f>
        <v/>
      </c>
      <c r="AA39" s="1" t="str">
        <f>IFERROR(__xludf.DUMMYFUNCTION("""COMPUTED_VALUE"""),"")</f>
        <v/>
      </c>
      <c r="AB39" s="1" t="str">
        <f>IFERROR(__xludf.DUMMYFUNCTION("""COMPUTED_VALUE"""),"")</f>
        <v/>
      </c>
      <c r="AC39" s="1"/>
      <c r="AD39" s="1"/>
      <c r="AE39" s="1"/>
      <c r="AF39" s="1"/>
      <c r="AG39" s="1"/>
      <c r="AH39" s="1"/>
      <c r="AI39" s="1"/>
      <c r="AJ39" s="1"/>
    </row>
    <row r="40">
      <c r="A40" s="7"/>
      <c r="B40" s="8"/>
      <c r="C40" s="9">
        <f>IFERROR(__xludf.DUMMYFUNCTION("""COMPUTED_VALUE"""),14011.0)</f>
        <v>14011</v>
      </c>
      <c r="D40" s="28" t="str">
        <f>IFERROR(__xludf.DUMMYFUNCTION("""COMPUTED_VALUE"""),"R07")</f>
        <v>R07</v>
      </c>
      <c r="E40" s="29" t="str">
        <f>IFERROR(__xludf.DUMMYFUNCTION("""COMPUTED_VALUE"""),"Recovery_Mounting_Plate")</f>
        <v>Recovery_Mounting_Plate</v>
      </c>
      <c r="F40" s="18" t="str">
        <f>IFERROR(__xludf.DUMMYFUNCTION("""COMPUTED_VALUE"""),"Structures")</f>
        <v>Structures</v>
      </c>
      <c r="G40" s="18" t="str">
        <f>IFERROR(__xludf.DUMMYFUNCTION("""COMPUTED_VALUE"""),"SolidWorks")</f>
        <v>SolidWorks</v>
      </c>
      <c r="H40" s="18" t="str">
        <f>IFERROR(__xludf.DUMMYFUNCTION("""COMPUTED_VALUE"""),"Marginal Stability")</f>
        <v>Marginal Stability</v>
      </c>
      <c r="I40" s="25" t="str">
        <f>IFERROR(__xludf.DUMMYFUNCTION("""COMPUTED_VALUE"""),"The Mounting Plate that attatches the parachute and actuator to the rocket body")</f>
        <v>The Mounting Plate that attatches the parachute and actuator to the rocket body</v>
      </c>
      <c r="J40" s="18" t="str">
        <f>IFERROR(__xludf.DUMMYFUNCTION("""COMPUTED_VALUE"""),"Steel")</f>
        <v>Steel</v>
      </c>
      <c r="K40" s="18" t="str">
        <f>IFERROR(__xludf.DUMMYFUNCTION("""COMPUTED_VALUE"""),"Imperial")</f>
        <v>Imperial</v>
      </c>
      <c r="L40" s="18" t="str">
        <f>IFERROR(__xludf.DUMMYFUNCTION("""COMPUTED_VALUE"""),"Bryce Borders")</f>
        <v>Bryce Borders</v>
      </c>
      <c r="M40" s="42">
        <f>IFERROR(__xludf.DUMMYFUNCTION("""COMPUTED_VALUE"""),43374.0)</f>
        <v>43374</v>
      </c>
      <c r="N40" s="34" t="str">
        <f>IFERROR(__xludf.DUMMYFUNCTION("""COMPUTED_VALUE"""),"https://drive.google.com/open?id=1qXb8koDwF2kn29clhQizMFKqQMShJq7n")</f>
        <v>https://drive.google.com/open?id=1qXb8koDwF2kn29clhQizMFKqQMShJq7n</v>
      </c>
      <c r="O40" s="18" t="str">
        <f>IFERROR(__xludf.DUMMYFUNCTION("""COMPUTED_VALUE"""),"In progress")</f>
        <v>In progress</v>
      </c>
      <c r="P40" s="1" t="str">
        <f>IFERROR(__xludf.DUMMYFUNCTION("""COMPUTED_VALUE"""),"")</f>
        <v/>
      </c>
      <c r="Q40" s="1" t="str">
        <f>IFERROR(__xludf.DUMMYFUNCTION("""COMPUTED_VALUE"""),"")</f>
        <v/>
      </c>
      <c r="R40" s="1" t="str">
        <f>IFERROR(__xludf.DUMMYFUNCTION("""COMPUTED_VALUE"""),"")</f>
        <v/>
      </c>
      <c r="S40" s="1" t="str">
        <f>IFERROR(__xludf.DUMMYFUNCTION("""COMPUTED_VALUE"""),"")</f>
        <v/>
      </c>
      <c r="T40" s="1" t="str">
        <f>IFERROR(__xludf.DUMMYFUNCTION("""COMPUTED_VALUE"""),"")</f>
        <v/>
      </c>
      <c r="U40" s="1" t="str">
        <f>IFERROR(__xludf.DUMMYFUNCTION("""COMPUTED_VALUE"""),"")</f>
        <v/>
      </c>
      <c r="V40" s="1" t="str">
        <f>IFERROR(__xludf.DUMMYFUNCTION("""COMPUTED_VALUE"""),"")</f>
        <v/>
      </c>
      <c r="W40" s="1" t="str">
        <f>IFERROR(__xludf.DUMMYFUNCTION("""COMPUTED_VALUE"""),"")</f>
        <v/>
      </c>
      <c r="X40" s="1" t="str">
        <f>IFERROR(__xludf.DUMMYFUNCTION("""COMPUTED_VALUE"""),"")</f>
        <v/>
      </c>
      <c r="Y40" s="1" t="str">
        <f>IFERROR(__xludf.DUMMYFUNCTION("""COMPUTED_VALUE"""),"")</f>
        <v/>
      </c>
      <c r="Z40" s="1" t="str">
        <f>IFERROR(__xludf.DUMMYFUNCTION("""COMPUTED_VALUE"""),"")</f>
        <v/>
      </c>
      <c r="AA40" s="1" t="str">
        <f>IFERROR(__xludf.DUMMYFUNCTION("""COMPUTED_VALUE"""),"")</f>
        <v/>
      </c>
      <c r="AB40" s="1" t="str">
        <f>IFERROR(__xludf.DUMMYFUNCTION("""COMPUTED_VALUE"""),"")</f>
        <v/>
      </c>
      <c r="AC40" s="1"/>
      <c r="AD40" s="1"/>
      <c r="AE40" s="1"/>
      <c r="AF40" s="1"/>
      <c r="AG40" s="1"/>
      <c r="AH40" s="1"/>
      <c r="AI40" s="1"/>
      <c r="AJ40" s="1"/>
    </row>
    <row r="41">
      <c r="A41" s="7"/>
      <c r="B41" s="8"/>
      <c r="C41" s="9">
        <f>IFERROR(__xludf.DUMMYFUNCTION("""COMPUTED_VALUE"""),14012.0)</f>
        <v>14012</v>
      </c>
      <c r="D41" s="28" t="str">
        <f>IFERROR(__xludf.DUMMYFUNCTION("""COMPUTED_VALUE"""),"RO5")</f>
        <v>RO5</v>
      </c>
      <c r="E41" s="29" t="str">
        <f>IFERROR(__xludf.DUMMYFUNCTION("""COMPUTED_VALUE"""),"Avionics_Bulkhead")</f>
        <v>Avionics_Bulkhead</v>
      </c>
      <c r="F41" s="18" t="str">
        <f>IFERROR(__xludf.DUMMYFUNCTION("""COMPUTED_VALUE"""),"Structures")</f>
        <v>Structures</v>
      </c>
      <c r="G41" s="18" t="str">
        <f>IFERROR(__xludf.DUMMYFUNCTION("""COMPUTED_VALUE"""),"SolidWorks")</f>
        <v>SolidWorks</v>
      </c>
      <c r="H41" s="18" t="str">
        <f>IFERROR(__xludf.DUMMYFUNCTION("""COMPUTED_VALUE"""),"Marginal Stability")</f>
        <v>Marginal Stability</v>
      </c>
      <c r="I41" s="25" t="str">
        <f>IFERROR(__xludf.DUMMYFUNCTION("""COMPUTED_VALUE"""),"Holds the threaded rods that supports the avionics platform.")</f>
        <v>Holds the threaded rods that supports the avionics platform.</v>
      </c>
      <c r="J41" s="18" t="str">
        <f>IFERROR(__xludf.DUMMYFUNCTION("""COMPUTED_VALUE"""),"6061-T6")</f>
        <v>6061-T6</v>
      </c>
      <c r="K41" s="18" t="str">
        <f>IFERROR(__xludf.DUMMYFUNCTION("""COMPUTED_VALUE"""),"Imperial")</f>
        <v>Imperial</v>
      </c>
      <c r="L41" s="18" t="str">
        <f>IFERROR(__xludf.DUMMYFUNCTION("""COMPUTED_VALUE"""),"Joshua Elmer")</f>
        <v>Joshua Elmer</v>
      </c>
      <c r="M41" s="18" t="str">
        <f>IFERROR(__xludf.DUMMYFUNCTION("""COMPUTED_VALUE"""),"Sept/2018")</f>
        <v>Sept/2018</v>
      </c>
      <c r="N41" s="34" t="str">
        <f>IFERROR(__xludf.DUMMYFUNCTION("""COMPUTED_VALUE"""),"https://drive.google.com/open?id=1C5yta8XERV_dp-j1jVM3FahsH_VApazx")</f>
        <v>https://drive.google.com/open?id=1C5yta8XERV_dp-j1jVM3FahsH_VApazx</v>
      </c>
      <c r="O41" s="18" t="str">
        <f>IFERROR(__xludf.DUMMYFUNCTION("""COMPUTED_VALUE"""),"In progress")</f>
        <v>In progress</v>
      </c>
      <c r="P41" s="1" t="str">
        <f>IFERROR(__xludf.DUMMYFUNCTION("""COMPUTED_VALUE"""),"")</f>
        <v/>
      </c>
      <c r="Q41" s="1" t="str">
        <f>IFERROR(__xludf.DUMMYFUNCTION("""COMPUTED_VALUE"""),"")</f>
        <v/>
      </c>
      <c r="R41" s="1" t="str">
        <f>IFERROR(__xludf.DUMMYFUNCTION("""COMPUTED_VALUE"""),"")</f>
        <v/>
      </c>
      <c r="S41" s="1" t="str">
        <f>IFERROR(__xludf.DUMMYFUNCTION("""COMPUTED_VALUE"""),"")</f>
        <v/>
      </c>
      <c r="T41" s="1" t="str">
        <f>IFERROR(__xludf.DUMMYFUNCTION("""COMPUTED_VALUE"""),"")</f>
        <v/>
      </c>
      <c r="U41" s="1" t="str">
        <f>IFERROR(__xludf.DUMMYFUNCTION("""COMPUTED_VALUE"""),"")</f>
        <v/>
      </c>
      <c r="V41" s="1" t="str">
        <f>IFERROR(__xludf.DUMMYFUNCTION("""COMPUTED_VALUE"""),"")</f>
        <v/>
      </c>
      <c r="W41" s="1" t="str">
        <f>IFERROR(__xludf.DUMMYFUNCTION("""COMPUTED_VALUE"""),"")</f>
        <v/>
      </c>
      <c r="X41" s="1" t="str">
        <f>IFERROR(__xludf.DUMMYFUNCTION("""COMPUTED_VALUE"""),"")</f>
        <v/>
      </c>
      <c r="Y41" s="1" t="str">
        <f>IFERROR(__xludf.DUMMYFUNCTION("""COMPUTED_VALUE"""),"")</f>
        <v/>
      </c>
      <c r="Z41" s="1" t="str">
        <f>IFERROR(__xludf.DUMMYFUNCTION("""COMPUTED_VALUE"""),"")</f>
        <v/>
      </c>
      <c r="AA41" s="1" t="str">
        <f>IFERROR(__xludf.DUMMYFUNCTION("""COMPUTED_VALUE"""),"")</f>
        <v/>
      </c>
      <c r="AB41" s="1" t="str">
        <f>IFERROR(__xludf.DUMMYFUNCTION("""COMPUTED_VALUE"""),"")</f>
        <v/>
      </c>
      <c r="AC41" s="1"/>
      <c r="AD41" s="1"/>
      <c r="AE41" s="1"/>
      <c r="AF41" s="1"/>
      <c r="AG41" s="1"/>
      <c r="AH41" s="1"/>
      <c r="AI41" s="1"/>
      <c r="AJ41" s="1"/>
    </row>
    <row r="42">
      <c r="A42" s="7"/>
      <c r="B42" s="8"/>
      <c r="C42" s="9">
        <f>IFERROR(__xludf.DUMMYFUNCTION("""COMPUTED_VALUE"""),14013.0)</f>
        <v>14013</v>
      </c>
      <c r="D42" s="10" t="str">
        <f>IFERROR(__xludf.DUMMYFUNCTION("""COMPUTED_VALUE"""),"R04")</f>
        <v>R04</v>
      </c>
      <c r="E42" s="31" t="str">
        <f>IFERROR(__xludf.DUMMYFUNCTION("""COMPUTED_VALUE"""),"Fin_L_Bracket")</f>
        <v>Fin_L_Bracket</v>
      </c>
      <c r="F42" s="2" t="str">
        <f>IFERROR(__xludf.DUMMYFUNCTION("""COMPUTED_VALUE"""),"Structures")</f>
        <v>Structures</v>
      </c>
      <c r="G42" s="2" t="str">
        <f>IFERROR(__xludf.DUMMYFUNCTION("""COMPUTED_VALUE"""),"SolidWorks")</f>
        <v>SolidWorks</v>
      </c>
      <c r="H42" s="2" t="str">
        <f>IFERROR(__xludf.DUMMYFUNCTION("""COMPUTED_VALUE"""),"Marginal Stability")</f>
        <v>Marginal Stability</v>
      </c>
      <c r="I42" s="12" t="str">
        <f>IFERROR(__xludf.DUMMYFUNCTION("""COMPUTED_VALUE"""),"L-bracket holds the fin to the airframe. Attached on the inside of the airframe")</f>
        <v>L-bracket holds the fin to the airframe. Attached on the inside of the airframe</v>
      </c>
      <c r="J42" s="2" t="str">
        <f>IFERROR(__xludf.DUMMYFUNCTION("""COMPUTED_VALUE"""),"6061-T6")</f>
        <v>6061-T6</v>
      </c>
      <c r="K42" s="2" t="str">
        <f>IFERROR(__xludf.DUMMYFUNCTION("""COMPUTED_VALUE"""),"Imperial")</f>
        <v>Imperial</v>
      </c>
      <c r="L42" s="2" t="str">
        <f>IFERROR(__xludf.DUMMYFUNCTION("""COMPUTED_VALUE"""),"Andrew Bilan")</f>
        <v>Andrew Bilan</v>
      </c>
      <c r="M42" s="26">
        <f>IFERROR(__xludf.DUMMYFUNCTION("""COMPUTED_VALUE"""),43374.0)</f>
        <v>43374</v>
      </c>
      <c r="N42" s="45" t="str">
        <f>IFERROR(__xludf.DUMMYFUNCTION("""COMPUTED_VALUE"""),"https://drive.google.com/open?id=15iZ8DA1M1gLEKjcYiEkWIXrOUcYlVLPD")</f>
        <v>https://drive.google.com/open?id=15iZ8DA1M1gLEKjcYiEkWIXrOUcYlVLPD</v>
      </c>
      <c r="O42" s="18" t="str">
        <f>IFERROR(__xludf.DUMMYFUNCTION("""COMPUTED_VALUE"""),"In progress")</f>
        <v>In progress</v>
      </c>
      <c r="P42" s="1" t="str">
        <f>IFERROR(__xludf.DUMMYFUNCTION("""COMPUTED_VALUE"""),"")</f>
        <v/>
      </c>
      <c r="Q42" s="1" t="str">
        <f>IFERROR(__xludf.DUMMYFUNCTION("""COMPUTED_VALUE"""),"")</f>
        <v/>
      </c>
      <c r="R42" s="1" t="str">
        <f>IFERROR(__xludf.DUMMYFUNCTION("""COMPUTED_VALUE"""),"")</f>
        <v/>
      </c>
      <c r="S42" s="1" t="str">
        <f>IFERROR(__xludf.DUMMYFUNCTION("""COMPUTED_VALUE"""),"")</f>
        <v/>
      </c>
      <c r="T42" s="1" t="str">
        <f>IFERROR(__xludf.DUMMYFUNCTION("""COMPUTED_VALUE"""),"")</f>
        <v/>
      </c>
      <c r="U42" s="1" t="str">
        <f>IFERROR(__xludf.DUMMYFUNCTION("""COMPUTED_VALUE"""),"")</f>
        <v/>
      </c>
      <c r="V42" s="1" t="str">
        <f>IFERROR(__xludf.DUMMYFUNCTION("""COMPUTED_VALUE"""),"")</f>
        <v/>
      </c>
      <c r="W42" s="1" t="str">
        <f>IFERROR(__xludf.DUMMYFUNCTION("""COMPUTED_VALUE"""),"")</f>
        <v/>
      </c>
      <c r="X42" s="1" t="str">
        <f>IFERROR(__xludf.DUMMYFUNCTION("""COMPUTED_VALUE"""),"")</f>
        <v/>
      </c>
      <c r="Y42" s="1" t="str">
        <f>IFERROR(__xludf.DUMMYFUNCTION("""COMPUTED_VALUE"""),"")</f>
        <v/>
      </c>
      <c r="Z42" s="1" t="str">
        <f>IFERROR(__xludf.DUMMYFUNCTION("""COMPUTED_VALUE"""),"")</f>
        <v/>
      </c>
      <c r="AA42" s="1" t="str">
        <f>IFERROR(__xludf.DUMMYFUNCTION("""COMPUTED_VALUE"""),"")</f>
        <v/>
      </c>
      <c r="AB42" s="1" t="str">
        <f>IFERROR(__xludf.DUMMYFUNCTION("""COMPUTED_VALUE"""),"")</f>
        <v/>
      </c>
      <c r="AC42" s="1"/>
      <c r="AD42" s="1"/>
      <c r="AE42" s="1"/>
      <c r="AF42" s="1"/>
      <c r="AG42" s="1"/>
      <c r="AH42" s="1"/>
      <c r="AI42" s="1"/>
      <c r="AJ42" s="1"/>
    </row>
    <row r="43">
      <c r="A43" s="7"/>
      <c r="B43" s="8"/>
      <c r="C43" s="9">
        <f>IFERROR(__xludf.DUMMYFUNCTION("""COMPUTED_VALUE"""),14014.0)</f>
        <v>14014</v>
      </c>
      <c r="D43" s="10" t="str">
        <f>IFERROR(__xludf.DUMMYFUNCTION("""COMPUTED_VALUE"""),"R03")</f>
        <v>R03</v>
      </c>
      <c r="E43" s="31" t="str">
        <f>IFERROR(__xludf.DUMMYFUNCTION("""COMPUTED_VALUE"""),"Shear_Body_Test_Tube")</f>
        <v>Shear_Body_Test_Tube</v>
      </c>
      <c r="F43" s="2" t="str">
        <f>IFERROR(__xludf.DUMMYFUNCTION("""COMPUTED_VALUE"""),"Structures")</f>
        <v>Structures</v>
      </c>
      <c r="G43" s="2" t="str">
        <f>IFERROR(__xludf.DUMMYFUNCTION("""COMPUTED_VALUE"""),"SolidWorks")</f>
        <v>SolidWorks</v>
      </c>
      <c r="H43" s="2" t="str">
        <f>IFERROR(__xludf.DUMMYFUNCTION("""COMPUTED_VALUE"""),"Marginal Stability")</f>
        <v>Marginal Stability</v>
      </c>
      <c r="I43" s="12" t="str">
        <f>IFERROR(__xludf.DUMMYFUNCTION("""COMPUTED_VALUE"""),"Section of Airframe designed to test fin assembly")</f>
        <v>Section of Airframe designed to test fin assembly</v>
      </c>
      <c r="J43" s="2" t="str">
        <f>IFERROR(__xludf.DUMMYFUNCTION("""COMPUTED_VALUE"""),"6061-T6")</f>
        <v>6061-T6</v>
      </c>
      <c r="K43" s="2" t="str">
        <f>IFERROR(__xludf.DUMMYFUNCTION("""COMPUTED_VALUE"""),"Imperial")</f>
        <v>Imperial</v>
      </c>
      <c r="L43" s="2" t="str">
        <f>IFERROR(__xludf.DUMMYFUNCTION("""COMPUTED_VALUE"""),"Andrew Bilan")</f>
        <v>Andrew Bilan</v>
      </c>
      <c r="M43" s="26">
        <f>IFERROR(__xludf.DUMMYFUNCTION("""COMPUTED_VALUE"""),43375.0)</f>
        <v>43375</v>
      </c>
      <c r="N43" s="45" t="str">
        <f>IFERROR(__xludf.DUMMYFUNCTION("""COMPUTED_VALUE"""),"https://drive.google.com/open?id=17rBbxM7IWHvuLe9Hj0z9ib4P_unf9klW")</f>
        <v>https://drive.google.com/open?id=17rBbxM7IWHvuLe9Hj0z9ib4P_unf9klW</v>
      </c>
      <c r="O43" s="18" t="str">
        <f>IFERROR(__xludf.DUMMYFUNCTION("""COMPUTED_VALUE"""),"In progress")</f>
        <v>In progress</v>
      </c>
      <c r="P43" s="1" t="str">
        <f>IFERROR(__xludf.DUMMYFUNCTION("""COMPUTED_VALUE"""),"")</f>
        <v/>
      </c>
      <c r="Q43" s="1" t="str">
        <f>IFERROR(__xludf.DUMMYFUNCTION("""COMPUTED_VALUE"""),"")</f>
        <v/>
      </c>
      <c r="R43" s="1" t="str">
        <f>IFERROR(__xludf.DUMMYFUNCTION("""COMPUTED_VALUE"""),"")</f>
        <v/>
      </c>
      <c r="S43" s="1" t="str">
        <f>IFERROR(__xludf.DUMMYFUNCTION("""COMPUTED_VALUE"""),"")</f>
        <v/>
      </c>
      <c r="T43" s="1" t="str">
        <f>IFERROR(__xludf.DUMMYFUNCTION("""COMPUTED_VALUE"""),"")</f>
        <v/>
      </c>
      <c r="U43" s="1" t="str">
        <f>IFERROR(__xludf.DUMMYFUNCTION("""COMPUTED_VALUE"""),"")</f>
        <v/>
      </c>
      <c r="V43" s="1" t="str">
        <f>IFERROR(__xludf.DUMMYFUNCTION("""COMPUTED_VALUE"""),"")</f>
        <v/>
      </c>
      <c r="W43" s="1" t="str">
        <f>IFERROR(__xludf.DUMMYFUNCTION("""COMPUTED_VALUE"""),"")</f>
        <v/>
      </c>
      <c r="X43" s="1" t="str">
        <f>IFERROR(__xludf.DUMMYFUNCTION("""COMPUTED_VALUE"""),"")</f>
        <v/>
      </c>
      <c r="Y43" s="1" t="str">
        <f>IFERROR(__xludf.DUMMYFUNCTION("""COMPUTED_VALUE"""),"")</f>
        <v/>
      </c>
      <c r="Z43" s="1" t="str">
        <f>IFERROR(__xludf.DUMMYFUNCTION("""COMPUTED_VALUE"""),"")</f>
        <v/>
      </c>
      <c r="AA43" s="1" t="str">
        <f>IFERROR(__xludf.DUMMYFUNCTION("""COMPUTED_VALUE"""),"")</f>
        <v/>
      </c>
      <c r="AB43" s="1" t="str">
        <f>IFERROR(__xludf.DUMMYFUNCTION("""COMPUTED_VALUE"""),"")</f>
        <v/>
      </c>
      <c r="AC43" s="1"/>
      <c r="AD43" s="1"/>
      <c r="AE43" s="1"/>
      <c r="AF43" s="1"/>
      <c r="AG43" s="1"/>
      <c r="AH43" s="1"/>
      <c r="AI43" s="1"/>
      <c r="AJ43" s="1"/>
    </row>
    <row r="44">
      <c r="A44" s="7"/>
      <c r="B44" s="8"/>
      <c r="C44" s="9">
        <f>IFERROR(__xludf.DUMMYFUNCTION("""COMPUTED_VALUE"""),14015.0)</f>
        <v>14015</v>
      </c>
      <c r="D44" s="10" t="str">
        <f>IFERROR(__xludf.DUMMYFUNCTION("""COMPUTED_VALUE"""),"R01")</f>
        <v>R01</v>
      </c>
      <c r="E44" s="31" t="str">
        <f>IFERROR(__xludf.DUMMYFUNCTION("""COMPUTED_VALUE"""),"Nose_Cone_Main_Portion")</f>
        <v>Nose_Cone_Main_Portion</v>
      </c>
      <c r="F44" s="2" t="str">
        <f>IFERROR(__xludf.DUMMYFUNCTION("""COMPUTED_VALUE"""),"Structures")</f>
        <v>Structures</v>
      </c>
      <c r="G44" s="2" t="str">
        <f>IFERROR(__xludf.DUMMYFUNCTION("""COMPUTED_VALUE"""),"SolidWorks")</f>
        <v>SolidWorks</v>
      </c>
      <c r="H44" s="2" t="str">
        <f>IFERROR(__xludf.DUMMYFUNCTION("""COMPUTED_VALUE"""),"Marginal Stability")</f>
        <v>Marginal Stability</v>
      </c>
      <c r="I44" s="12" t="str">
        <f>IFERROR(__xludf.DUMMYFUNCTION("""COMPUTED_VALUE"""),"Section of Airframe designed to test fin assembly")</f>
        <v>Section of Airframe designed to test fin assembly</v>
      </c>
      <c r="J44" s="2" t="str">
        <f>IFERROR(__xludf.DUMMYFUNCTION("""COMPUTED_VALUE"""),"Carbon Fiber")</f>
        <v>Carbon Fiber</v>
      </c>
      <c r="K44" s="2" t="str">
        <f>IFERROR(__xludf.DUMMYFUNCTION("""COMPUTED_VALUE"""),"Imperial")</f>
        <v>Imperial</v>
      </c>
      <c r="L44" s="2" t="str">
        <f>IFERROR(__xludf.DUMMYFUNCTION("""COMPUTED_VALUE"""),"Matthew Lok")</f>
        <v>Matthew Lok</v>
      </c>
      <c r="M44" s="26">
        <f>IFERROR(__xludf.DUMMYFUNCTION("""COMPUTED_VALUE"""),43376.0)</f>
        <v>43376</v>
      </c>
      <c r="N44" s="45" t="str">
        <f>IFERROR(__xludf.DUMMYFUNCTION("""COMPUTED_VALUE"""),"https://drive.google.com/open?id=1D17AVos2pD_KuBIMvmYAkgIzFjpa2gW0")</f>
        <v>https://drive.google.com/open?id=1D17AVos2pD_KuBIMvmYAkgIzFjpa2gW0</v>
      </c>
      <c r="O44" s="18" t="str">
        <f>IFERROR(__xludf.DUMMYFUNCTION("""COMPUTED_VALUE"""),"In progress")</f>
        <v>In progress</v>
      </c>
      <c r="P44" s="1" t="str">
        <f>IFERROR(__xludf.DUMMYFUNCTION("""COMPUTED_VALUE"""),"")</f>
        <v/>
      </c>
      <c r="Q44" s="1" t="str">
        <f>IFERROR(__xludf.DUMMYFUNCTION("""COMPUTED_VALUE"""),"")</f>
        <v/>
      </c>
      <c r="R44" s="1" t="str">
        <f>IFERROR(__xludf.DUMMYFUNCTION("""COMPUTED_VALUE"""),"")</f>
        <v/>
      </c>
      <c r="S44" s="1" t="str">
        <f>IFERROR(__xludf.DUMMYFUNCTION("""COMPUTED_VALUE"""),"")</f>
        <v/>
      </c>
      <c r="T44" s="1" t="str">
        <f>IFERROR(__xludf.DUMMYFUNCTION("""COMPUTED_VALUE"""),"")</f>
        <v/>
      </c>
      <c r="U44" s="1" t="str">
        <f>IFERROR(__xludf.DUMMYFUNCTION("""COMPUTED_VALUE"""),"")</f>
        <v/>
      </c>
      <c r="V44" s="1" t="str">
        <f>IFERROR(__xludf.DUMMYFUNCTION("""COMPUTED_VALUE"""),"")</f>
        <v/>
      </c>
      <c r="W44" s="1" t="str">
        <f>IFERROR(__xludf.DUMMYFUNCTION("""COMPUTED_VALUE"""),"")</f>
        <v/>
      </c>
      <c r="X44" s="1" t="str">
        <f>IFERROR(__xludf.DUMMYFUNCTION("""COMPUTED_VALUE"""),"")</f>
        <v/>
      </c>
      <c r="Y44" s="1" t="str">
        <f>IFERROR(__xludf.DUMMYFUNCTION("""COMPUTED_VALUE"""),"")</f>
        <v/>
      </c>
      <c r="Z44" s="1" t="str">
        <f>IFERROR(__xludf.DUMMYFUNCTION("""COMPUTED_VALUE"""),"")</f>
        <v/>
      </c>
      <c r="AA44" s="1" t="str">
        <f>IFERROR(__xludf.DUMMYFUNCTION("""COMPUTED_VALUE"""),"")</f>
        <v/>
      </c>
      <c r="AB44" s="1" t="str">
        <f>IFERROR(__xludf.DUMMYFUNCTION("""COMPUTED_VALUE"""),"")</f>
        <v/>
      </c>
      <c r="AC44" s="1"/>
      <c r="AD44" s="1"/>
      <c r="AE44" s="1"/>
      <c r="AF44" s="1"/>
      <c r="AG44" s="1"/>
      <c r="AH44" s="1"/>
      <c r="AI44" s="1"/>
      <c r="AJ44" s="1"/>
    </row>
    <row r="45">
      <c r="A45" s="7"/>
      <c r="B45" s="8"/>
      <c r="C45" s="9">
        <f>IFERROR(__xludf.DUMMYFUNCTION("""COMPUTED_VALUE"""),14016.0)</f>
        <v>14016</v>
      </c>
      <c r="D45" s="10" t="str">
        <f>IFERROR(__xludf.DUMMYFUNCTION("""COMPUTED_VALUE"""),"R01")</f>
        <v>R01</v>
      </c>
      <c r="E45" s="31" t="str">
        <f>IFERROR(__xludf.DUMMYFUNCTION("""COMPUTED_VALUE"""),"Nose_Cone_Metal_Tip")</f>
        <v>Nose_Cone_Metal_Tip</v>
      </c>
      <c r="F45" s="2" t="str">
        <f>IFERROR(__xludf.DUMMYFUNCTION("""COMPUTED_VALUE"""),"Structures")</f>
        <v>Structures</v>
      </c>
      <c r="G45" s="2" t="str">
        <f>IFERROR(__xludf.DUMMYFUNCTION("""COMPUTED_VALUE"""),"SolidWorks")</f>
        <v>SolidWorks</v>
      </c>
      <c r="H45" s="2" t="str">
        <f>IFERROR(__xludf.DUMMYFUNCTION("""COMPUTED_VALUE"""),"Marginal Stability")</f>
        <v>Marginal Stability</v>
      </c>
      <c r="I45" s="12" t="str">
        <f>IFERROR(__xludf.DUMMYFUNCTION("""COMPUTED_VALUE"""),"Titanium tip for the top of the nose cone")</f>
        <v>Titanium tip for the top of the nose cone</v>
      </c>
      <c r="J45" s="2" t="str">
        <f>IFERROR(__xludf.DUMMYFUNCTION("""COMPUTED_VALUE"""),"Titanium")</f>
        <v>Titanium</v>
      </c>
      <c r="K45" s="2" t="str">
        <f>IFERROR(__xludf.DUMMYFUNCTION("""COMPUTED_VALUE"""),"Imperial")</f>
        <v>Imperial</v>
      </c>
      <c r="L45" s="2" t="str">
        <f>IFERROR(__xludf.DUMMYFUNCTION("""COMPUTED_VALUE"""),"Matthew Lok")</f>
        <v>Matthew Lok</v>
      </c>
      <c r="M45" s="26">
        <f>IFERROR(__xludf.DUMMYFUNCTION("""COMPUTED_VALUE"""),43377.0)</f>
        <v>43377</v>
      </c>
      <c r="N45" s="45" t="str">
        <f>IFERROR(__xludf.DUMMYFUNCTION("""COMPUTED_VALUE"""),"https://drive.google.com/open?id=1nvvZXm1y9vTlimMKy7niuxABJoW2nnGR")</f>
        <v>https://drive.google.com/open?id=1nvvZXm1y9vTlimMKy7niuxABJoW2nnGR</v>
      </c>
      <c r="O45" s="18" t="str">
        <f>IFERROR(__xludf.DUMMYFUNCTION("""COMPUTED_VALUE"""),"In progress")</f>
        <v>In progress</v>
      </c>
      <c r="P45" s="1" t="str">
        <f>IFERROR(__xludf.DUMMYFUNCTION("""COMPUTED_VALUE"""),"")</f>
        <v/>
      </c>
      <c r="Q45" s="1" t="str">
        <f>IFERROR(__xludf.DUMMYFUNCTION("""COMPUTED_VALUE"""),"")</f>
        <v/>
      </c>
      <c r="R45" s="1" t="str">
        <f>IFERROR(__xludf.DUMMYFUNCTION("""COMPUTED_VALUE"""),"")</f>
        <v/>
      </c>
      <c r="S45" s="1" t="str">
        <f>IFERROR(__xludf.DUMMYFUNCTION("""COMPUTED_VALUE"""),"")</f>
        <v/>
      </c>
      <c r="T45" s="1" t="str">
        <f>IFERROR(__xludf.DUMMYFUNCTION("""COMPUTED_VALUE"""),"")</f>
        <v/>
      </c>
      <c r="U45" s="1" t="str">
        <f>IFERROR(__xludf.DUMMYFUNCTION("""COMPUTED_VALUE"""),"")</f>
        <v/>
      </c>
      <c r="V45" s="1" t="str">
        <f>IFERROR(__xludf.DUMMYFUNCTION("""COMPUTED_VALUE"""),"")</f>
        <v/>
      </c>
      <c r="W45" s="1" t="str">
        <f>IFERROR(__xludf.DUMMYFUNCTION("""COMPUTED_VALUE"""),"")</f>
        <v/>
      </c>
      <c r="X45" s="1" t="str">
        <f>IFERROR(__xludf.DUMMYFUNCTION("""COMPUTED_VALUE"""),"")</f>
        <v/>
      </c>
      <c r="Y45" s="1" t="str">
        <f>IFERROR(__xludf.DUMMYFUNCTION("""COMPUTED_VALUE"""),"")</f>
        <v/>
      </c>
      <c r="Z45" s="1" t="str">
        <f>IFERROR(__xludf.DUMMYFUNCTION("""COMPUTED_VALUE"""),"")</f>
        <v/>
      </c>
      <c r="AA45" s="1" t="str">
        <f>IFERROR(__xludf.DUMMYFUNCTION("""COMPUTED_VALUE"""),"")</f>
        <v/>
      </c>
      <c r="AB45" s="1" t="str">
        <f>IFERROR(__xludf.DUMMYFUNCTION("""COMPUTED_VALUE"""),"")</f>
        <v/>
      </c>
      <c r="AC45" s="1"/>
      <c r="AD45" s="1"/>
      <c r="AE45" s="1"/>
      <c r="AF45" s="1"/>
      <c r="AG45" s="1"/>
      <c r="AH45" s="1"/>
      <c r="AI45" s="1"/>
      <c r="AJ45" s="1"/>
    </row>
    <row r="46">
      <c r="A46" s="7"/>
      <c r="B46" s="8"/>
      <c r="C46" s="9">
        <f>IFERROR(__xludf.DUMMYFUNCTION("""COMPUTED_VALUE"""),14017.0)</f>
        <v>14017</v>
      </c>
      <c r="D46" s="10" t="str">
        <f>IFERROR(__xludf.DUMMYFUNCTION("""COMPUTED_VALUE"""),"R01")</f>
        <v>R01</v>
      </c>
      <c r="E46" s="31" t="str">
        <f>IFERROR(__xludf.DUMMYFUNCTION("""COMPUTED_VALUE"""),"Nose_Cone_Tabs")</f>
        <v>Nose_Cone_Tabs</v>
      </c>
      <c r="F46" s="2" t="str">
        <f>IFERROR(__xludf.DUMMYFUNCTION("""COMPUTED_VALUE"""),"Structures")</f>
        <v>Structures</v>
      </c>
      <c r="G46" s="2" t="str">
        <f>IFERROR(__xludf.DUMMYFUNCTION("""COMPUTED_VALUE"""),"SolidWorks")</f>
        <v>SolidWorks</v>
      </c>
      <c r="H46" s="2" t="str">
        <f>IFERROR(__xludf.DUMMYFUNCTION("""COMPUTED_VALUE"""),"Marginal Stability")</f>
        <v>Marginal Stability</v>
      </c>
      <c r="I46" s="25" t="str">
        <f>IFERROR(__xludf.DUMMYFUNCTION("""COMPUTED_VALUE"""),"Tabs that will be pushed against to break the shear pins and begin the recovery process")</f>
        <v>Tabs that will be pushed against to break the shear pins and begin the recovery process</v>
      </c>
      <c r="J46" s="2" t="str">
        <f>IFERROR(__xludf.DUMMYFUNCTION("""COMPUTED_VALUE"""),"6061-T6")</f>
        <v>6061-T6</v>
      </c>
      <c r="K46" s="18" t="str">
        <f>IFERROR(__xludf.DUMMYFUNCTION("""COMPUTED_VALUE"""),"Impera")</f>
        <v>Impera</v>
      </c>
      <c r="L46" s="18" t="str">
        <f>IFERROR(__xludf.DUMMYFUNCTION("""COMPUTED_VALUE"""),"Matthew Lok")</f>
        <v>Matthew Lok</v>
      </c>
      <c r="M46" s="42">
        <f>IFERROR(__xludf.DUMMYFUNCTION("""COMPUTED_VALUE"""),43378.0)</f>
        <v>43378</v>
      </c>
      <c r="N46" s="45" t="str">
        <f>IFERROR(__xludf.DUMMYFUNCTION("""COMPUTED_VALUE"""),"https://drive.google.com/open?id=1gL2X1sYwFUodHhWYINXmfcC_GxBv3jfx")</f>
        <v>https://drive.google.com/open?id=1gL2X1sYwFUodHhWYINXmfcC_GxBv3jfx</v>
      </c>
      <c r="O46" s="18" t="str">
        <f>IFERROR(__xludf.DUMMYFUNCTION("""COMPUTED_VALUE"""),"In progress")</f>
        <v>In progress</v>
      </c>
      <c r="P46" s="1" t="str">
        <f>IFERROR(__xludf.DUMMYFUNCTION("""COMPUTED_VALUE"""),"")</f>
        <v/>
      </c>
      <c r="Q46" s="1" t="str">
        <f>IFERROR(__xludf.DUMMYFUNCTION("""COMPUTED_VALUE"""),"")</f>
        <v/>
      </c>
      <c r="R46" s="1" t="str">
        <f>IFERROR(__xludf.DUMMYFUNCTION("""COMPUTED_VALUE"""),"")</f>
        <v/>
      </c>
      <c r="S46" s="1" t="str">
        <f>IFERROR(__xludf.DUMMYFUNCTION("""COMPUTED_VALUE"""),"")</f>
        <v/>
      </c>
      <c r="T46" s="1" t="str">
        <f>IFERROR(__xludf.DUMMYFUNCTION("""COMPUTED_VALUE"""),"")</f>
        <v/>
      </c>
      <c r="U46" s="1" t="str">
        <f>IFERROR(__xludf.DUMMYFUNCTION("""COMPUTED_VALUE"""),"")</f>
        <v/>
      </c>
      <c r="V46" s="1" t="str">
        <f>IFERROR(__xludf.DUMMYFUNCTION("""COMPUTED_VALUE"""),"")</f>
        <v/>
      </c>
      <c r="W46" s="1" t="str">
        <f>IFERROR(__xludf.DUMMYFUNCTION("""COMPUTED_VALUE"""),"")</f>
        <v/>
      </c>
      <c r="X46" s="1" t="str">
        <f>IFERROR(__xludf.DUMMYFUNCTION("""COMPUTED_VALUE"""),"")</f>
        <v/>
      </c>
      <c r="Y46" s="1" t="str">
        <f>IFERROR(__xludf.DUMMYFUNCTION("""COMPUTED_VALUE"""),"")</f>
        <v/>
      </c>
      <c r="Z46" s="1" t="str">
        <f>IFERROR(__xludf.DUMMYFUNCTION("""COMPUTED_VALUE"""),"")</f>
        <v/>
      </c>
      <c r="AA46" s="1" t="str">
        <f>IFERROR(__xludf.DUMMYFUNCTION("""COMPUTED_VALUE"""),"")</f>
        <v/>
      </c>
      <c r="AB46" s="1" t="str">
        <f>IFERROR(__xludf.DUMMYFUNCTION("""COMPUTED_VALUE"""),"")</f>
        <v/>
      </c>
      <c r="AC46" s="1"/>
      <c r="AD46" s="1"/>
      <c r="AE46" s="1"/>
      <c r="AF46" s="1"/>
      <c r="AG46" s="1"/>
      <c r="AH46" s="1"/>
      <c r="AI46" s="1"/>
      <c r="AJ46" s="1"/>
    </row>
    <row r="47">
      <c r="A47" s="7"/>
      <c r="B47" s="8"/>
      <c r="C47" s="9">
        <f>IFERROR(__xludf.DUMMYFUNCTION("""COMPUTED_VALUE"""),14018.0)</f>
        <v>14018</v>
      </c>
      <c r="D47" s="10" t="str">
        <f>IFERROR(__xludf.DUMMYFUNCTION("""COMPUTED_VALUE"""),"R02")</f>
        <v>R02</v>
      </c>
      <c r="E47" s="31" t="str">
        <f>IFERROR(__xludf.DUMMYFUNCTION("""COMPUTED_VALUE"""),"Recovery_System_Plate")</f>
        <v>Recovery_System_Plate</v>
      </c>
      <c r="F47" s="2" t="str">
        <f>IFERROR(__xludf.DUMMYFUNCTION("""COMPUTED_VALUE"""),"Structures")</f>
        <v>Structures</v>
      </c>
      <c r="G47" s="2" t="str">
        <f>IFERROR(__xludf.DUMMYFUNCTION("""COMPUTED_VALUE"""),"Solidworks")</f>
        <v>Solidworks</v>
      </c>
      <c r="H47" s="2" t="str">
        <f>IFERROR(__xludf.DUMMYFUNCTION("""COMPUTED_VALUE"""),"Marginal Stability")</f>
        <v>Marginal Stability</v>
      </c>
      <c r="I47" s="25" t="str">
        <f>IFERROR(__xludf.DUMMYFUNCTION("""COMPUTED_VALUE"""),"The Mounting Plate that attatches the parachute and actuator to the rocket body ")</f>
        <v>The Mounting Plate that attatches the parachute and actuator to the rocket body </v>
      </c>
      <c r="J47" s="2" t="str">
        <f>IFERROR(__xludf.DUMMYFUNCTION("""COMPUTED_VALUE"""),"Aluminium Alloy")</f>
        <v>Aluminium Alloy</v>
      </c>
      <c r="K47" s="18" t="str">
        <f>IFERROR(__xludf.DUMMYFUNCTION("""COMPUTED_VALUE"""),"Imperial")</f>
        <v>Imperial</v>
      </c>
      <c r="L47" s="18" t="str">
        <f>IFERROR(__xludf.DUMMYFUNCTION("""COMPUTED_VALUE"""),"Bryce Borders")</f>
        <v>Bryce Borders</v>
      </c>
      <c r="M47" s="46">
        <f>IFERROR(__xludf.DUMMYFUNCTION("""COMPUTED_VALUE"""),43395.0)</f>
        <v>43395</v>
      </c>
      <c r="N47" s="45" t="str">
        <f>IFERROR(__xludf.DUMMYFUNCTION("""COMPUTED_VALUE"""),"https://drive.google.com/open?id=1V8NwmyManNg_iq-kV-toRyTxFgRSwML2")</f>
        <v>https://drive.google.com/open?id=1V8NwmyManNg_iq-kV-toRyTxFgRSwML2</v>
      </c>
      <c r="O47" s="18" t="str">
        <f>IFERROR(__xludf.DUMMYFUNCTION("""COMPUTED_VALUE"""),"In progress")</f>
        <v>In progress</v>
      </c>
      <c r="P47" s="1" t="str">
        <f>IFERROR(__xludf.DUMMYFUNCTION("""COMPUTED_VALUE"""),"")</f>
        <v/>
      </c>
      <c r="Q47" s="1" t="str">
        <f>IFERROR(__xludf.DUMMYFUNCTION("""COMPUTED_VALUE"""),"")</f>
        <v/>
      </c>
      <c r="R47" s="1" t="str">
        <f>IFERROR(__xludf.DUMMYFUNCTION("""COMPUTED_VALUE"""),"")</f>
        <v/>
      </c>
      <c r="S47" s="1" t="str">
        <f>IFERROR(__xludf.DUMMYFUNCTION("""COMPUTED_VALUE"""),"")</f>
        <v/>
      </c>
      <c r="T47" s="1" t="str">
        <f>IFERROR(__xludf.DUMMYFUNCTION("""COMPUTED_VALUE"""),"")</f>
        <v/>
      </c>
      <c r="U47" s="1" t="str">
        <f>IFERROR(__xludf.DUMMYFUNCTION("""COMPUTED_VALUE"""),"")</f>
        <v/>
      </c>
      <c r="V47" s="1" t="str">
        <f>IFERROR(__xludf.DUMMYFUNCTION("""COMPUTED_VALUE"""),"")</f>
        <v/>
      </c>
      <c r="W47" s="1" t="str">
        <f>IFERROR(__xludf.DUMMYFUNCTION("""COMPUTED_VALUE"""),"")</f>
        <v/>
      </c>
      <c r="X47" s="1" t="str">
        <f>IFERROR(__xludf.DUMMYFUNCTION("""COMPUTED_VALUE"""),"")</f>
        <v/>
      </c>
      <c r="Y47" s="1" t="str">
        <f>IFERROR(__xludf.DUMMYFUNCTION("""COMPUTED_VALUE"""),"")</f>
        <v/>
      </c>
      <c r="Z47" s="1" t="str">
        <f>IFERROR(__xludf.DUMMYFUNCTION("""COMPUTED_VALUE"""),"")</f>
        <v/>
      </c>
      <c r="AA47" s="1" t="str">
        <f>IFERROR(__xludf.DUMMYFUNCTION("""COMPUTED_VALUE"""),"")</f>
        <v/>
      </c>
      <c r="AB47" s="1" t="str">
        <f>IFERROR(__xludf.DUMMYFUNCTION("""COMPUTED_VALUE"""),"")</f>
        <v/>
      </c>
      <c r="AC47" s="1"/>
      <c r="AD47" s="1"/>
      <c r="AE47" s="1"/>
      <c r="AF47" s="1"/>
      <c r="AG47" s="1"/>
      <c r="AH47" s="1"/>
      <c r="AI47" s="1"/>
      <c r="AJ47" s="1"/>
    </row>
    <row r="48">
      <c r="A48" s="7"/>
      <c r="B48" s="8"/>
      <c r="C48" s="9">
        <f>IFERROR(__xludf.DUMMYFUNCTION("""COMPUTED_VALUE"""),14019.0)</f>
        <v>14019</v>
      </c>
      <c r="D48" s="10" t="str">
        <f>IFERROR(__xludf.DUMMYFUNCTION("""COMPUTED_VALUE"""),"R01")</f>
        <v>R01</v>
      </c>
      <c r="E48" s="31" t="str">
        <f>IFERROR(__xludf.DUMMYFUNCTION("""COMPUTED_VALUE"""),"Recovery_Pressure_Tank")</f>
        <v>Recovery_Pressure_Tank</v>
      </c>
      <c r="F48" s="2" t="str">
        <f>IFERROR(__xludf.DUMMYFUNCTION("""COMPUTED_VALUE"""),"Structures")</f>
        <v>Structures</v>
      </c>
      <c r="G48" s="2" t="str">
        <f>IFERROR(__xludf.DUMMYFUNCTION("""COMPUTED_VALUE"""),"Solidworks")</f>
        <v>Solidworks</v>
      </c>
      <c r="H48" s="2" t="str">
        <f>IFERROR(__xludf.DUMMYFUNCTION("""COMPUTED_VALUE"""),"Marginal Stability")</f>
        <v>Marginal Stability</v>
      </c>
      <c r="I48" s="25" t="str">
        <f>IFERROR(__xludf.DUMMYFUNCTION("""COMPUTED_VALUE"""),"Air tank for recovery plate actuator")</f>
        <v>Air tank for recovery plate actuator</v>
      </c>
      <c r="J48" s="2" t="str">
        <f>IFERROR(__xludf.DUMMYFUNCTION("""COMPUTED_VALUE"""),"6061 Aluminim")</f>
        <v>6061 Aluminim</v>
      </c>
      <c r="K48" s="2" t="str">
        <f>IFERROR(__xludf.DUMMYFUNCTION("""COMPUTED_VALUE"""),"Imperial")</f>
        <v>Imperial</v>
      </c>
      <c r="L48" s="2" t="str">
        <f>IFERROR(__xludf.DUMMYFUNCTION("""COMPUTED_VALUE"""),"Harrison McCorkle")</f>
        <v>Harrison McCorkle</v>
      </c>
      <c r="M48" s="26">
        <f>IFERROR(__xludf.DUMMYFUNCTION("""COMPUTED_VALUE"""),43374.0)</f>
        <v>43374</v>
      </c>
      <c r="N48" s="45" t="str">
        <f>IFERROR(__xludf.DUMMYFUNCTION("""COMPUTED_VALUE"""),"https://drive.google.com/open?id=1dMxRv4LDiIt-PTQeRwErOfkF98S-5Yd_")</f>
        <v>https://drive.google.com/open?id=1dMxRv4LDiIt-PTQeRwErOfkF98S-5Yd_</v>
      </c>
      <c r="O48" s="18" t="str">
        <f>IFERROR(__xludf.DUMMYFUNCTION("""COMPUTED_VALUE"""),"in progress")</f>
        <v>in progress</v>
      </c>
      <c r="P48" s="1" t="str">
        <f>IFERROR(__xludf.DUMMYFUNCTION("""COMPUTED_VALUE"""),"")</f>
        <v/>
      </c>
      <c r="Q48" s="1" t="str">
        <f>IFERROR(__xludf.DUMMYFUNCTION("""COMPUTED_VALUE"""),"")</f>
        <v/>
      </c>
      <c r="R48" s="1" t="str">
        <f>IFERROR(__xludf.DUMMYFUNCTION("""COMPUTED_VALUE"""),"")</f>
        <v/>
      </c>
      <c r="S48" s="1" t="str">
        <f>IFERROR(__xludf.DUMMYFUNCTION("""COMPUTED_VALUE"""),"")</f>
        <v/>
      </c>
      <c r="T48" s="1" t="str">
        <f>IFERROR(__xludf.DUMMYFUNCTION("""COMPUTED_VALUE"""),"")</f>
        <v/>
      </c>
      <c r="U48" s="1" t="str">
        <f>IFERROR(__xludf.DUMMYFUNCTION("""COMPUTED_VALUE"""),"")</f>
        <v/>
      </c>
      <c r="V48" s="1" t="str">
        <f>IFERROR(__xludf.DUMMYFUNCTION("""COMPUTED_VALUE"""),"")</f>
        <v/>
      </c>
      <c r="W48" s="1" t="str">
        <f>IFERROR(__xludf.DUMMYFUNCTION("""COMPUTED_VALUE"""),"")</f>
        <v/>
      </c>
      <c r="X48" s="1" t="str">
        <f>IFERROR(__xludf.DUMMYFUNCTION("""COMPUTED_VALUE"""),"")</f>
        <v/>
      </c>
      <c r="Y48" s="1" t="str">
        <f>IFERROR(__xludf.DUMMYFUNCTION("""COMPUTED_VALUE"""),"")</f>
        <v/>
      </c>
      <c r="Z48" s="1" t="str">
        <f>IFERROR(__xludf.DUMMYFUNCTION("""COMPUTED_VALUE"""),"")</f>
        <v/>
      </c>
      <c r="AA48" s="1" t="str">
        <f>IFERROR(__xludf.DUMMYFUNCTION("""COMPUTED_VALUE"""),"")</f>
        <v/>
      </c>
      <c r="AB48" s="1" t="str">
        <f>IFERROR(__xludf.DUMMYFUNCTION("""COMPUTED_VALUE"""),"")</f>
        <v/>
      </c>
      <c r="AC48" s="1"/>
      <c r="AD48" s="1"/>
      <c r="AE48" s="1"/>
      <c r="AF48" s="1"/>
      <c r="AG48" s="1"/>
      <c r="AH48" s="1"/>
      <c r="AI48" s="1"/>
      <c r="AJ48" s="1"/>
    </row>
    <row r="49">
      <c r="A49" s="7"/>
      <c r="B49" s="8"/>
      <c r="C49" s="9">
        <f>IFERROR(__xludf.DUMMYFUNCTION("""COMPUTED_VALUE"""),14020.0)</f>
        <v>14020</v>
      </c>
      <c r="D49" s="10" t="str">
        <f>IFERROR(__xludf.DUMMYFUNCTION("""COMPUTED_VALUE"""),"R01")</f>
        <v>R01</v>
      </c>
      <c r="E49" s="31" t="str">
        <f>IFERROR(__xludf.DUMMYFUNCTION("""COMPUTED_VALUE"""),"Avionics_Mounting_Plate")</f>
        <v>Avionics_Mounting_Plate</v>
      </c>
      <c r="F49" s="2" t="str">
        <f>IFERROR(__xludf.DUMMYFUNCTION("""COMPUTED_VALUE"""),"Structures")</f>
        <v>Structures</v>
      </c>
      <c r="G49" s="2" t="str">
        <f>IFERROR(__xludf.DUMMYFUNCTION("""COMPUTED_VALUE"""),"Solidworks")</f>
        <v>Solidworks</v>
      </c>
      <c r="H49" s="2" t="str">
        <f>IFERROR(__xludf.DUMMYFUNCTION("""COMPUTED_VALUE"""),"Marginal Stability")</f>
        <v>Marginal Stability</v>
      </c>
      <c r="I49" s="25" t="str">
        <f>IFERROR(__xludf.DUMMYFUNCTION("""COMPUTED_VALUE"""),"Mounting the flight compuer to the rest of the rocket. Needs to add holes once the flight computer dimensions are known.")</f>
        <v>Mounting the flight compuer to the rest of the rocket. Needs to add holes once the flight computer dimensions are known.</v>
      </c>
      <c r="J49" s="2" t="str">
        <f>IFERROR(__xludf.DUMMYFUNCTION("""COMPUTED_VALUE"""),"6061 Aluminim")</f>
        <v>6061 Aluminim</v>
      </c>
      <c r="K49" s="2" t="str">
        <f>IFERROR(__xludf.DUMMYFUNCTION("""COMPUTED_VALUE"""),"Imperial")</f>
        <v>Imperial</v>
      </c>
      <c r="L49" s="2" t="str">
        <f>IFERROR(__xludf.DUMMYFUNCTION("""COMPUTED_VALUE"""),"Matthew Lok")</f>
        <v>Matthew Lok</v>
      </c>
      <c r="M49" s="26">
        <f>IFERROR(__xludf.DUMMYFUNCTION("""COMPUTED_VALUE"""),43477.0)</f>
        <v>43477</v>
      </c>
      <c r="N49" s="45" t="str">
        <f>IFERROR(__xludf.DUMMYFUNCTION("""COMPUTED_VALUE"""),"https://drive.google.com/open?id=1wQ6QNGc3aF6TLr0OV7clUUrt8Y7wsu_O")</f>
        <v>https://drive.google.com/open?id=1wQ6QNGc3aF6TLr0OV7clUUrt8Y7wsu_O</v>
      </c>
      <c r="O49" s="18" t="str">
        <f>IFERROR(__xludf.DUMMYFUNCTION("""COMPUTED_VALUE"""),"in progress")</f>
        <v>in progress</v>
      </c>
      <c r="P49" s="1" t="str">
        <f>IFERROR(__xludf.DUMMYFUNCTION("""COMPUTED_VALUE"""),"")</f>
        <v/>
      </c>
      <c r="Q49" s="1" t="str">
        <f>IFERROR(__xludf.DUMMYFUNCTION("""COMPUTED_VALUE"""),"")</f>
        <v/>
      </c>
      <c r="R49" s="1" t="str">
        <f>IFERROR(__xludf.DUMMYFUNCTION("""COMPUTED_VALUE"""),"")</f>
        <v/>
      </c>
      <c r="S49" s="1" t="str">
        <f>IFERROR(__xludf.DUMMYFUNCTION("""COMPUTED_VALUE"""),"")</f>
        <v/>
      </c>
      <c r="T49" s="1" t="str">
        <f>IFERROR(__xludf.DUMMYFUNCTION("""COMPUTED_VALUE"""),"")</f>
        <v/>
      </c>
      <c r="U49" s="1" t="str">
        <f>IFERROR(__xludf.DUMMYFUNCTION("""COMPUTED_VALUE"""),"")</f>
        <v/>
      </c>
      <c r="V49" s="1" t="str">
        <f>IFERROR(__xludf.DUMMYFUNCTION("""COMPUTED_VALUE"""),"")</f>
        <v/>
      </c>
      <c r="W49" s="1" t="str">
        <f>IFERROR(__xludf.DUMMYFUNCTION("""COMPUTED_VALUE"""),"")</f>
        <v/>
      </c>
      <c r="X49" s="1" t="str">
        <f>IFERROR(__xludf.DUMMYFUNCTION("""COMPUTED_VALUE"""),"")</f>
        <v/>
      </c>
      <c r="Y49" s="1" t="str">
        <f>IFERROR(__xludf.DUMMYFUNCTION("""COMPUTED_VALUE"""),"")</f>
        <v/>
      </c>
      <c r="Z49" s="1" t="str">
        <f>IFERROR(__xludf.DUMMYFUNCTION("""COMPUTED_VALUE"""),"")</f>
        <v/>
      </c>
      <c r="AA49" s="1" t="str">
        <f>IFERROR(__xludf.DUMMYFUNCTION("""COMPUTED_VALUE"""),"")</f>
        <v/>
      </c>
      <c r="AB49" s="1" t="str">
        <f>IFERROR(__xludf.DUMMYFUNCTION("""COMPUTED_VALUE"""),"")</f>
        <v/>
      </c>
      <c r="AC49" s="1"/>
      <c r="AD49" s="1"/>
      <c r="AE49" s="1"/>
      <c r="AF49" s="1"/>
      <c r="AG49" s="1"/>
      <c r="AH49" s="1"/>
      <c r="AI49" s="1"/>
      <c r="AJ49" s="1"/>
    </row>
    <row r="50">
      <c r="A50" s="7"/>
      <c r="B50" s="8"/>
      <c r="C50" s="9">
        <f>IFERROR(__xludf.DUMMYFUNCTION("""COMPUTED_VALUE"""),14021.0)</f>
        <v>14021</v>
      </c>
      <c r="D50" s="10" t="str">
        <f>IFERROR(__xludf.DUMMYFUNCTION("""COMPUTED_VALUE"""),"R03")</f>
        <v>R03</v>
      </c>
      <c r="E50" s="31" t="str">
        <f>IFERROR(__xludf.DUMMYFUNCTION("""COMPUTED_VALUE"""),"Avionics_Top_Bulkhead")</f>
        <v>Avionics_Top_Bulkhead</v>
      </c>
      <c r="F50" s="2" t="str">
        <f>IFERROR(__xludf.DUMMYFUNCTION("""COMPUTED_VALUE"""),"Structures")</f>
        <v>Structures</v>
      </c>
      <c r="G50" s="2" t="str">
        <f>IFERROR(__xludf.DUMMYFUNCTION("""COMPUTED_VALUE"""),"Solidworks")</f>
        <v>Solidworks</v>
      </c>
      <c r="H50" s="2" t="str">
        <f>IFERROR(__xludf.DUMMYFUNCTION("""COMPUTED_VALUE"""),"Marginal Stability")</f>
        <v>Marginal Stability</v>
      </c>
      <c r="I50" s="25" t="str">
        <f>IFERROR(__xludf.DUMMYFUNCTION("""COMPUTED_VALUE"""),"The upper portion of the avionics bay. Holds the top ends of the threaded rods to the inner airframe.")</f>
        <v>The upper portion of the avionics bay. Holds the top ends of the threaded rods to the inner airframe.</v>
      </c>
      <c r="J50" s="2" t="str">
        <f>IFERROR(__xludf.DUMMYFUNCTION("""COMPUTED_VALUE"""),"6061 Aluminim")</f>
        <v>6061 Aluminim</v>
      </c>
      <c r="K50" s="2" t="str">
        <f>IFERROR(__xludf.DUMMYFUNCTION("""COMPUTED_VALUE"""),"Imperial")</f>
        <v>Imperial</v>
      </c>
      <c r="L50" s="2" t="str">
        <f>IFERROR(__xludf.DUMMYFUNCTION("""COMPUTED_VALUE"""),"Matthew Lok")</f>
        <v>Matthew Lok</v>
      </c>
      <c r="M50" s="26">
        <f>IFERROR(__xludf.DUMMYFUNCTION("""COMPUTED_VALUE"""),43484.0)</f>
        <v>43484</v>
      </c>
      <c r="N50" s="45" t="str">
        <f>IFERROR(__xludf.DUMMYFUNCTION("""COMPUTED_VALUE"""),"https://drive.google.com/open?id=1Yt8We5AuqEkfHsCKhC4wFPUM4i7kgsMQ")</f>
        <v>https://drive.google.com/open?id=1Yt8We5AuqEkfHsCKhC4wFPUM4i7kgsMQ</v>
      </c>
      <c r="O50" s="18" t="str">
        <f>IFERROR(__xludf.DUMMYFUNCTION("""COMPUTED_VALUE"""),"in progress")</f>
        <v>in progress</v>
      </c>
      <c r="P50" s="1" t="str">
        <f>IFERROR(__xludf.DUMMYFUNCTION("""COMPUTED_VALUE"""),"")</f>
        <v/>
      </c>
      <c r="Q50" s="1" t="str">
        <f>IFERROR(__xludf.DUMMYFUNCTION("""COMPUTED_VALUE"""),"")</f>
        <v/>
      </c>
      <c r="R50" s="1" t="str">
        <f>IFERROR(__xludf.DUMMYFUNCTION("""COMPUTED_VALUE"""),"")</f>
        <v/>
      </c>
      <c r="S50" s="1" t="str">
        <f>IFERROR(__xludf.DUMMYFUNCTION("""COMPUTED_VALUE"""),"")</f>
        <v/>
      </c>
      <c r="T50" s="1" t="str">
        <f>IFERROR(__xludf.DUMMYFUNCTION("""COMPUTED_VALUE"""),"")</f>
        <v/>
      </c>
      <c r="U50" s="1" t="str">
        <f>IFERROR(__xludf.DUMMYFUNCTION("""COMPUTED_VALUE"""),"")</f>
        <v/>
      </c>
      <c r="V50" s="1" t="str">
        <f>IFERROR(__xludf.DUMMYFUNCTION("""COMPUTED_VALUE"""),"")</f>
        <v/>
      </c>
      <c r="W50" s="1" t="str">
        <f>IFERROR(__xludf.DUMMYFUNCTION("""COMPUTED_VALUE"""),"")</f>
        <v/>
      </c>
      <c r="X50" s="1" t="str">
        <f>IFERROR(__xludf.DUMMYFUNCTION("""COMPUTED_VALUE"""),"")</f>
        <v/>
      </c>
      <c r="Y50" s="1" t="str">
        <f>IFERROR(__xludf.DUMMYFUNCTION("""COMPUTED_VALUE"""),"")</f>
        <v/>
      </c>
      <c r="Z50" s="1" t="str">
        <f>IFERROR(__xludf.DUMMYFUNCTION("""COMPUTED_VALUE"""),"")</f>
        <v/>
      </c>
      <c r="AA50" s="1" t="str">
        <f>IFERROR(__xludf.DUMMYFUNCTION("""COMPUTED_VALUE"""),"")</f>
        <v/>
      </c>
      <c r="AB50" s="1" t="str">
        <f>IFERROR(__xludf.DUMMYFUNCTION("""COMPUTED_VALUE"""),"")</f>
        <v/>
      </c>
      <c r="AC50" s="1"/>
      <c r="AD50" s="1"/>
      <c r="AE50" s="1"/>
      <c r="AF50" s="1"/>
      <c r="AG50" s="1"/>
      <c r="AH50" s="1"/>
      <c r="AI50" s="1"/>
      <c r="AJ50" s="1"/>
    </row>
    <row r="51">
      <c r="A51" s="7"/>
      <c r="B51" s="8"/>
      <c r="C51" s="9">
        <f>IFERROR(__xludf.DUMMYFUNCTION("""COMPUTED_VALUE"""),14022.0)</f>
        <v>14022</v>
      </c>
      <c r="D51" s="10" t="str">
        <f>IFERROR(__xludf.DUMMYFUNCTION("""COMPUTED_VALUE"""),"R04")</f>
        <v>R04</v>
      </c>
      <c r="E51" s="31" t="str">
        <f>IFERROR(__xludf.DUMMYFUNCTION("""COMPUTED_VALUE"""),"Recovery_System_Piston_Mount")</f>
        <v>Recovery_System_Piston_Mount</v>
      </c>
      <c r="F51" s="2" t="str">
        <f>IFERROR(__xludf.DUMMYFUNCTION("""COMPUTED_VALUE"""),"Structures")</f>
        <v>Structures</v>
      </c>
      <c r="G51" s="2" t="str">
        <f>IFERROR(__xludf.DUMMYFUNCTION("""COMPUTED_VALUE"""),"Solidworks")</f>
        <v>Solidworks</v>
      </c>
      <c r="H51" s="2" t="str">
        <f>IFERROR(__xludf.DUMMYFUNCTION("""COMPUTED_VALUE"""),"Marginal Stability")</f>
        <v>Marginal Stability</v>
      </c>
      <c r="I51" s="12" t="str">
        <f>IFERROR(__xludf.DUMMYFUNCTION("""COMPUTED_VALUE"""),"")</f>
        <v/>
      </c>
      <c r="J51" s="2" t="str">
        <f>IFERROR(__xludf.DUMMYFUNCTION("""COMPUTED_VALUE"""),"6061 Aluminum")</f>
        <v>6061 Aluminum</v>
      </c>
      <c r="K51" s="2" t="str">
        <f>IFERROR(__xludf.DUMMYFUNCTION("""COMPUTED_VALUE"""),"Imperial")</f>
        <v>Imperial</v>
      </c>
      <c r="L51" s="2" t="str">
        <f>IFERROR(__xludf.DUMMYFUNCTION("""COMPUTED_VALUE"""),"Bryce Borders")</f>
        <v>Bryce Borders</v>
      </c>
      <c r="M51" s="26" t="str">
        <f>IFERROR(__xludf.DUMMYFUNCTION("""COMPUTED_VALUE"""),"")</f>
        <v/>
      </c>
      <c r="N51" s="45" t="str">
        <f>IFERROR(__xludf.DUMMYFUNCTION("""COMPUTED_VALUE"""),"https://drive.google.com/open?id=1qdT_caOa0y6n0sPjLHPUt1wFJjw5o9ac")</f>
        <v>https://drive.google.com/open?id=1qdT_caOa0y6n0sPjLHPUt1wFJjw5o9ac</v>
      </c>
      <c r="O51" s="18" t="str">
        <f>IFERROR(__xludf.DUMMYFUNCTION("""COMPUTED_VALUE"""),"In Progress")</f>
        <v>In Progress</v>
      </c>
      <c r="P51" s="1" t="str">
        <f>IFERROR(__xludf.DUMMYFUNCTION("""COMPUTED_VALUE"""),"")</f>
        <v/>
      </c>
      <c r="Q51" s="1" t="str">
        <f>IFERROR(__xludf.DUMMYFUNCTION("""COMPUTED_VALUE"""),"")</f>
        <v/>
      </c>
      <c r="R51" s="1" t="str">
        <f>IFERROR(__xludf.DUMMYFUNCTION("""COMPUTED_VALUE"""),"")</f>
        <v/>
      </c>
      <c r="S51" s="1" t="str">
        <f>IFERROR(__xludf.DUMMYFUNCTION("""COMPUTED_VALUE"""),"")</f>
        <v/>
      </c>
      <c r="T51" s="1" t="str">
        <f>IFERROR(__xludf.DUMMYFUNCTION("""COMPUTED_VALUE"""),"")</f>
        <v/>
      </c>
      <c r="U51" s="1" t="str">
        <f>IFERROR(__xludf.DUMMYFUNCTION("""COMPUTED_VALUE"""),"")</f>
        <v/>
      </c>
      <c r="V51" s="1" t="str">
        <f>IFERROR(__xludf.DUMMYFUNCTION("""COMPUTED_VALUE"""),"")</f>
        <v/>
      </c>
      <c r="W51" s="1" t="str">
        <f>IFERROR(__xludf.DUMMYFUNCTION("""COMPUTED_VALUE"""),"")</f>
        <v/>
      </c>
      <c r="X51" s="1" t="str">
        <f>IFERROR(__xludf.DUMMYFUNCTION("""COMPUTED_VALUE"""),"")</f>
        <v/>
      </c>
      <c r="Y51" s="1" t="str">
        <f>IFERROR(__xludf.DUMMYFUNCTION("""COMPUTED_VALUE"""),"")</f>
        <v/>
      </c>
      <c r="Z51" s="1" t="str">
        <f>IFERROR(__xludf.DUMMYFUNCTION("""COMPUTED_VALUE"""),"")</f>
        <v/>
      </c>
      <c r="AA51" s="1" t="str">
        <f>IFERROR(__xludf.DUMMYFUNCTION("""COMPUTED_VALUE"""),"")</f>
        <v/>
      </c>
      <c r="AB51" s="1" t="str">
        <f>IFERROR(__xludf.DUMMYFUNCTION("""COMPUTED_VALUE"""),"")</f>
        <v/>
      </c>
      <c r="AC51" s="1"/>
      <c r="AD51" s="1"/>
      <c r="AE51" s="1"/>
      <c r="AF51" s="1"/>
      <c r="AG51" s="1"/>
      <c r="AH51" s="1"/>
      <c r="AI51" s="1"/>
      <c r="AJ51" s="1"/>
    </row>
    <row r="52">
      <c r="A52" s="7"/>
      <c r="B52" s="8"/>
      <c r="C52" s="9">
        <f>IFERROR(__xludf.DUMMYFUNCTION("""COMPUTED_VALUE"""),14023.0)</f>
        <v>14023</v>
      </c>
      <c r="D52" s="10" t="str">
        <f>IFERROR(__xludf.DUMMYFUNCTION("""COMPUTED_VALUE"""),"R01")</f>
        <v>R01</v>
      </c>
      <c r="E52" s="31" t="str">
        <f>IFERROR(__xludf.DUMMYFUNCTION("""COMPUTED_VALUE"""),"Airframe_Sec3")</f>
        <v>Airframe_Sec3</v>
      </c>
      <c r="F52" s="2" t="str">
        <f>IFERROR(__xludf.DUMMYFUNCTION("""COMPUTED_VALUE"""),"Structures")</f>
        <v>Structures</v>
      </c>
      <c r="G52" s="2" t="str">
        <f>IFERROR(__xludf.DUMMYFUNCTION("""COMPUTED_VALUE"""),"Solidworks")</f>
        <v>Solidworks</v>
      </c>
      <c r="H52" s="2" t="str">
        <f>IFERROR(__xludf.DUMMYFUNCTION("""COMPUTED_VALUE"""),"Marginal Stability")</f>
        <v>Marginal Stability</v>
      </c>
      <c r="I52" s="12" t="str">
        <f>IFERROR(__xludf.DUMMYFUNCTION("""COMPUTED_VALUE"""),"The third portion of the airframe which contains valves between pressurant and propellant tanks")</f>
        <v>The third portion of the airframe which contains valves between pressurant and propellant tanks</v>
      </c>
      <c r="J52" s="2" t="str">
        <f>IFERROR(__xludf.DUMMYFUNCTION("""COMPUTED_VALUE"""),"6062 Aluminum")</f>
        <v>6062 Aluminum</v>
      </c>
      <c r="K52" s="18" t="str">
        <f>IFERROR(__xludf.DUMMYFUNCTION("""COMPUTED_VALUE"""),"Imperial")</f>
        <v>Imperial</v>
      </c>
      <c r="L52" s="18" t="str">
        <f>IFERROR(__xludf.DUMMYFUNCTION("""COMPUTED_VALUE"""),"Joshua Hedgpeth")</f>
        <v>Joshua Hedgpeth</v>
      </c>
      <c r="M52" s="46">
        <f>IFERROR(__xludf.DUMMYFUNCTION("""COMPUTED_VALUE"""),43487.0)</f>
        <v>43487</v>
      </c>
      <c r="N52" s="45" t="str">
        <f>IFERROR(__xludf.DUMMYFUNCTION("""COMPUTED_VALUE"""),"https://drive.google.com/open?id=1ujAemIINzECzFt_LFTQyfmVpGqOhIBZw")</f>
        <v>https://drive.google.com/open?id=1ujAemIINzECzFt_LFTQyfmVpGqOhIBZw</v>
      </c>
      <c r="O52" s="18" t="str">
        <f>IFERROR(__xludf.DUMMYFUNCTION("""COMPUTED_VALUE"""),"In Progress")</f>
        <v>In Progress</v>
      </c>
      <c r="P52" s="1" t="str">
        <f>IFERROR(__xludf.DUMMYFUNCTION("""COMPUTED_VALUE"""),"")</f>
        <v/>
      </c>
      <c r="Q52" s="1" t="str">
        <f>IFERROR(__xludf.DUMMYFUNCTION("""COMPUTED_VALUE"""),"")</f>
        <v/>
      </c>
      <c r="R52" s="1" t="str">
        <f>IFERROR(__xludf.DUMMYFUNCTION("""COMPUTED_VALUE"""),"")</f>
        <v/>
      </c>
      <c r="S52" s="1" t="str">
        <f>IFERROR(__xludf.DUMMYFUNCTION("""COMPUTED_VALUE"""),"")</f>
        <v/>
      </c>
      <c r="T52" s="1" t="str">
        <f>IFERROR(__xludf.DUMMYFUNCTION("""COMPUTED_VALUE"""),"")</f>
        <v/>
      </c>
      <c r="U52" s="1" t="str">
        <f>IFERROR(__xludf.DUMMYFUNCTION("""COMPUTED_VALUE"""),"")</f>
        <v/>
      </c>
      <c r="V52" s="1" t="str">
        <f>IFERROR(__xludf.DUMMYFUNCTION("""COMPUTED_VALUE"""),"")</f>
        <v/>
      </c>
      <c r="W52" s="1" t="str">
        <f>IFERROR(__xludf.DUMMYFUNCTION("""COMPUTED_VALUE"""),"")</f>
        <v/>
      </c>
      <c r="X52" s="1" t="str">
        <f>IFERROR(__xludf.DUMMYFUNCTION("""COMPUTED_VALUE"""),"")</f>
        <v/>
      </c>
      <c r="Y52" s="1" t="str">
        <f>IFERROR(__xludf.DUMMYFUNCTION("""COMPUTED_VALUE"""),"")</f>
        <v/>
      </c>
      <c r="Z52" s="1" t="str">
        <f>IFERROR(__xludf.DUMMYFUNCTION("""COMPUTED_VALUE"""),"")</f>
        <v/>
      </c>
      <c r="AA52" s="1" t="str">
        <f>IFERROR(__xludf.DUMMYFUNCTION("""COMPUTED_VALUE"""),"")</f>
        <v/>
      </c>
      <c r="AB52" s="1" t="str">
        <f>IFERROR(__xludf.DUMMYFUNCTION("""COMPUTED_VALUE"""),"")</f>
        <v/>
      </c>
      <c r="AC52" s="1"/>
      <c r="AD52" s="1"/>
      <c r="AE52" s="1"/>
      <c r="AF52" s="1"/>
      <c r="AG52" s="1"/>
      <c r="AH52" s="1"/>
      <c r="AI52" s="1"/>
      <c r="AJ52" s="1"/>
    </row>
    <row r="53">
      <c r="A53" s="7"/>
      <c r="B53" s="8"/>
      <c r="C53" s="9">
        <f>IFERROR(__xludf.DUMMYFUNCTION("""COMPUTED_VALUE"""),14024.0)</f>
        <v>14024</v>
      </c>
      <c r="D53" s="10" t="str">
        <f>IFERROR(__xludf.DUMMYFUNCTION("""COMPUTED_VALUE"""),"R01")</f>
        <v>R01</v>
      </c>
      <c r="E53" s="31" t="str">
        <f>IFERROR(__xludf.DUMMYFUNCTION("""COMPUTED_VALUE"""),"Airframe_Sec4")</f>
        <v>Airframe_Sec4</v>
      </c>
      <c r="F53" s="2" t="str">
        <f>IFERROR(__xludf.DUMMYFUNCTION("""COMPUTED_VALUE"""),"Structures")</f>
        <v>Structures</v>
      </c>
      <c r="G53" s="2" t="str">
        <f>IFERROR(__xludf.DUMMYFUNCTION("""COMPUTED_VALUE"""),"Solidworks")</f>
        <v>Solidworks</v>
      </c>
      <c r="H53" s="2" t="str">
        <f>IFERROR(__xludf.DUMMYFUNCTION("""COMPUTED_VALUE"""),"Marginal Stability")</f>
        <v>Marginal Stability</v>
      </c>
      <c r="I53" s="12" t="str">
        <f>IFERROR(__xludf.DUMMYFUNCTION("""COMPUTED_VALUE"""),"")</f>
        <v/>
      </c>
      <c r="J53" s="2" t="str">
        <f>IFERROR(__xludf.DUMMYFUNCTION("""COMPUTED_VALUE"""),"6063 Aluminum")</f>
        <v>6063 Aluminum</v>
      </c>
      <c r="K53" s="18" t="str">
        <f>IFERROR(__xludf.DUMMYFUNCTION("""COMPUTED_VALUE"""),"Imperial")</f>
        <v>Imperial</v>
      </c>
      <c r="L53" s="18" t="str">
        <f>IFERROR(__xludf.DUMMYFUNCTION("""COMPUTED_VALUE"""),"Joshua Hedgpeth")</f>
        <v>Joshua Hedgpeth</v>
      </c>
      <c r="M53" s="46">
        <f>IFERROR(__xludf.DUMMYFUNCTION("""COMPUTED_VALUE"""),43487.0)</f>
        <v>43487</v>
      </c>
      <c r="N53" s="45" t="str">
        <f>IFERROR(__xludf.DUMMYFUNCTION("""COMPUTED_VALUE"""),"https://drive.google.com/open?id=1DRQhhhnzR5LnwcEB2IHFdLF-r5a7Icb3")</f>
        <v>https://drive.google.com/open?id=1DRQhhhnzR5LnwcEB2IHFdLF-r5a7Icb3</v>
      </c>
      <c r="O53" s="18" t="str">
        <f>IFERROR(__xludf.DUMMYFUNCTION("""COMPUTED_VALUE"""),"In Progress")</f>
        <v>In Progress</v>
      </c>
      <c r="P53" s="1" t="str">
        <f>IFERROR(__xludf.DUMMYFUNCTION("""COMPUTED_VALUE"""),"")</f>
        <v/>
      </c>
      <c r="Q53" s="1" t="str">
        <f>IFERROR(__xludf.DUMMYFUNCTION("""COMPUTED_VALUE"""),"")</f>
        <v/>
      </c>
      <c r="R53" s="1" t="str">
        <f>IFERROR(__xludf.DUMMYFUNCTION("""COMPUTED_VALUE"""),"")</f>
        <v/>
      </c>
      <c r="S53" s="1" t="str">
        <f>IFERROR(__xludf.DUMMYFUNCTION("""COMPUTED_VALUE"""),"")</f>
        <v/>
      </c>
      <c r="T53" s="1" t="str">
        <f>IFERROR(__xludf.DUMMYFUNCTION("""COMPUTED_VALUE"""),"")</f>
        <v/>
      </c>
      <c r="U53" s="1" t="str">
        <f>IFERROR(__xludf.DUMMYFUNCTION("""COMPUTED_VALUE"""),"")</f>
        <v/>
      </c>
      <c r="V53" s="1" t="str">
        <f>IFERROR(__xludf.DUMMYFUNCTION("""COMPUTED_VALUE"""),"")</f>
        <v/>
      </c>
      <c r="W53" s="1" t="str">
        <f>IFERROR(__xludf.DUMMYFUNCTION("""COMPUTED_VALUE"""),"")</f>
        <v/>
      </c>
      <c r="X53" s="1" t="str">
        <f>IFERROR(__xludf.DUMMYFUNCTION("""COMPUTED_VALUE"""),"")</f>
        <v/>
      </c>
      <c r="Y53" s="1" t="str">
        <f>IFERROR(__xludf.DUMMYFUNCTION("""COMPUTED_VALUE"""),"")</f>
        <v/>
      </c>
      <c r="Z53" s="1" t="str">
        <f>IFERROR(__xludf.DUMMYFUNCTION("""COMPUTED_VALUE"""),"")</f>
        <v/>
      </c>
      <c r="AA53" s="1" t="str">
        <f>IFERROR(__xludf.DUMMYFUNCTION("""COMPUTED_VALUE"""),"")</f>
        <v/>
      </c>
      <c r="AB53" s="1" t="str">
        <f>IFERROR(__xludf.DUMMYFUNCTION("""COMPUTED_VALUE"""),"")</f>
        <v/>
      </c>
      <c r="AC53" s="1"/>
      <c r="AD53" s="1"/>
      <c r="AE53" s="1"/>
      <c r="AF53" s="1"/>
      <c r="AG53" s="1"/>
      <c r="AH53" s="1"/>
      <c r="AI53" s="1"/>
      <c r="AJ53" s="1"/>
    </row>
    <row r="54">
      <c r="A54" s="7"/>
      <c r="B54" s="8"/>
      <c r="C54" s="9">
        <f>IFERROR(__xludf.DUMMYFUNCTION("""COMPUTED_VALUE"""),14025.0)</f>
        <v>14025</v>
      </c>
      <c r="D54" s="10" t="str">
        <f>IFERROR(__xludf.DUMMYFUNCTION("""COMPUTED_VALUE"""),"R01")</f>
        <v>R01</v>
      </c>
      <c r="E54" s="31" t="str">
        <f>IFERROR(__xludf.DUMMYFUNCTION("""COMPUTED_VALUE"""),"REDUNDANCY_MOTOR_WHEEL")</f>
        <v>REDUNDANCY_MOTOR_WHEEL</v>
      </c>
      <c r="F54" s="2" t="str">
        <f>IFERROR(__xludf.DUMMYFUNCTION("""COMPUTED_VALUE"""),"Structures")</f>
        <v>Structures</v>
      </c>
      <c r="G54" s="2" t="str">
        <f>IFERROR(__xludf.DUMMYFUNCTION("""COMPUTED_VALUE"""),"Solidworks")</f>
        <v>Solidworks</v>
      </c>
      <c r="H54" s="2" t="str">
        <f>IFERROR(__xludf.DUMMYFUNCTION("""COMPUTED_VALUE"""),"Marginal Stability")</f>
        <v>Marginal Stability</v>
      </c>
      <c r="I54" s="25" t="str">
        <f>IFERROR(__xludf.DUMMYFUNCTION("""COMPUTED_VALUE"""),"")</f>
        <v/>
      </c>
      <c r="J54" s="2" t="str">
        <f>IFERROR(__xludf.DUMMYFUNCTION("""COMPUTED_VALUE"""),"")</f>
        <v/>
      </c>
      <c r="K54" s="2" t="str">
        <f>IFERROR(__xludf.DUMMYFUNCTION("""COMPUTED_VALUE"""),"")</f>
        <v/>
      </c>
      <c r="L54" s="2" t="str">
        <f>IFERROR(__xludf.DUMMYFUNCTION("""COMPUTED_VALUE"""),"")</f>
        <v/>
      </c>
      <c r="M54" s="26" t="str">
        <f>IFERROR(__xludf.DUMMYFUNCTION("""COMPUTED_VALUE"""),"")</f>
        <v/>
      </c>
      <c r="N54" s="35" t="str">
        <f>IFERROR(__xludf.DUMMYFUNCTION("""COMPUTED_VALUE"""),"")</f>
        <v/>
      </c>
      <c r="O54" s="18" t="str">
        <f>IFERROR(__xludf.DUMMYFUNCTION("""COMPUTED_VALUE"""),"")</f>
        <v/>
      </c>
      <c r="P54" s="1" t="str">
        <f>IFERROR(__xludf.DUMMYFUNCTION("""COMPUTED_VALUE"""),"")</f>
        <v/>
      </c>
      <c r="Q54" s="1" t="str">
        <f>IFERROR(__xludf.DUMMYFUNCTION("""COMPUTED_VALUE"""),"")</f>
        <v/>
      </c>
      <c r="R54" s="1" t="str">
        <f>IFERROR(__xludf.DUMMYFUNCTION("""COMPUTED_VALUE"""),"")</f>
        <v/>
      </c>
      <c r="S54" s="1" t="str">
        <f>IFERROR(__xludf.DUMMYFUNCTION("""COMPUTED_VALUE"""),"")</f>
        <v/>
      </c>
      <c r="T54" s="1" t="str">
        <f>IFERROR(__xludf.DUMMYFUNCTION("""COMPUTED_VALUE"""),"")</f>
        <v/>
      </c>
      <c r="U54" s="1" t="str">
        <f>IFERROR(__xludf.DUMMYFUNCTION("""COMPUTED_VALUE"""),"")</f>
        <v/>
      </c>
      <c r="V54" s="1" t="str">
        <f>IFERROR(__xludf.DUMMYFUNCTION("""COMPUTED_VALUE"""),"")</f>
        <v/>
      </c>
      <c r="W54" s="1" t="str">
        <f>IFERROR(__xludf.DUMMYFUNCTION("""COMPUTED_VALUE"""),"")</f>
        <v/>
      </c>
      <c r="X54" s="1" t="str">
        <f>IFERROR(__xludf.DUMMYFUNCTION("""COMPUTED_VALUE"""),"")</f>
        <v/>
      </c>
      <c r="Y54" s="1" t="str">
        <f>IFERROR(__xludf.DUMMYFUNCTION("""COMPUTED_VALUE"""),"")</f>
        <v/>
      </c>
      <c r="Z54" s="1" t="str">
        <f>IFERROR(__xludf.DUMMYFUNCTION("""COMPUTED_VALUE"""),"")</f>
        <v/>
      </c>
      <c r="AA54" s="1" t="str">
        <f>IFERROR(__xludf.DUMMYFUNCTION("""COMPUTED_VALUE"""),"")</f>
        <v/>
      </c>
      <c r="AB54" s="1" t="str">
        <f>IFERROR(__xludf.DUMMYFUNCTION("""COMPUTED_VALUE"""),"")</f>
        <v/>
      </c>
      <c r="AC54" s="1"/>
      <c r="AD54" s="1"/>
      <c r="AE54" s="1"/>
      <c r="AF54" s="1"/>
      <c r="AG54" s="1"/>
      <c r="AH54" s="1"/>
      <c r="AI54" s="1"/>
      <c r="AJ54" s="1"/>
    </row>
    <row r="55">
      <c r="A55" s="7"/>
      <c r="B55" s="8"/>
      <c r="C55" s="9">
        <f>IFERROR(__xludf.DUMMYFUNCTION("""COMPUTED_VALUE"""),14026.0)</f>
        <v>14026</v>
      </c>
      <c r="D55" s="10" t="str">
        <f>IFERROR(__xludf.DUMMYFUNCTION("""COMPUTED_VALUE"""),"R05")</f>
        <v>R05</v>
      </c>
      <c r="E55" s="31" t="str">
        <f>IFERROR(__xludf.DUMMYFUNCTION("""COMPUTED_VALUE"""),"Lower Avionics Midsection")</f>
        <v>Lower Avionics Midsection</v>
      </c>
      <c r="F55" s="2" t="str">
        <f>IFERROR(__xludf.DUMMYFUNCTION("""COMPUTED_VALUE"""),"Structures")</f>
        <v>Structures</v>
      </c>
      <c r="G55" s="2" t="str">
        <f>IFERROR(__xludf.DUMMYFUNCTION("""COMPUTED_VALUE"""),"Solidworks")</f>
        <v>Solidworks</v>
      </c>
      <c r="H55" s="2" t="str">
        <f>IFERROR(__xludf.DUMMYFUNCTION("""COMPUTED_VALUE"""),"Marginal Stability")</f>
        <v>Marginal Stability</v>
      </c>
      <c r="I55" s="25" t="str">
        <f>IFERROR(__xludf.DUMMYFUNCTION("""COMPUTED_VALUE"""),"Holds the lower half of the avionics.")</f>
        <v>Holds the lower half of the avionics.</v>
      </c>
      <c r="J55" s="2" t="str">
        <f>IFERROR(__xludf.DUMMYFUNCTION("""COMPUTED_VALUE"""),"6061 Aluminum")</f>
        <v>6061 Aluminum</v>
      </c>
      <c r="K55" s="2" t="str">
        <f>IFERROR(__xludf.DUMMYFUNCTION("""COMPUTED_VALUE"""),"Imperial")</f>
        <v>Imperial</v>
      </c>
      <c r="L55" s="2" t="str">
        <f>IFERROR(__xludf.DUMMYFUNCTION("""COMPUTED_VALUE"""),"Matthew Lok")</f>
        <v>Matthew Lok</v>
      </c>
      <c r="M55" s="26">
        <f>IFERROR(__xludf.DUMMYFUNCTION("""COMPUTED_VALUE"""),43491.0)</f>
        <v>43491</v>
      </c>
      <c r="N55" s="45" t="str">
        <f>IFERROR(__xludf.DUMMYFUNCTION("""COMPUTED_VALUE"""),"https://drive.google.com/open?id=1BEZbacNmk1kxfq07X5LI4xZkVL6J9RyX")</f>
        <v>https://drive.google.com/open?id=1BEZbacNmk1kxfq07X5LI4xZkVL6J9RyX</v>
      </c>
      <c r="O55" s="18" t="str">
        <f>IFERROR(__xludf.DUMMYFUNCTION("""COMPUTED_VALUE"""),"In Progress")</f>
        <v>In Progress</v>
      </c>
      <c r="P55" s="1" t="str">
        <f>IFERROR(__xludf.DUMMYFUNCTION("""COMPUTED_VALUE"""),"")</f>
        <v/>
      </c>
      <c r="Q55" s="1" t="str">
        <f>IFERROR(__xludf.DUMMYFUNCTION("""COMPUTED_VALUE"""),"")</f>
        <v/>
      </c>
      <c r="R55" s="1" t="str">
        <f>IFERROR(__xludf.DUMMYFUNCTION("""COMPUTED_VALUE"""),"")</f>
        <v/>
      </c>
      <c r="S55" s="1" t="str">
        <f>IFERROR(__xludf.DUMMYFUNCTION("""COMPUTED_VALUE"""),"")</f>
        <v/>
      </c>
      <c r="T55" s="1" t="str">
        <f>IFERROR(__xludf.DUMMYFUNCTION("""COMPUTED_VALUE"""),"")</f>
        <v/>
      </c>
      <c r="U55" s="1" t="str">
        <f>IFERROR(__xludf.DUMMYFUNCTION("""COMPUTED_VALUE"""),"")</f>
        <v/>
      </c>
      <c r="V55" s="1" t="str">
        <f>IFERROR(__xludf.DUMMYFUNCTION("""COMPUTED_VALUE"""),"")</f>
        <v/>
      </c>
      <c r="W55" s="1" t="str">
        <f>IFERROR(__xludf.DUMMYFUNCTION("""COMPUTED_VALUE"""),"")</f>
        <v/>
      </c>
      <c r="X55" s="1" t="str">
        <f>IFERROR(__xludf.DUMMYFUNCTION("""COMPUTED_VALUE"""),"")</f>
        <v/>
      </c>
      <c r="Y55" s="1" t="str">
        <f>IFERROR(__xludf.DUMMYFUNCTION("""COMPUTED_VALUE"""),"")</f>
        <v/>
      </c>
      <c r="Z55" s="1" t="str">
        <f>IFERROR(__xludf.DUMMYFUNCTION("""COMPUTED_VALUE"""),"")</f>
        <v/>
      </c>
      <c r="AA55" s="1" t="str">
        <f>IFERROR(__xludf.DUMMYFUNCTION("""COMPUTED_VALUE"""),"")</f>
        <v/>
      </c>
      <c r="AB55" s="1" t="str">
        <f>IFERROR(__xludf.DUMMYFUNCTION("""COMPUTED_VALUE"""),"")</f>
        <v/>
      </c>
      <c r="AC55" s="1"/>
      <c r="AD55" s="1"/>
      <c r="AE55" s="1"/>
      <c r="AF55" s="1"/>
      <c r="AG55" s="1"/>
      <c r="AH55" s="1"/>
      <c r="AI55" s="1"/>
      <c r="AJ55" s="1"/>
    </row>
    <row r="56">
      <c r="A56" s="7"/>
      <c r="B56" s="8"/>
      <c r="C56" s="9">
        <f>IFERROR(__xludf.DUMMYFUNCTION("""COMPUTED_VALUE"""),14029.0)</f>
        <v>14029</v>
      </c>
      <c r="D56" s="10" t="str">
        <f>IFERROR(__xludf.DUMMYFUNCTION("""COMPUTED_VALUE"""),"R04")</f>
        <v>R04</v>
      </c>
      <c r="E56" s="31" t="str">
        <f>IFERROR(__xludf.DUMMYFUNCTION("""COMPUTED_VALUE"""),"Lower Avionics End")</f>
        <v>Lower Avionics End</v>
      </c>
      <c r="F56" s="2" t="str">
        <f>IFERROR(__xludf.DUMMYFUNCTION("""COMPUTED_VALUE"""),"Structures")</f>
        <v>Structures</v>
      </c>
      <c r="G56" s="2" t="str">
        <f>IFERROR(__xludf.DUMMYFUNCTION("""COMPUTED_VALUE"""),"Solidworks")</f>
        <v>Solidworks</v>
      </c>
      <c r="H56" s="2" t="str">
        <f>IFERROR(__xludf.DUMMYFUNCTION("""COMPUTED_VALUE"""),"Marginal Stability")</f>
        <v>Marginal Stability</v>
      </c>
      <c r="I56" s="25" t="str">
        <f>IFERROR(__xludf.DUMMYFUNCTION("""COMPUTED_VALUE"""),"Seals the lower avionics bay.")</f>
        <v>Seals the lower avionics bay.</v>
      </c>
      <c r="J56" s="2" t="str">
        <f>IFERROR(__xludf.DUMMYFUNCTION("""COMPUTED_VALUE"""),"6061 Aluminum")</f>
        <v>6061 Aluminum</v>
      </c>
      <c r="K56" s="18" t="str">
        <f>IFERROR(__xludf.DUMMYFUNCTION("""COMPUTED_VALUE"""),"Imperial")</f>
        <v>Imperial</v>
      </c>
      <c r="L56" s="18" t="str">
        <f>IFERROR(__xludf.DUMMYFUNCTION("""COMPUTED_VALUE"""),"Matthew Lok")</f>
        <v>Matthew Lok</v>
      </c>
      <c r="M56" s="33">
        <f>IFERROR(__xludf.DUMMYFUNCTION("""COMPUTED_VALUE"""),43491.0)</f>
        <v>43491</v>
      </c>
      <c r="N56" s="45" t="str">
        <f>IFERROR(__xludf.DUMMYFUNCTION("""COMPUTED_VALUE"""),"https://drive.google.com/open?id=18d2nxDvJnaZDY9FwbpWgSM9hAKzaoeS4")</f>
        <v>https://drive.google.com/open?id=18d2nxDvJnaZDY9FwbpWgSM9hAKzaoeS4</v>
      </c>
      <c r="O56" s="18" t="str">
        <f>IFERROR(__xludf.DUMMYFUNCTION("""COMPUTED_VALUE"""),"In Progress")</f>
        <v>In Progress</v>
      </c>
      <c r="P56" s="1" t="str">
        <f>IFERROR(__xludf.DUMMYFUNCTION("""COMPUTED_VALUE"""),"")</f>
        <v/>
      </c>
      <c r="Q56" s="1" t="str">
        <f>IFERROR(__xludf.DUMMYFUNCTION("""COMPUTED_VALUE"""),"")</f>
        <v/>
      </c>
      <c r="R56" s="1" t="str">
        <f>IFERROR(__xludf.DUMMYFUNCTION("""COMPUTED_VALUE"""),"")</f>
        <v/>
      </c>
      <c r="S56" s="1" t="str">
        <f>IFERROR(__xludf.DUMMYFUNCTION("""COMPUTED_VALUE"""),"")</f>
        <v/>
      </c>
      <c r="T56" s="1" t="str">
        <f>IFERROR(__xludf.DUMMYFUNCTION("""COMPUTED_VALUE"""),"")</f>
        <v/>
      </c>
      <c r="U56" s="1" t="str">
        <f>IFERROR(__xludf.DUMMYFUNCTION("""COMPUTED_VALUE"""),"")</f>
        <v/>
      </c>
      <c r="V56" s="1" t="str">
        <f>IFERROR(__xludf.DUMMYFUNCTION("""COMPUTED_VALUE"""),"")</f>
        <v/>
      </c>
      <c r="W56" s="1" t="str">
        <f>IFERROR(__xludf.DUMMYFUNCTION("""COMPUTED_VALUE"""),"")</f>
        <v/>
      </c>
      <c r="X56" s="1" t="str">
        <f>IFERROR(__xludf.DUMMYFUNCTION("""COMPUTED_VALUE"""),"")</f>
        <v/>
      </c>
      <c r="Y56" s="1" t="str">
        <f>IFERROR(__xludf.DUMMYFUNCTION("""COMPUTED_VALUE"""),"")</f>
        <v/>
      </c>
      <c r="Z56" s="1" t="str">
        <f>IFERROR(__xludf.DUMMYFUNCTION("""COMPUTED_VALUE"""),"")</f>
        <v/>
      </c>
      <c r="AA56" s="1" t="str">
        <f>IFERROR(__xludf.DUMMYFUNCTION("""COMPUTED_VALUE"""),"")</f>
        <v/>
      </c>
      <c r="AB56" s="1" t="str">
        <f>IFERROR(__xludf.DUMMYFUNCTION("""COMPUTED_VALUE"""),"")</f>
        <v/>
      </c>
      <c r="AC56" s="1"/>
      <c r="AD56" s="1"/>
      <c r="AE56" s="1"/>
      <c r="AF56" s="1"/>
      <c r="AG56" s="1"/>
      <c r="AH56" s="1"/>
      <c r="AI56" s="1"/>
      <c r="AJ56" s="1"/>
    </row>
    <row r="57">
      <c r="A57" s="7"/>
      <c r="B57" s="8"/>
      <c r="C57" s="9">
        <f>IFERROR(__xludf.DUMMYFUNCTION("""COMPUTED_VALUE"""),14030.0)</f>
        <v>14030</v>
      </c>
      <c r="D57" s="10" t="str">
        <f>IFERROR(__xludf.DUMMYFUNCTION("""COMPUTED_VALUE"""),"R03")</f>
        <v>R03</v>
      </c>
      <c r="E57" s="36" t="str">
        <f>IFERROR(__xludf.DUMMYFUNCTION("""COMPUTED_VALUE"""),"Lower Avionics Lid")</f>
        <v>Lower Avionics Lid</v>
      </c>
      <c r="F57" s="2" t="str">
        <f>IFERROR(__xludf.DUMMYFUNCTION("""COMPUTED_VALUE"""),"Structures")</f>
        <v>Structures</v>
      </c>
      <c r="G57" s="2" t="str">
        <f>IFERROR(__xludf.DUMMYFUNCTION("""COMPUTED_VALUE"""),"Solidworks")</f>
        <v>Solidworks</v>
      </c>
      <c r="H57" s="2" t="str">
        <f>IFERROR(__xludf.DUMMYFUNCTION("""COMPUTED_VALUE"""),"Marginal Stability")</f>
        <v>Marginal Stability</v>
      </c>
      <c r="I57" s="25" t="str">
        <f>IFERROR(__xludf.DUMMYFUNCTION("""COMPUTED_VALUE"""),"Seals the lower avionics bay, allows wires to enter and exit.")</f>
        <v>Seals the lower avionics bay, allows wires to enter and exit.</v>
      </c>
      <c r="J57" s="2" t="str">
        <f>IFERROR(__xludf.DUMMYFUNCTION("""COMPUTED_VALUE"""),"6061 Aluminum")</f>
        <v>6061 Aluminum</v>
      </c>
      <c r="K57" s="2" t="str">
        <f>IFERROR(__xludf.DUMMYFUNCTION("""COMPUTED_VALUE"""),"Imperial")</f>
        <v>Imperial</v>
      </c>
      <c r="L57" s="2" t="str">
        <f>IFERROR(__xludf.DUMMYFUNCTION("""COMPUTED_VALUE"""),"Matthew Lok")</f>
        <v>Matthew Lok</v>
      </c>
      <c r="M57" s="26">
        <f>IFERROR(__xludf.DUMMYFUNCTION("""COMPUTED_VALUE"""),43491.0)</f>
        <v>43491</v>
      </c>
      <c r="N57" s="45" t="str">
        <f>IFERROR(__xludf.DUMMYFUNCTION("""COMPUTED_VALUE"""),"https://drive.google.com/open?id=1u3Qeqo5i97_3e2TVO8i2h7tVJLr7NgSk")</f>
        <v>https://drive.google.com/open?id=1u3Qeqo5i97_3e2TVO8i2h7tVJLr7NgSk</v>
      </c>
      <c r="O57" s="18" t="str">
        <f>IFERROR(__xludf.DUMMYFUNCTION("""COMPUTED_VALUE"""),"In Progress")</f>
        <v>In Progress</v>
      </c>
      <c r="P57" s="1" t="str">
        <f>IFERROR(__xludf.DUMMYFUNCTION("""COMPUTED_VALUE"""),"")</f>
        <v/>
      </c>
      <c r="Q57" s="1" t="str">
        <f>IFERROR(__xludf.DUMMYFUNCTION("""COMPUTED_VALUE"""),"")</f>
        <v/>
      </c>
      <c r="R57" s="1" t="str">
        <f>IFERROR(__xludf.DUMMYFUNCTION("""COMPUTED_VALUE"""),"")</f>
        <v/>
      </c>
      <c r="S57" s="1" t="str">
        <f>IFERROR(__xludf.DUMMYFUNCTION("""COMPUTED_VALUE"""),"")</f>
        <v/>
      </c>
      <c r="T57" s="1" t="str">
        <f>IFERROR(__xludf.DUMMYFUNCTION("""COMPUTED_VALUE"""),"")</f>
        <v/>
      </c>
      <c r="U57" s="1" t="str">
        <f>IFERROR(__xludf.DUMMYFUNCTION("""COMPUTED_VALUE"""),"")</f>
        <v/>
      </c>
      <c r="V57" s="1" t="str">
        <f>IFERROR(__xludf.DUMMYFUNCTION("""COMPUTED_VALUE"""),"")</f>
        <v/>
      </c>
      <c r="W57" s="1" t="str">
        <f>IFERROR(__xludf.DUMMYFUNCTION("""COMPUTED_VALUE"""),"")</f>
        <v/>
      </c>
      <c r="X57" s="1" t="str">
        <f>IFERROR(__xludf.DUMMYFUNCTION("""COMPUTED_VALUE"""),"")</f>
        <v/>
      </c>
      <c r="Y57" s="1" t="str">
        <f>IFERROR(__xludf.DUMMYFUNCTION("""COMPUTED_VALUE"""),"")</f>
        <v/>
      </c>
      <c r="Z57" s="1" t="str">
        <f>IFERROR(__xludf.DUMMYFUNCTION("""COMPUTED_VALUE"""),"")</f>
        <v/>
      </c>
      <c r="AA57" s="1" t="str">
        <f>IFERROR(__xludf.DUMMYFUNCTION("""COMPUTED_VALUE"""),"")</f>
        <v/>
      </c>
      <c r="AB57" s="1" t="str">
        <f>IFERROR(__xludf.DUMMYFUNCTION("""COMPUTED_VALUE"""),"")</f>
        <v/>
      </c>
      <c r="AC57" s="1"/>
      <c r="AD57" s="1"/>
      <c r="AE57" s="1"/>
      <c r="AF57" s="1"/>
      <c r="AG57" s="1"/>
      <c r="AH57" s="1"/>
      <c r="AI57" s="1"/>
      <c r="AJ57" s="1"/>
    </row>
    <row r="58">
      <c r="A58" s="7"/>
      <c r="B58" s="8"/>
      <c r="C58" s="9">
        <f>IFERROR(__xludf.DUMMYFUNCTION("""COMPUTED_VALUE"""),14031.0)</f>
        <v>14031</v>
      </c>
      <c r="D58" s="10" t="str">
        <f>IFERROR(__xludf.DUMMYFUNCTION("""COMPUTED_VALUE"""),"R01")</f>
        <v>R01</v>
      </c>
      <c r="E58" s="31" t="str">
        <f>IFERROR(__xludf.DUMMYFUNCTION("""COMPUTED_VALUE"""),"Launch Lug Face")</f>
        <v>Launch Lug Face</v>
      </c>
      <c r="F58" s="2" t="str">
        <f>IFERROR(__xludf.DUMMYFUNCTION("""COMPUTED_VALUE"""),"Structures")</f>
        <v>Structures</v>
      </c>
      <c r="G58" s="2" t="str">
        <f>IFERROR(__xludf.DUMMYFUNCTION("""COMPUTED_VALUE"""),"Solidworks")</f>
        <v>Solidworks</v>
      </c>
      <c r="H58" s="2" t="str">
        <f>IFERROR(__xludf.DUMMYFUNCTION("""COMPUTED_VALUE"""),"Marginal Stability")</f>
        <v>Marginal Stability</v>
      </c>
      <c r="I58" s="25" t="str">
        <f>IFERROR(__xludf.DUMMYFUNCTION("""COMPUTED_VALUE"""),"Center Part of the Launch Lug")</f>
        <v>Center Part of the Launch Lug</v>
      </c>
      <c r="J58" s="2" t="str">
        <f>IFERROR(__xludf.DUMMYFUNCTION("""COMPUTED_VALUE"""),"6062 Aluminum")</f>
        <v>6062 Aluminum</v>
      </c>
      <c r="K58" s="2" t="str">
        <f>IFERROR(__xludf.DUMMYFUNCTION("""COMPUTED_VALUE"""),"Imperial")</f>
        <v>Imperial</v>
      </c>
      <c r="L58" s="2" t="str">
        <f>IFERROR(__xludf.DUMMYFUNCTION("""COMPUTED_VALUE"""),"Andre Shahinian")</f>
        <v>Andre Shahinian</v>
      </c>
      <c r="M58" s="21">
        <f>IFERROR(__xludf.DUMMYFUNCTION("""COMPUTED_VALUE"""),43500.0)</f>
        <v>43500</v>
      </c>
      <c r="N58" s="45" t="str">
        <f>IFERROR(__xludf.DUMMYFUNCTION("""COMPUTED_VALUE"""),"https://drive.google.com/open?id=1uEVOY-WevWrcxvUoJ1uclQ2g_78pwk0V")</f>
        <v>https://drive.google.com/open?id=1uEVOY-WevWrcxvUoJ1uclQ2g_78pwk0V</v>
      </c>
      <c r="O58" s="18" t="str">
        <f>IFERROR(__xludf.DUMMYFUNCTION("""COMPUTED_VALUE"""),"In Progress")</f>
        <v>In Progress</v>
      </c>
      <c r="P58" s="1" t="str">
        <f>IFERROR(__xludf.DUMMYFUNCTION("""COMPUTED_VALUE"""),"")</f>
        <v/>
      </c>
      <c r="Q58" s="1" t="str">
        <f>IFERROR(__xludf.DUMMYFUNCTION("""COMPUTED_VALUE"""),"")</f>
        <v/>
      </c>
      <c r="R58" s="1" t="str">
        <f>IFERROR(__xludf.DUMMYFUNCTION("""COMPUTED_VALUE"""),"")</f>
        <v/>
      </c>
      <c r="S58" s="1" t="str">
        <f>IFERROR(__xludf.DUMMYFUNCTION("""COMPUTED_VALUE"""),"")</f>
        <v/>
      </c>
      <c r="T58" s="1" t="str">
        <f>IFERROR(__xludf.DUMMYFUNCTION("""COMPUTED_VALUE"""),"")</f>
        <v/>
      </c>
      <c r="U58" s="1" t="str">
        <f>IFERROR(__xludf.DUMMYFUNCTION("""COMPUTED_VALUE"""),"")</f>
        <v/>
      </c>
      <c r="V58" s="1" t="str">
        <f>IFERROR(__xludf.DUMMYFUNCTION("""COMPUTED_VALUE"""),"")</f>
        <v/>
      </c>
      <c r="W58" s="1" t="str">
        <f>IFERROR(__xludf.DUMMYFUNCTION("""COMPUTED_VALUE"""),"")</f>
        <v/>
      </c>
      <c r="X58" s="1" t="str">
        <f>IFERROR(__xludf.DUMMYFUNCTION("""COMPUTED_VALUE"""),"")</f>
        <v/>
      </c>
      <c r="Y58" s="1" t="str">
        <f>IFERROR(__xludf.DUMMYFUNCTION("""COMPUTED_VALUE"""),"")</f>
        <v/>
      </c>
      <c r="Z58" s="1" t="str">
        <f>IFERROR(__xludf.DUMMYFUNCTION("""COMPUTED_VALUE"""),"")</f>
        <v/>
      </c>
      <c r="AA58" s="1" t="str">
        <f>IFERROR(__xludf.DUMMYFUNCTION("""COMPUTED_VALUE"""),"")</f>
        <v/>
      </c>
      <c r="AB58" s="1" t="str">
        <f>IFERROR(__xludf.DUMMYFUNCTION("""COMPUTED_VALUE"""),"")</f>
        <v/>
      </c>
      <c r="AC58" s="1"/>
      <c r="AD58" s="1"/>
      <c r="AE58" s="1"/>
      <c r="AF58" s="1"/>
      <c r="AG58" s="1"/>
      <c r="AH58" s="1"/>
      <c r="AI58" s="1"/>
      <c r="AJ58" s="1"/>
    </row>
    <row r="59">
      <c r="A59" s="7"/>
      <c r="B59" s="8"/>
      <c r="C59" s="9">
        <f>IFERROR(__xludf.DUMMYFUNCTION("""COMPUTED_VALUE"""),14032.0)</f>
        <v>14032</v>
      </c>
      <c r="D59" s="10" t="str">
        <f>IFERROR(__xludf.DUMMYFUNCTION("""COMPUTED_VALUE"""),"R01")</f>
        <v>R01</v>
      </c>
      <c r="E59" s="31" t="str">
        <f>IFERROR(__xludf.DUMMYFUNCTION("""COMPUTED_VALUE"""),"Redundancy Pulley")</f>
        <v>Redundancy Pulley</v>
      </c>
      <c r="F59" s="2" t="str">
        <f>IFERROR(__xludf.DUMMYFUNCTION("""COMPUTED_VALUE"""),"Structures")</f>
        <v>Structures</v>
      </c>
      <c r="G59" s="2" t="str">
        <f>IFERROR(__xludf.DUMMYFUNCTION("""COMPUTED_VALUE"""),"Solidworks")</f>
        <v>Solidworks</v>
      </c>
      <c r="H59" s="2" t="str">
        <f>IFERROR(__xludf.DUMMYFUNCTION("""COMPUTED_VALUE"""),"Marginal Stability")</f>
        <v>Marginal Stability</v>
      </c>
      <c r="I59" s="25" t="str">
        <f>IFERROR(__xludf.DUMMYFUNCTION("""COMPUTED_VALUE"""),"Redirects force to pull upwards on Recovery Ejectio Plate as a redundancy")</f>
        <v>Redirects force to pull upwards on Recovery Ejectio Plate as a redundancy</v>
      </c>
      <c r="J59" s="2" t="str">
        <f>IFERROR(__xludf.DUMMYFUNCTION("""COMPUTED_VALUE"""),"6061 Aluminium")</f>
        <v>6061 Aluminium</v>
      </c>
      <c r="K59" s="2" t="str">
        <f>IFERROR(__xludf.DUMMYFUNCTION("""COMPUTED_VALUE"""),"Imperial")</f>
        <v>Imperial</v>
      </c>
      <c r="L59" s="2" t="str">
        <f>IFERROR(__xludf.DUMMYFUNCTION("""COMPUTED_VALUE"""),"Bryce Borders")</f>
        <v>Bryce Borders</v>
      </c>
      <c r="M59" s="26">
        <f>IFERROR(__xludf.DUMMYFUNCTION("""COMPUTED_VALUE"""),43496.0)</f>
        <v>43496</v>
      </c>
      <c r="N59" s="45" t="str">
        <f>IFERROR(__xludf.DUMMYFUNCTION("""COMPUTED_VALUE"""),"https://drive.google.com/drive/folders/1pEUuzC4hwV5AJEftRQrDAZ70En_CcXPE")</f>
        <v>https://drive.google.com/drive/folders/1pEUuzC4hwV5AJEftRQrDAZ70En_CcXPE</v>
      </c>
      <c r="O59" s="18" t="str">
        <f>IFERROR(__xludf.DUMMYFUNCTION("""COMPUTED_VALUE"""),"In Progress")</f>
        <v>In Progress</v>
      </c>
      <c r="P59" s="1" t="str">
        <f>IFERROR(__xludf.DUMMYFUNCTION("""COMPUTED_VALUE"""),"")</f>
        <v/>
      </c>
      <c r="Q59" s="1" t="str">
        <f>IFERROR(__xludf.DUMMYFUNCTION("""COMPUTED_VALUE"""),"")</f>
        <v/>
      </c>
      <c r="R59" s="1" t="str">
        <f>IFERROR(__xludf.DUMMYFUNCTION("""COMPUTED_VALUE"""),"")</f>
        <v/>
      </c>
      <c r="S59" s="1" t="str">
        <f>IFERROR(__xludf.DUMMYFUNCTION("""COMPUTED_VALUE"""),"")</f>
        <v/>
      </c>
      <c r="T59" s="1" t="str">
        <f>IFERROR(__xludf.DUMMYFUNCTION("""COMPUTED_VALUE"""),"")</f>
        <v/>
      </c>
      <c r="U59" s="1" t="str">
        <f>IFERROR(__xludf.DUMMYFUNCTION("""COMPUTED_VALUE"""),"")</f>
        <v/>
      </c>
      <c r="V59" s="1" t="str">
        <f>IFERROR(__xludf.DUMMYFUNCTION("""COMPUTED_VALUE"""),"")</f>
        <v/>
      </c>
      <c r="W59" s="1" t="str">
        <f>IFERROR(__xludf.DUMMYFUNCTION("""COMPUTED_VALUE"""),"")</f>
        <v/>
      </c>
      <c r="X59" s="1" t="str">
        <f>IFERROR(__xludf.DUMMYFUNCTION("""COMPUTED_VALUE"""),"")</f>
        <v/>
      </c>
      <c r="Y59" s="1" t="str">
        <f>IFERROR(__xludf.DUMMYFUNCTION("""COMPUTED_VALUE"""),"")</f>
        <v/>
      </c>
      <c r="Z59" s="1" t="str">
        <f>IFERROR(__xludf.DUMMYFUNCTION("""COMPUTED_VALUE"""),"")</f>
        <v/>
      </c>
      <c r="AA59" s="1" t="str">
        <f>IFERROR(__xludf.DUMMYFUNCTION("""COMPUTED_VALUE"""),"")</f>
        <v/>
      </c>
      <c r="AB59" s="1" t="str">
        <f>IFERROR(__xludf.DUMMYFUNCTION("""COMPUTED_VALUE"""),"")</f>
        <v/>
      </c>
      <c r="AC59" s="1"/>
      <c r="AD59" s="1"/>
      <c r="AE59" s="1"/>
      <c r="AF59" s="1"/>
      <c r="AG59" s="1"/>
      <c r="AH59" s="1"/>
      <c r="AI59" s="1"/>
      <c r="AJ59" s="1"/>
    </row>
    <row r="60">
      <c r="A60" s="7"/>
      <c r="B60" s="8"/>
      <c r="C60" s="9">
        <f>IFERROR(__xludf.DUMMYFUNCTION("""COMPUTED_VALUE"""),14033.0)</f>
        <v>14033</v>
      </c>
      <c r="D60" s="10" t="str">
        <f>IFERROR(__xludf.DUMMYFUNCTION("""COMPUTED_VALUE"""),"R01")</f>
        <v>R01</v>
      </c>
      <c r="E60" s="11" t="str">
        <f>IFERROR(__xludf.DUMMYFUNCTION("""COMPUTED_VALUE"""),"Motor Mount")</f>
        <v>Motor Mount</v>
      </c>
      <c r="F60" s="2" t="str">
        <f>IFERROR(__xludf.DUMMYFUNCTION("""COMPUTED_VALUE"""),"Structures")</f>
        <v>Structures</v>
      </c>
      <c r="G60" s="2" t="str">
        <f>IFERROR(__xludf.DUMMYFUNCTION("""COMPUTED_VALUE"""),"Solidworks")</f>
        <v>Solidworks</v>
      </c>
      <c r="H60" s="2" t="str">
        <f>IFERROR(__xludf.DUMMYFUNCTION("""COMPUTED_VALUE"""),"Marginal Stability")</f>
        <v>Marginal Stability</v>
      </c>
      <c r="I60" s="25" t="str">
        <f>IFERROR(__xludf.DUMMYFUNCTION("""COMPUTED_VALUE"""),"Made to hold a motor in place on the Plumbing Plate for a redundancy")</f>
        <v>Made to hold a motor in place on the Plumbing Plate for a redundancy</v>
      </c>
      <c r="J60" s="2" t="str">
        <f>IFERROR(__xludf.DUMMYFUNCTION("""COMPUTED_VALUE"""),"6061 Aluminium")</f>
        <v>6061 Aluminium</v>
      </c>
      <c r="K60" s="2" t="str">
        <f>IFERROR(__xludf.DUMMYFUNCTION("""COMPUTED_VALUE"""),"Imperial")</f>
        <v>Imperial</v>
      </c>
      <c r="L60" s="2" t="str">
        <f>IFERROR(__xludf.DUMMYFUNCTION("""COMPUTED_VALUE"""),"Bryce Borders")</f>
        <v>Bryce Borders</v>
      </c>
      <c r="M60" s="26">
        <f>IFERROR(__xludf.DUMMYFUNCTION("""COMPUTED_VALUE"""),43496.0)</f>
        <v>43496</v>
      </c>
      <c r="N60" s="48" t="str">
        <f>IFERROR(__xludf.DUMMYFUNCTION("""COMPUTED_VALUE"""),"https://drive.google.com/drive/folders/1pEUuzC4hwV5AJEftRQrDAZ70En_CcXPE")</f>
        <v>https://drive.google.com/drive/folders/1pEUuzC4hwV5AJEftRQrDAZ70En_CcXPE</v>
      </c>
      <c r="O60" s="18" t="str">
        <f>IFERROR(__xludf.DUMMYFUNCTION("""COMPUTED_VALUE"""),"In Progress")</f>
        <v>In Progress</v>
      </c>
      <c r="P60" s="1" t="str">
        <f>IFERROR(__xludf.DUMMYFUNCTION("""COMPUTED_VALUE"""),"")</f>
        <v/>
      </c>
      <c r="Q60" s="1" t="str">
        <f>IFERROR(__xludf.DUMMYFUNCTION("""COMPUTED_VALUE"""),"")</f>
        <v/>
      </c>
      <c r="R60" s="1" t="str">
        <f>IFERROR(__xludf.DUMMYFUNCTION("""COMPUTED_VALUE"""),"")</f>
        <v/>
      </c>
      <c r="S60" s="1" t="str">
        <f>IFERROR(__xludf.DUMMYFUNCTION("""COMPUTED_VALUE"""),"")</f>
        <v/>
      </c>
      <c r="T60" s="1" t="str">
        <f>IFERROR(__xludf.DUMMYFUNCTION("""COMPUTED_VALUE"""),"")</f>
        <v/>
      </c>
      <c r="U60" s="1" t="str">
        <f>IFERROR(__xludf.DUMMYFUNCTION("""COMPUTED_VALUE"""),"")</f>
        <v/>
      </c>
      <c r="V60" s="1" t="str">
        <f>IFERROR(__xludf.DUMMYFUNCTION("""COMPUTED_VALUE"""),"")</f>
        <v/>
      </c>
      <c r="W60" s="1" t="str">
        <f>IFERROR(__xludf.DUMMYFUNCTION("""COMPUTED_VALUE"""),"")</f>
        <v/>
      </c>
      <c r="X60" s="1" t="str">
        <f>IFERROR(__xludf.DUMMYFUNCTION("""COMPUTED_VALUE"""),"")</f>
        <v/>
      </c>
      <c r="Y60" s="1" t="str">
        <f>IFERROR(__xludf.DUMMYFUNCTION("""COMPUTED_VALUE"""),"")</f>
        <v/>
      </c>
      <c r="Z60" s="1" t="str">
        <f>IFERROR(__xludf.DUMMYFUNCTION("""COMPUTED_VALUE"""),"")</f>
        <v/>
      </c>
      <c r="AA60" s="1" t="str">
        <f>IFERROR(__xludf.DUMMYFUNCTION("""COMPUTED_VALUE"""),"")</f>
        <v/>
      </c>
      <c r="AB60" s="1" t="str">
        <f>IFERROR(__xludf.DUMMYFUNCTION("""COMPUTED_VALUE"""),"")</f>
        <v/>
      </c>
      <c r="AC60" s="1"/>
      <c r="AD60" s="1"/>
      <c r="AE60" s="1"/>
      <c r="AF60" s="1"/>
      <c r="AG60" s="1"/>
      <c r="AH60" s="1"/>
      <c r="AI60" s="1"/>
      <c r="AJ60" s="1"/>
    </row>
    <row r="61">
      <c r="A61" s="7"/>
      <c r="B61" s="8"/>
      <c r="C61" s="9">
        <f>IFERROR(__xludf.DUMMYFUNCTION("""COMPUTED_VALUE"""),14034.0)</f>
        <v>14034</v>
      </c>
      <c r="D61" s="10" t="str">
        <f>IFERROR(__xludf.DUMMYFUNCTION("""COMPUTED_VALUE"""),"R01")</f>
        <v>R01</v>
      </c>
      <c r="E61" s="11" t="str">
        <f>IFERROR(__xludf.DUMMYFUNCTION("""COMPUTED_VALUE"""),"Cover Plate")</f>
        <v>Cover Plate</v>
      </c>
      <c r="F61" s="2" t="str">
        <f>IFERROR(__xludf.DUMMYFUNCTION("""COMPUTED_VALUE"""),"Structures")</f>
        <v>Structures</v>
      </c>
      <c r="G61" s="2" t="str">
        <f>IFERROR(__xludf.DUMMYFUNCTION("""COMPUTED_VALUE"""),"Solidworks")</f>
        <v>Solidworks</v>
      </c>
      <c r="H61" s="2" t="str">
        <f>IFERROR(__xludf.DUMMYFUNCTION("""COMPUTED_VALUE"""),"Marginal Stability")</f>
        <v>Marginal Stability</v>
      </c>
      <c r="I61" s="25" t="str">
        <f>IFERROR(__xludf.DUMMYFUNCTION("""COMPUTED_VALUE"""),"A cover that keeps the parachutes seperate from the rest of the rocket")</f>
        <v>A cover that keeps the parachutes seperate from the rest of the rocket</v>
      </c>
      <c r="J61" s="2" t="str">
        <f>IFERROR(__xludf.DUMMYFUNCTION("""COMPUTED_VALUE"""),"6061 Aluminium")</f>
        <v>6061 Aluminium</v>
      </c>
      <c r="K61" s="2" t="str">
        <f>IFERROR(__xludf.DUMMYFUNCTION("""COMPUTED_VALUE"""),"Imperial")</f>
        <v>Imperial</v>
      </c>
      <c r="L61" s="2" t="str">
        <f>IFERROR(__xludf.DUMMYFUNCTION("""COMPUTED_VALUE"""),"Bryce Borders")</f>
        <v>Bryce Borders</v>
      </c>
      <c r="M61" s="26">
        <f>IFERROR(__xludf.DUMMYFUNCTION("""COMPUTED_VALUE"""),43496.0)</f>
        <v>43496</v>
      </c>
      <c r="N61" s="48" t="str">
        <f>IFERROR(__xludf.DUMMYFUNCTION("""COMPUTED_VALUE"""),"https://drive.google.com/drive/folders/1pEUuzC4hwV5AJEftRQrDAZ70En_CcXPE")</f>
        <v>https://drive.google.com/drive/folders/1pEUuzC4hwV5AJEftRQrDAZ70En_CcXPE</v>
      </c>
      <c r="O61" s="18" t="str">
        <f>IFERROR(__xludf.DUMMYFUNCTION("""COMPUTED_VALUE"""),"In Progress")</f>
        <v>In Progress</v>
      </c>
      <c r="P61" s="1" t="str">
        <f>IFERROR(__xludf.DUMMYFUNCTION("""COMPUTED_VALUE"""),"")</f>
        <v/>
      </c>
      <c r="Q61" s="1" t="str">
        <f>IFERROR(__xludf.DUMMYFUNCTION("""COMPUTED_VALUE"""),"")</f>
        <v/>
      </c>
      <c r="R61" s="1" t="str">
        <f>IFERROR(__xludf.DUMMYFUNCTION("""COMPUTED_VALUE"""),"")</f>
        <v/>
      </c>
      <c r="S61" s="1" t="str">
        <f>IFERROR(__xludf.DUMMYFUNCTION("""COMPUTED_VALUE"""),"")</f>
        <v/>
      </c>
      <c r="T61" s="1" t="str">
        <f>IFERROR(__xludf.DUMMYFUNCTION("""COMPUTED_VALUE"""),"")</f>
        <v/>
      </c>
      <c r="U61" s="1" t="str">
        <f>IFERROR(__xludf.DUMMYFUNCTION("""COMPUTED_VALUE"""),"")</f>
        <v/>
      </c>
      <c r="V61" s="1" t="str">
        <f>IFERROR(__xludf.DUMMYFUNCTION("""COMPUTED_VALUE"""),"")</f>
        <v/>
      </c>
      <c r="W61" s="1" t="str">
        <f>IFERROR(__xludf.DUMMYFUNCTION("""COMPUTED_VALUE"""),"")</f>
        <v/>
      </c>
      <c r="X61" s="1" t="str">
        <f>IFERROR(__xludf.DUMMYFUNCTION("""COMPUTED_VALUE"""),"")</f>
        <v/>
      </c>
      <c r="Y61" s="1" t="str">
        <f>IFERROR(__xludf.DUMMYFUNCTION("""COMPUTED_VALUE"""),"")</f>
        <v/>
      </c>
      <c r="Z61" s="1" t="str">
        <f>IFERROR(__xludf.DUMMYFUNCTION("""COMPUTED_VALUE"""),"")</f>
        <v/>
      </c>
      <c r="AA61" s="1" t="str">
        <f>IFERROR(__xludf.DUMMYFUNCTION("""COMPUTED_VALUE"""),"")</f>
        <v/>
      </c>
      <c r="AB61" s="1" t="str">
        <f>IFERROR(__xludf.DUMMYFUNCTION("""COMPUTED_VALUE"""),"")</f>
        <v/>
      </c>
      <c r="AC61" s="1"/>
      <c r="AD61" s="1"/>
      <c r="AE61" s="1"/>
      <c r="AF61" s="1"/>
      <c r="AG61" s="1"/>
      <c r="AH61" s="1"/>
      <c r="AI61" s="1"/>
      <c r="AJ61" s="1"/>
    </row>
    <row r="62">
      <c r="A62" s="7"/>
      <c r="B62" s="8"/>
      <c r="C62" s="9">
        <f>IFERROR(__xludf.DUMMYFUNCTION("""COMPUTED_VALUE"""),14035.0)</f>
        <v>14035</v>
      </c>
      <c r="D62" s="10" t="str">
        <f>IFERROR(__xludf.DUMMYFUNCTION("""COMPUTED_VALUE"""),"R01")</f>
        <v>R01</v>
      </c>
      <c r="E62" s="11" t="str">
        <f>IFERROR(__xludf.DUMMYFUNCTION("""COMPUTED_VALUE"""),"GPS Faraday Cage Edge")</f>
        <v>GPS Faraday Cage Edge</v>
      </c>
      <c r="F62" s="2" t="str">
        <f>IFERROR(__xludf.DUMMYFUNCTION("""COMPUTED_VALUE"""),"Structures")</f>
        <v>Structures</v>
      </c>
      <c r="G62" t="str">
        <f>IFERROR(__xludf.DUMMYFUNCTION("""COMPUTED_VALUE"""),"Solidworks")</f>
        <v>Solidworks</v>
      </c>
      <c r="H62" s="2" t="str">
        <f>IFERROR(__xludf.DUMMYFUNCTION("""COMPUTED_VALUE"""),"Marginal Stability")</f>
        <v>Marginal Stability</v>
      </c>
      <c r="I62" s="38" t="str">
        <f>IFERROR(__xludf.DUMMYFUNCTION("""COMPUTED_VALUE"""),"Part of the frame for a Faraday cage to reduce noise experienced by the GPS")</f>
        <v>Part of the frame for a Faraday cage to reduce noise experienced by the GPS</v>
      </c>
      <c r="J62" s="2" t="str">
        <f>IFERROR(__xludf.DUMMYFUNCTION("""COMPUTED_VALUE"""),"6061 Aluminum")</f>
        <v>6061 Aluminum</v>
      </c>
      <c r="K62" s="38" t="str">
        <f>IFERROR(__xludf.DUMMYFUNCTION("""COMPUTED_VALUE"""),"Imperial")</f>
        <v>Imperial</v>
      </c>
      <c r="L62" s="38" t="str">
        <f>IFERROR(__xludf.DUMMYFUNCTION("""COMPUTED_VALUE"""),"Matthew Lok")</f>
        <v>Matthew Lok</v>
      </c>
      <c r="M62" s="26">
        <f>IFERROR(__xludf.DUMMYFUNCTION("""COMPUTED_VALUE"""),43498.0)</f>
        <v>43498</v>
      </c>
      <c r="N62" s="45" t="str">
        <f>IFERROR(__xludf.DUMMYFUNCTION("""COMPUTED_VALUE"""),"https://drive.google.com/open?id=1q7E5aqa81i1id0B4_hOoQfY6NldI5RWU")</f>
        <v>https://drive.google.com/open?id=1q7E5aqa81i1id0B4_hOoQfY6NldI5RWU</v>
      </c>
      <c r="O62" s="18" t="str">
        <f>IFERROR(__xludf.DUMMYFUNCTION("""COMPUTED_VALUE"""),"In Progress")</f>
        <v>In Progress</v>
      </c>
      <c r="P62" s="1" t="str">
        <f>IFERROR(__xludf.DUMMYFUNCTION("""COMPUTED_VALUE"""),"")</f>
        <v/>
      </c>
      <c r="Q62" s="1" t="str">
        <f>IFERROR(__xludf.DUMMYFUNCTION("""COMPUTED_VALUE"""),"")</f>
        <v/>
      </c>
      <c r="R62" s="1" t="str">
        <f>IFERROR(__xludf.DUMMYFUNCTION("""COMPUTED_VALUE"""),"")</f>
        <v/>
      </c>
      <c r="S62" s="1" t="str">
        <f>IFERROR(__xludf.DUMMYFUNCTION("""COMPUTED_VALUE"""),"")</f>
        <v/>
      </c>
      <c r="T62" s="1" t="str">
        <f>IFERROR(__xludf.DUMMYFUNCTION("""COMPUTED_VALUE"""),"")</f>
        <v/>
      </c>
      <c r="U62" s="1" t="str">
        <f>IFERROR(__xludf.DUMMYFUNCTION("""COMPUTED_VALUE"""),"")</f>
        <v/>
      </c>
      <c r="V62" s="1" t="str">
        <f>IFERROR(__xludf.DUMMYFUNCTION("""COMPUTED_VALUE"""),"")</f>
        <v/>
      </c>
      <c r="W62" s="1" t="str">
        <f>IFERROR(__xludf.DUMMYFUNCTION("""COMPUTED_VALUE"""),"")</f>
        <v/>
      </c>
      <c r="X62" s="1" t="str">
        <f>IFERROR(__xludf.DUMMYFUNCTION("""COMPUTED_VALUE"""),"")</f>
        <v/>
      </c>
      <c r="Y62" s="1" t="str">
        <f>IFERROR(__xludf.DUMMYFUNCTION("""COMPUTED_VALUE"""),"")</f>
        <v/>
      </c>
      <c r="Z62" s="1" t="str">
        <f>IFERROR(__xludf.DUMMYFUNCTION("""COMPUTED_VALUE"""),"")</f>
        <v/>
      </c>
      <c r="AA62" s="1" t="str">
        <f>IFERROR(__xludf.DUMMYFUNCTION("""COMPUTED_VALUE"""),"")</f>
        <v/>
      </c>
      <c r="AB62" s="1" t="str">
        <f>IFERROR(__xludf.DUMMYFUNCTION("""COMPUTED_VALUE"""),"")</f>
        <v/>
      </c>
      <c r="AC62" s="1"/>
      <c r="AD62" s="1"/>
      <c r="AE62" s="1"/>
      <c r="AF62" s="1"/>
      <c r="AG62" s="1"/>
      <c r="AH62" s="1"/>
      <c r="AI62" s="1"/>
      <c r="AJ62" s="1"/>
    </row>
    <row r="63">
      <c r="A63" s="7"/>
      <c r="B63" s="8"/>
      <c r="C63" s="9">
        <f>IFERROR(__xludf.DUMMYFUNCTION("""COMPUTED_VALUE"""),14036.0)</f>
        <v>14036</v>
      </c>
      <c r="D63" s="10" t="str">
        <f>IFERROR(__xludf.DUMMYFUNCTION("""COMPUTED_VALUE"""),"R01")</f>
        <v>R01</v>
      </c>
      <c r="E63" s="11" t="str">
        <f>IFERROR(__xludf.DUMMYFUNCTION("""COMPUTED_VALUE"""),"GPS Faraday Cage Top")</f>
        <v>GPS Faraday Cage Top</v>
      </c>
      <c r="F63" s="2" t="str">
        <f>IFERROR(__xludf.DUMMYFUNCTION("""COMPUTED_VALUE"""),"Structures")</f>
        <v>Structures</v>
      </c>
      <c r="G63" s="2" t="str">
        <f>IFERROR(__xludf.DUMMYFUNCTION("""COMPUTED_VALUE"""),"Solidworks")</f>
        <v>Solidworks</v>
      </c>
      <c r="H63" s="2" t="str">
        <f>IFERROR(__xludf.DUMMYFUNCTION("""COMPUTED_VALUE"""),"Marginal Stability")</f>
        <v>Marginal Stability</v>
      </c>
      <c r="I63" s="12" t="str">
        <f>IFERROR(__xludf.DUMMYFUNCTION("""COMPUTED_VALUE"""),"Part of the frame for a Faraday cage to reduce noise experienced by the GPS")</f>
        <v>Part of the frame for a Faraday cage to reduce noise experienced by the GPS</v>
      </c>
      <c r="J63" s="2" t="str">
        <f>IFERROR(__xludf.DUMMYFUNCTION("""COMPUTED_VALUE"""),"6061 Aluminum")</f>
        <v>6061 Aluminum</v>
      </c>
      <c r="K63" s="2" t="str">
        <f>IFERROR(__xludf.DUMMYFUNCTION("""COMPUTED_VALUE"""),"Imperial")</f>
        <v>Imperial</v>
      </c>
      <c r="L63" s="2" t="str">
        <f>IFERROR(__xludf.DUMMYFUNCTION("""COMPUTED_VALUE"""),"Matthew Lok")</f>
        <v>Matthew Lok</v>
      </c>
      <c r="M63" s="26">
        <f>IFERROR(__xludf.DUMMYFUNCTION("""COMPUTED_VALUE"""),43498.0)</f>
        <v>43498</v>
      </c>
      <c r="N63" s="48" t="str">
        <f>IFERROR(__xludf.DUMMYFUNCTION("""COMPUTED_VALUE"""),"https://drive.google.com/open?id=1efGx18s076OS1gfDDfIvAtqg9FlMlRHO")</f>
        <v>https://drive.google.com/open?id=1efGx18s076OS1gfDDfIvAtqg9FlMlRHO</v>
      </c>
      <c r="O63" s="18" t="str">
        <f>IFERROR(__xludf.DUMMYFUNCTION("""COMPUTED_VALUE"""),"In Progress")</f>
        <v>In Progress</v>
      </c>
      <c r="P63" s="1" t="str">
        <f>IFERROR(__xludf.DUMMYFUNCTION("""COMPUTED_VALUE"""),"")</f>
        <v/>
      </c>
      <c r="Q63" s="1" t="str">
        <f>IFERROR(__xludf.DUMMYFUNCTION("""COMPUTED_VALUE"""),"")</f>
        <v/>
      </c>
      <c r="R63" s="1" t="str">
        <f>IFERROR(__xludf.DUMMYFUNCTION("""COMPUTED_VALUE"""),"")</f>
        <v/>
      </c>
      <c r="S63" s="1" t="str">
        <f>IFERROR(__xludf.DUMMYFUNCTION("""COMPUTED_VALUE"""),"")</f>
        <v/>
      </c>
      <c r="T63" s="1" t="str">
        <f>IFERROR(__xludf.DUMMYFUNCTION("""COMPUTED_VALUE"""),"")</f>
        <v/>
      </c>
      <c r="U63" s="1" t="str">
        <f>IFERROR(__xludf.DUMMYFUNCTION("""COMPUTED_VALUE"""),"")</f>
        <v/>
      </c>
      <c r="V63" s="1" t="str">
        <f>IFERROR(__xludf.DUMMYFUNCTION("""COMPUTED_VALUE"""),"")</f>
        <v/>
      </c>
      <c r="W63" s="1" t="str">
        <f>IFERROR(__xludf.DUMMYFUNCTION("""COMPUTED_VALUE"""),"")</f>
        <v/>
      </c>
      <c r="X63" s="1" t="str">
        <f>IFERROR(__xludf.DUMMYFUNCTION("""COMPUTED_VALUE"""),"")</f>
        <v/>
      </c>
      <c r="Y63" s="1" t="str">
        <f>IFERROR(__xludf.DUMMYFUNCTION("""COMPUTED_VALUE"""),"")</f>
        <v/>
      </c>
      <c r="Z63" s="1" t="str">
        <f>IFERROR(__xludf.DUMMYFUNCTION("""COMPUTED_VALUE"""),"")</f>
        <v/>
      </c>
      <c r="AA63" s="1" t="str">
        <f>IFERROR(__xludf.DUMMYFUNCTION("""COMPUTED_VALUE"""),"")</f>
        <v/>
      </c>
      <c r="AB63" s="1" t="str">
        <f>IFERROR(__xludf.DUMMYFUNCTION("""COMPUTED_VALUE"""),"")</f>
        <v/>
      </c>
      <c r="AC63" s="1"/>
      <c r="AD63" s="1"/>
      <c r="AE63" s="1"/>
      <c r="AF63" s="1"/>
      <c r="AG63" s="1"/>
      <c r="AH63" s="1"/>
      <c r="AI63" s="1"/>
      <c r="AJ63" s="1"/>
    </row>
    <row r="64">
      <c r="A64" s="7"/>
      <c r="B64" s="8"/>
      <c r="C64" s="9">
        <f>IFERROR(__xludf.DUMMYFUNCTION("""COMPUTED_VALUE"""),14037.0)</f>
        <v>14037</v>
      </c>
      <c r="D64" s="10" t="str">
        <f>IFERROR(__xludf.DUMMYFUNCTION("""COMPUTED_VALUE"""),"R01")</f>
        <v>R01</v>
      </c>
      <c r="E64" s="11" t="str">
        <f>IFERROR(__xludf.DUMMYFUNCTION("""COMPUTED_VALUE"""),"Telemetry Faraday Cage Edge")</f>
        <v>Telemetry Faraday Cage Edge</v>
      </c>
      <c r="F64" s="2" t="str">
        <f>IFERROR(__xludf.DUMMYFUNCTION("""COMPUTED_VALUE"""),"Structures")</f>
        <v>Structures</v>
      </c>
      <c r="G64" s="2" t="str">
        <f>IFERROR(__xludf.DUMMYFUNCTION("""COMPUTED_VALUE"""),"Solidworks")</f>
        <v>Solidworks</v>
      </c>
      <c r="H64" s="2" t="str">
        <f>IFERROR(__xludf.DUMMYFUNCTION("""COMPUTED_VALUE"""),"Marginal Stability")</f>
        <v>Marginal Stability</v>
      </c>
      <c r="I64" s="12" t="str">
        <f>IFERROR(__xludf.DUMMYFUNCTION("""COMPUTED_VALUE"""),"Part of the frame for a Faraday cage to reduce noise experienced by the Sapphire Telemetry")</f>
        <v>Part of the frame for a Faraday cage to reduce noise experienced by the Sapphire Telemetry</v>
      </c>
      <c r="J64" s="2" t="str">
        <f>IFERROR(__xludf.DUMMYFUNCTION("""COMPUTED_VALUE"""),"6061 Aluminum")</f>
        <v>6061 Aluminum</v>
      </c>
      <c r="K64" s="2" t="str">
        <f>IFERROR(__xludf.DUMMYFUNCTION("""COMPUTED_VALUE"""),"Imperial")</f>
        <v>Imperial</v>
      </c>
      <c r="L64" s="2" t="str">
        <f>IFERROR(__xludf.DUMMYFUNCTION("""COMPUTED_VALUE"""),"Matthew Lok")</f>
        <v>Matthew Lok</v>
      </c>
      <c r="M64" s="26">
        <f>IFERROR(__xludf.DUMMYFUNCTION("""COMPUTED_VALUE"""),43498.0)</f>
        <v>43498</v>
      </c>
      <c r="N64" s="48" t="str">
        <f>IFERROR(__xludf.DUMMYFUNCTION("""COMPUTED_VALUE"""),"https://drive.google.com/open?id=1jPYmlH39Pi5FwMlNYUSL4o89O9IlUN6m")</f>
        <v>https://drive.google.com/open?id=1jPYmlH39Pi5FwMlNYUSL4o89O9IlUN6m</v>
      </c>
      <c r="O64" s="18" t="str">
        <f>IFERROR(__xludf.DUMMYFUNCTION("""COMPUTED_VALUE"""),"In Progress")</f>
        <v>In Progress</v>
      </c>
      <c r="P64" s="1" t="str">
        <f>IFERROR(__xludf.DUMMYFUNCTION("""COMPUTED_VALUE"""),"")</f>
        <v/>
      </c>
      <c r="Q64" s="1" t="str">
        <f>IFERROR(__xludf.DUMMYFUNCTION("""COMPUTED_VALUE"""),"")</f>
        <v/>
      </c>
      <c r="R64" s="1" t="str">
        <f>IFERROR(__xludf.DUMMYFUNCTION("""COMPUTED_VALUE"""),"")</f>
        <v/>
      </c>
      <c r="S64" s="1" t="str">
        <f>IFERROR(__xludf.DUMMYFUNCTION("""COMPUTED_VALUE"""),"")</f>
        <v/>
      </c>
      <c r="T64" s="1" t="str">
        <f>IFERROR(__xludf.DUMMYFUNCTION("""COMPUTED_VALUE"""),"")</f>
        <v/>
      </c>
      <c r="U64" s="1" t="str">
        <f>IFERROR(__xludf.DUMMYFUNCTION("""COMPUTED_VALUE"""),"")</f>
        <v/>
      </c>
      <c r="V64" s="1" t="str">
        <f>IFERROR(__xludf.DUMMYFUNCTION("""COMPUTED_VALUE"""),"")</f>
        <v/>
      </c>
      <c r="W64" s="1" t="str">
        <f>IFERROR(__xludf.DUMMYFUNCTION("""COMPUTED_VALUE"""),"")</f>
        <v/>
      </c>
      <c r="X64" s="1" t="str">
        <f>IFERROR(__xludf.DUMMYFUNCTION("""COMPUTED_VALUE"""),"")</f>
        <v/>
      </c>
      <c r="Y64" s="1" t="str">
        <f>IFERROR(__xludf.DUMMYFUNCTION("""COMPUTED_VALUE"""),"")</f>
        <v/>
      </c>
      <c r="Z64" s="1" t="str">
        <f>IFERROR(__xludf.DUMMYFUNCTION("""COMPUTED_VALUE"""),"")</f>
        <v/>
      </c>
      <c r="AA64" s="1" t="str">
        <f>IFERROR(__xludf.DUMMYFUNCTION("""COMPUTED_VALUE"""),"")</f>
        <v/>
      </c>
      <c r="AB64" s="1" t="str">
        <f>IFERROR(__xludf.DUMMYFUNCTION("""COMPUTED_VALUE"""),"")</f>
        <v/>
      </c>
      <c r="AC64" s="1"/>
      <c r="AD64" s="1"/>
      <c r="AE64" s="1"/>
      <c r="AF64" s="1"/>
      <c r="AG64" s="1"/>
      <c r="AH64" s="1"/>
      <c r="AI64" s="1"/>
      <c r="AJ64" s="1"/>
    </row>
    <row r="65">
      <c r="A65" s="7"/>
      <c r="B65" s="8"/>
      <c r="C65" s="9">
        <f>IFERROR(__xludf.DUMMYFUNCTION("""COMPUTED_VALUE"""),14038.0)</f>
        <v>14038</v>
      </c>
      <c r="D65" s="10" t="str">
        <f>IFERROR(__xludf.DUMMYFUNCTION("""COMPUTED_VALUE"""),"R01")</f>
        <v>R01</v>
      </c>
      <c r="E65" s="11" t="str">
        <f>IFERROR(__xludf.DUMMYFUNCTION("""COMPUTED_VALUE"""),"Telemetry Faraday Cage Top")</f>
        <v>Telemetry Faraday Cage Top</v>
      </c>
      <c r="F65" s="2" t="str">
        <f>IFERROR(__xludf.DUMMYFUNCTION("""COMPUTED_VALUE"""),"Structures")</f>
        <v>Structures</v>
      </c>
      <c r="G65" s="2" t="str">
        <f>IFERROR(__xludf.DUMMYFUNCTION("""COMPUTED_VALUE"""),"Solidworks")</f>
        <v>Solidworks</v>
      </c>
      <c r="H65" s="2" t="str">
        <f>IFERROR(__xludf.DUMMYFUNCTION("""COMPUTED_VALUE"""),"Marginal Stability")</f>
        <v>Marginal Stability</v>
      </c>
      <c r="I65" s="25" t="str">
        <f>IFERROR(__xludf.DUMMYFUNCTION("""COMPUTED_VALUE"""),"Part of the frame for a Faraday cage to reduce noise experienced by the Sapphire Telemetry")</f>
        <v>Part of the frame for a Faraday cage to reduce noise experienced by the Sapphire Telemetry</v>
      </c>
      <c r="J65" s="2" t="str">
        <f>IFERROR(__xludf.DUMMYFUNCTION("""COMPUTED_VALUE"""),"6061 Aluminum")</f>
        <v>6061 Aluminum</v>
      </c>
      <c r="K65" s="2" t="str">
        <f>IFERROR(__xludf.DUMMYFUNCTION("""COMPUTED_VALUE"""),"Imperial")</f>
        <v>Imperial</v>
      </c>
      <c r="L65" s="2" t="str">
        <f>IFERROR(__xludf.DUMMYFUNCTION("""COMPUTED_VALUE"""),"Matthew Lok")</f>
        <v>Matthew Lok</v>
      </c>
      <c r="M65" s="26">
        <f>IFERROR(__xludf.DUMMYFUNCTION("""COMPUTED_VALUE"""),43498.0)</f>
        <v>43498</v>
      </c>
      <c r="N65" s="48" t="str">
        <f>IFERROR(__xludf.DUMMYFUNCTION("""COMPUTED_VALUE"""),"https://drive.google.com/open?id=17CnaL4x1WMZyE3c5h1o8FyzrN_xbPw2J")</f>
        <v>https://drive.google.com/open?id=17CnaL4x1WMZyE3c5h1o8FyzrN_xbPw2J</v>
      </c>
      <c r="O65" s="18" t="str">
        <f>IFERROR(__xludf.DUMMYFUNCTION("""COMPUTED_VALUE"""),"In Progress")</f>
        <v>In Progress</v>
      </c>
      <c r="P65" s="1" t="str">
        <f>IFERROR(__xludf.DUMMYFUNCTION("""COMPUTED_VALUE"""),"")</f>
        <v/>
      </c>
      <c r="Q65" s="1" t="str">
        <f>IFERROR(__xludf.DUMMYFUNCTION("""COMPUTED_VALUE"""),"")</f>
        <v/>
      </c>
      <c r="R65" s="1" t="str">
        <f>IFERROR(__xludf.DUMMYFUNCTION("""COMPUTED_VALUE"""),"")</f>
        <v/>
      </c>
      <c r="S65" s="1" t="str">
        <f>IFERROR(__xludf.DUMMYFUNCTION("""COMPUTED_VALUE"""),"")</f>
        <v/>
      </c>
      <c r="T65" s="1" t="str">
        <f>IFERROR(__xludf.DUMMYFUNCTION("""COMPUTED_VALUE"""),"")</f>
        <v/>
      </c>
      <c r="U65" s="1" t="str">
        <f>IFERROR(__xludf.DUMMYFUNCTION("""COMPUTED_VALUE"""),"")</f>
        <v/>
      </c>
      <c r="V65" s="1" t="str">
        <f>IFERROR(__xludf.DUMMYFUNCTION("""COMPUTED_VALUE"""),"")</f>
        <v/>
      </c>
      <c r="W65" s="1" t="str">
        <f>IFERROR(__xludf.DUMMYFUNCTION("""COMPUTED_VALUE"""),"")</f>
        <v/>
      </c>
      <c r="X65" s="1" t="str">
        <f>IFERROR(__xludf.DUMMYFUNCTION("""COMPUTED_VALUE"""),"")</f>
        <v/>
      </c>
      <c r="Y65" s="1" t="str">
        <f>IFERROR(__xludf.DUMMYFUNCTION("""COMPUTED_VALUE"""),"")</f>
        <v/>
      </c>
      <c r="Z65" s="1" t="str">
        <f>IFERROR(__xludf.DUMMYFUNCTION("""COMPUTED_VALUE"""),"")</f>
        <v/>
      </c>
      <c r="AA65" s="1" t="str">
        <f>IFERROR(__xludf.DUMMYFUNCTION("""COMPUTED_VALUE"""),"")</f>
        <v/>
      </c>
      <c r="AB65" s="1" t="str">
        <f>IFERROR(__xludf.DUMMYFUNCTION("""COMPUTED_VALUE"""),"")</f>
        <v/>
      </c>
      <c r="AC65" s="1"/>
      <c r="AD65" s="1"/>
      <c r="AE65" s="1"/>
      <c r="AF65" s="1"/>
      <c r="AG65" s="1"/>
      <c r="AH65" s="1"/>
      <c r="AI65" s="1"/>
      <c r="AJ65" s="1"/>
    </row>
    <row r="66">
      <c r="A66" s="7"/>
      <c r="B66" s="8"/>
      <c r="C66" s="9">
        <f>IFERROR(__xludf.DUMMYFUNCTION("""COMPUTED_VALUE"""),14039.0)</f>
        <v>14039</v>
      </c>
      <c r="D66" s="10" t="str">
        <f>IFERROR(__xludf.DUMMYFUNCTION("""COMPUTED_VALUE"""),"R01")</f>
        <v>R01</v>
      </c>
      <c r="E66" s="11" t="str">
        <f>IFERROR(__xludf.DUMMYFUNCTION("""COMPUTED_VALUE"""),"Launch Lug Right")</f>
        <v>Launch Lug Right</v>
      </c>
      <c r="F66" s="2" t="str">
        <f>IFERROR(__xludf.DUMMYFUNCTION("""COMPUTED_VALUE"""),"Structures")</f>
        <v>Structures</v>
      </c>
      <c r="G66" s="2" t="str">
        <f>IFERROR(__xludf.DUMMYFUNCTION("""COMPUTED_VALUE"""),"Solidworks")</f>
        <v>Solidworks</v>
      </c>
      <c r="H66" s="2" t="str">
        <f>IFERROR(__xludf.DUMMYFUNCTION("""COMPUTED_VALUE"""),"Marginal Stability")</f>
        <v>Marginal Stability</v>
      </c>
      <c r="I66" s="25" t="str">
        <f>IFERROR(__xludf.DUMMYFUNCTION("""COMPUTED_VALUE"""),"Right side of the launch lug.")</f>
        <v>Right side of the launch lug.</v>
      </c>
      <c r="J66" s="2" t="str">
        <f>IFERROR(__xludf.DUMMYFUNCTION("""COMPUTED_VALUE"""),"6062 Aluminum")</f>
        <v>6062 Aluminum</v>
      </c>
      <c r="K66" s="2" t="str">
        <f>IFERROR(__xludf.DUMMYFUNCTION("""COMPUTED_VALUE"""),"Imperial")</f>
        <v>Imperial</v>
      </c>
      <c r="L66" s="2" t="str">
        <f>IFERROR(__xludf.DUMMYFUNCTION("""COMPUTED_VALUE"""),"Andre Shahinian")</f>
        <v>Andre Shahinian</v>
      </c>
      <c r="M66" s="26">
        <f>IFERROR(__xludf.DUMMYFUNCTION("""COMPUTED_VALUE"""),43500.0)</f>
        <v>43500</v>
      </c>
      <c r="N66" s="48" t="str">
        <f>IFERROR(__xludf.DUMMYFUNCTION("""COMPUTED_VALUE"""),"https://drive.google.com/open?id=1tPmeflqazjcNnntDosmGCqzwQ1SngCpD")</f>
        <v>https://drive.google.com/open?id=1tPmeflqazjcNnntDosmGCqzwQ1SngCpD</v>
      </c>
      <c r="O66" s="18" t="str">
        <f>IFERROR(__xludf.DUMMYFUNCTION("""COMPUTED_VALUE"""),"In Progress")</f>
        <v>In Progress</v>
      </c>
      <c r="P66" s="1" t="str">
        <f>IFERROR(__xludf.DUMMYFUNCTION("""COMPUTED_VALUE"""),"")</f>
        <v/>
      </c>
      <c r="Q66" s="1" t="str">
        <f>IFERROR(__xludf.DUMMYFUNCTION("""COMPUTED_VALUE"""),"")</f>
        <v/>
      </c>
      <c r="R66" s="1" t="str">
        <f>IFERROR(__xludf.DUMMYFUNCTION("""COMPUTED_VALUE"""),"")</f>
        <v/>
      </c>
      <c r="S66" s="1" t="str">
        <f>IFERROR(__xludf.DUMMYFUNCTION("""COMPUTED_VALUE"""),"")</f>
        <v/>
      </c>
      <c r="T66" s="1" t="str">
        <f>IFERROR(__xludf.DUMMYFUNCTION("""COMPUTED_VALUE"""),"")</f>
        <v/>
      </c>
      <c r="U66" s="1" t="str">
        <f>IFERROR(__xludf.DUMMYFUNCTION("""COMPUTED_VALUE"""),"")</f>
        <v/>
      </c>
      <c r="V66" s="1" t="str">
        <f>IFERROR(__xludf.DUMMYFUNCTION("""COMPUTED_VALUE"""),"")</f>
        <v/>
      </c>
      <c r="W66" s="1" t="str">
        <f>IFERROR(__xludf.DUMMYFUNCTION("""COMPUTED_VALUE"""),"")</f>
        <v/>
      </c>
      <c r="X66" s="1" t="str">
        <f>IFERROR(__xludf.DUMMYFUNCTION("""COMPUTED_VALUE"""),"")</f>
        <v/>
      </c>
      <c r="Y66" s="1" t="str">
        <f>IFERROR(__xludf.DUMMYFUNCTION("""COMPUTED_VALUE"""),"")</f>
        <v/>
      </c>
      <c r="Z66" s="1" t="str">
        <f>IFERROR(__xludf.DUMMYFUNCTION("""COMPUTED_VALUE"""),"")</f>
        <v/>
      </c>
      <c r="AA66" s="1" t="str">
        <f>IFERROR(__xludf.DUMMYFUNCTION("""COMPUTED_VALUE"""),"")</f>
        <v/>
      </c>
      <c r="AB66" s="1" t="str">
        <f>IFERROR(__xludf.DUMMYFUNCTION("""COMPUTED_VALUE"""),"")</f>
        <v/>
      </c>
      <c r="AC66" s="1"/>
      <c r="AD66" s="1"/>
      <c r="AE66" s="1"/>
      <c r="AF66" s="1"/>
      <c r="AG66" s="1"/>
      <c r="AH66" s="1"/>
      <c r="AI66" s="1"/>
      <c r="AJ66" s="1"/>
    </row>
    <row r="67">
      <c r="A67" s="7"/>
      <c r="B67" s="8"/>
      <c r="C67" s="9">
        <f>IFERROR(__xludf.DUMMYFUNCTION("""COMPUTED_VALUE"""),14040.0)</f>
        <v>14040</v>
      </c>
      <c r="D67" s="10" t="str">
        <f>IFERROR(__xludf.DUMMYFUNCTION("""COMPUTED_VALUE"""),"R02")</f>
        <v>R02</v>
      </c>
      <c r="E67" s="11" t="str">
        <f>IFERROR(__xludf.DUMMYFUNCTION("""COMPUTED_VALUE"""),"Launch Lug Left")</f>
        <v>Launch Lug Left</v>
      </c>
      <c r="F67" s="2" t="str">
        <f>IFERROR(__xludf.DUMMYFUNCTION("""COMPUTED_VALUE"""),"Structures")</f>
        <v>Structures</v>
      </c>
      <c r="G67" s="2" t="str">
        <f>IFERROR(__xludf.DUMMYFUNCTION("""COMPUTED_VALUE"""),"Solidworks")</f>
        <v>Solidworks</v>
      </c>
      <c r="H67" s="2" t="str">
        <f>IFERROR(__xludf.DUMMYFUNCTION("""COMPUTED_VALUE"""),"Marginal Stability")</f>
        <v>Marginal Stability</v>
      </c>
      <c r="I67" s="12" t="str">
        <f>IFERROR(__xludf.DUMMYFUNCTION("""COMPUTED_VALUE"""),"Left side of the launch lug.")</f>
        <v>Left side of the launch lug.</v>
      </c>
      <c r="J67" s="2" t="str">
        <f>IFERROR(__xludf.DUMMYFUNCTION("""COMPUTED_VALUE"""),"6063 Aluminum")</f>
        <v>6063 Aluminum</v>
      </c>
      <c r="K67" s="2" t="str">
        <f>IFERROR(__xludf.DUMMYFUNCTION("""COMPUTED_VALUE"""),"Imperial")</f>
        <v>Imperial</v>
      </c>
      <c r="L67" s="2" t="str">
        <f>IFERROR(__xludf.DUMMYFUNCTION("""COMPUTED_VALUE"""),"Andre Shahinian")</f>
        <v>Andre Shahinian</v>
      </c>
      <c r="M67" s="26">
        <f>IFERROR(__xludf.DUMMYFUNCTION("""COMPUTED_VALUE"""),43500.0)</f>
        <v>43500</v>
      </c>
      <c r="N67" s="48" t="str">
        <f>IFERROR(__xludf.DUMMYFUNCTION("""COMPUTED_VALUE"""),"https://drive.google.com/open?id=1qoVaKBtErMi4gwbuTdwJo4kUs-86QIvG")</f>
        <v>https://drive.google.com/open?id=1qoVaKBtErMi4gwbuTdwJo4kUs-86QIvG</v>
      </c>
      <c r="O67" s="18" t="str">
        <f>IFERROR(__xludf.DUMMYFUNCTION("""COMPUTED_VALUE"""),"In Progress")</f>
        <v>In Progress</v>
      </c>
      <c r="P67" s="1" t="str">
        <f>IFERROR(__xludf.DUMMYFUNCTION("""COMPUTED_VALUE"""),"")</f>
        <v/>
      </c>
      <c r="Q67" s="1" t="str">
        <f>IFERROR(__xludf.DUMMYFUNCTION("""COMPUTED_VALUE"""),"")</f>
        <v/>
      </c>
      <c r="R67" s="1" t="str">
        <f>IFERROR(__xludf.DUMMYFUNCTION("""COMPUTED_VALUE"""),"")</f>
        <v/>
      </c>
      <c r="S67" s="1" t="str">
        <f>IFERROR(__xludf.DUMMYFUNCTION("""COMPUTED_VALUE"""),"")</f>
        <v/>
      </c>
      <c r="T67" s="1" t="str">
        <f>IFERROR(__xludf.DUMMYFUNCTION("""COMPUTED_VALUE"""),"")</f>
        <v/>
      </c>
      <c r="U67" s="1" t="str">
        <f>IFERROR(__xludf.DUMMYFUNCTION("""COMPUTED_VALUE"""),"")</f>
        <v/>
      </c>
      <c r="V67" s="1" t="str">
        <f>IFERROR(__xludf.DUMMYFUNCTION("""COMPUTED_VALUE"""),"")</f>
        <v/>
      </c>
      <c r="W67" s="1" t="str">
        <f>IFERROR(__xludf.DUMMYFUNCTION("""COMPUTED_VALUE"""),"")</f>
        <v/>
      </c>
      <c r="X67" s="1" t="str">
        <f>IFERROR(__xludf.DUMMYFUNCTION("""COMPUTED_VALUE"""),"")</f>
        <v/>
      </c>
      <c r="Y67" s="1" t="str">
        <f>IFERROR(__xludf.DUMMYFUNCTION("""COMPUTED_VALUE"""),"")</f>
        <v/>
      </c>
      <c r="Z67" s="1" t="str">
        <f>IFERROR(__xludf.DUMMYFUNCTION("""COMPUTED_VALUE"""),"")</f>
        <v/>
      </c>
      <c r="AA67" s="1" t="str">
        <f>IFERROR(__xludf.DUMMYFUNCTION("""COMPUTED_VALUE"""),"")</f>
        <v/>
      </c>
      <c r="AB67" s="1" t="str">
        <f>IFERROR(__xludf.DUMMYFUNCTION("""COMPUTED_VALUE"""),"")</f>
        <v/>
      </c>
      <c r="AC67" s="1"/>
      <c r="AD67" s="1"/>
      <c r="AE67" s="1"/>
      <c r="AF67" s="1"/>
      <c r="AG67" s="1"/>
      <c r="AH67" s="1"/>
      <c r="AI67" s="1"/>
      <c r="AJ67" s="1"/>
    </row>
    <row r="68">
      <c r="A68" s="7"/>
      <c r="B68" s="8"/>
      <c r="C68" s="9">
        <f>IFERROR(__xludf.DUMMYFUNCTION("""COMPUTED_VALUE"""),14041.0)</f>
        <v>14041</v>
      </c>
      <c r="D68" s="10" t="str">
        <f>IFERROR(__xludf.DUMMYFUNCTION("""COMPUTED_VALUE"""),"R01")</f>
        <v>R01</v>
      </c>
      <c r="E68" s="11" t="str">
        <f>IFERROR(__xludf.DUMMYFUNCTION("""COMPUTED_VALUE"""),"Recovery Pressure Tank Bulkhead")</f>
        <v>Recovery Pressure Tank Bulkhead</v>
      </c>
      <c r="F68" s="2" t="str">
        <f>IFERROR(__xludf.DUMMYFUNCTION("""COMPUTED_VALUE"""),"Structures")</f>
        <v>Structures</v>
      </c>
      <c r="G68" s="2" t="str">
        <f>IFERROR(__xludf.DUMMYFUNCTION("""COMPUTED_VALUE"""),"Solidworks")</f>
        <v>Solidworks</v>
      </c>
      <c r="H68" s="2" t="str">
        <f>IFERROR(__xludf.DUMMYFUNCTION("""COMPUTED_VALUE"""),"Marginal Stability")</f>
        <v>Marginal Stability</v>
      </c>
      <c r="I68" s="12" t="str">
        <f>IFERROR(__xludf.DUMMYFUNCTION("""COMPUTED_VALUE"""),"Holds the Recovery Pressure Tank in place")</f>
        <v>Holds the Recovery Pressure Tank in place</v>
      </c>
      <c r="J68" s="2" t="str">
        <f>IFERROR(__xludf.DUMMYFUNCTION("""COMPUTED_VALUE"""),"6061 Aluminium")</f>
        <v>6061 Aluminium</v>
      </c>
      <c r="K68" s="2" t="str">
        <f>IFERROR(__xludf.DUMMYFUNCTION("""COMPUTED_VALUE"""),"Imperial")</f>
        <v>Imperial</v>
      </c>
      <c r="L68" s="2" t="str">
        <f>IFERROR(__xludf.DUMMYFUNCTION("""COMPUTED_VALUE"""),"Andrew Bilan")</f>
        <v>Andrew Bilan</v>
      </c>
      <c r="M68" s="26">
        <f>IFERROR(__xludf.DUMMYFUNCTION("""COMPUTED_VALUE"""),43501.0)</f>
        <v>43501</v>
      </c>
      <c r="N68" s="48" t="str">
        <f>IFERROR(__xludf.DUMMYFUNCTION("""COMPUTED_VALUE"""),"https://drive.google.com/drive/folders/1pEUuzC4hwV5AJEftRQrDAZ70En_CcXPE")</f>
        <v>https://drive.google.com/drive/folders/1pEUuzC4hwV5AJEftRQrDAZ70En_CcXPE</v>
      </c>
      <c r="O68" s="18" t="str">
        <f>IFERROR(__xludf.DUMMYFUNCTION("""COMPUTED_VALUE"""),"In Progress")</f>
        <v>In Progress</v>
      </c>
      <c r="P68" s="1" t="str">
        <f>IFERROR(__xludf.DUMMYFUNCTION("""COMPUTED_VALUE"""),"")</f>
        <v/>
      </c>
      <c r="Q68" s="1" t="str">
        <f>IFERROR(__xludf.DUMMYFUNCTION("""COMPUTED_VALUE"""),"")</f>
        <v/>
      </c>
      <c r="R68" s="1" t="str">
        <f>IFERROR(__xludf.DUMMYFUNCTION("""COMPUTED_VALUE"""),"")</f>
        <v/>
      </c>
      <c r="S68" s="1" t="str">
        <f>IFERROR(__xludf.DUMMYFUNCTION("""COMPUTED_VALUE"""),"")</f>
        <v/>
      </c>
      <c r="T68" s="1" t="str">
        <f>IFERROR(__xludf.DUMMYFUNCTION("""COMPUTED_VALUE"""),"")</f>
        <v/>
      </c>
      <c r="U68" s="1" t="str">
        <f>IFERROR(__xludf.DUMMYFUNCTION("""COMPUTED_VALUE"""),"")</f>
        <v/>
      </c>
      <c r="V68" s="1" t="str">
        <f>IFERROR(__xludf.DUMMYFUNCTION("""COMPUTED_VALUE"""),"")</f>
        <v/>
      </c>
      <c r="W68" s="1" t="str">
        <f>IFERROR(__xludf.DUMMYFUNCTION("""COMPUTED_VALUE"""),"")</f>
        <v/>
      </c>
      <c r="X68" s="1" t="str">
        <f>IFERROR(__xludf.DUMMYFUNCTION("""COMPUTED_VALUE"""),"")</f>
        <v/>
      </c>
      <c r="Y68" s="1" t="str">
        <f>IFERROR(__xludf.DUMMYFUNCTION("""COMPUTED_VALUE"""),"")</f>
        <v/>
      </c>
      <c r="Z68" s="1" t="str">
        <f>IFERROR(__xludf.DUMMYFUNCTION("""COMPUTED_VALUE"""),"")</f>
        <v/>
      </c>
      <c r="AA68" s="1" t="str">
        <f>IFERROR(__xludf.DUMMYFUNCTION("""COMPUTED_VALUE"""),"")</f>
        <v/>
      </c>
      <c r="AB68" s="1" t="str">
        <f>IFERROR(__xludf.DUMMYFUNCTION("""COMPUTED_VALUE"""),"")</f>
        <v/>
      </c>
      <c r="AC68" s="1"/>
      <c r="AD68" s="1"/>
      <c r="AE68" s="1"/>
      <c r="AF68" s="1"/>
      <c r="AG68" s="1"/>
      <c r="AH68" s="1"/>
      <c r="AI68" s="1"/>
      <c r="AJ68" s="1"/>
    </row>
    <row r="69">
      <c r="A69" s="7"/>
      <c r="B69" s="8"/>
      <c r="C69" s="9">
        <f>IFERROR(__xludf.DUMMYFUNCTION("""COMPUTED_VALUE"""),14042.0)</f>
        <v>14042</v>
      </c>
      <c r="D69" s="10" t="str">
        <f>IFERROR(__xludf.DUMMYFUNCTION("""COMPUTED_VALUE"""),"R02")</f>
        <v>R02</v>
      </c>
      <c r="E69" s="11" t="str">
        <f>IFERROR(__xludf.DUMMYFUNCTION("""COMPUTED_VALUE"""),"Drogue Pulley Lower")</f>
        <v>Drogue Pulley Lower</v>
      </c>
      <c r="F69" s="2" t="str">
        <f>IFERROR(__xludf.DUMMYFUNCTION("""COMPUTED_VALUE"""),"Structures")</f>
        <v>Structures</v>
      </c>
      <c r="G69" s="2" t="str">
        <f>IFERROR(__xludf.DUMMYFUNCTION("""COMPUTED_VALUE"""),"Solidworks")</f>
        <v>Solidworks</v>
      </c>
      <c r="H69" s="2" t="str">
        <f>IFERROR(__xludf.DUMMYFUNCTION("""COMPUTED_VALUE"""),"Marginal Stability")</f>
        <v>Marginal Stability</v>
      </c>
      <c r="I69" s="12" t="str">
        <f>IFERROR(__xludf.DUMMYFUNCTION("""COMPUTED_VALUE"""),"Lower half of pulley that holds drogue line")</f>
        <v>Lower half of pulley that holds drogue line</v>
      </c>
      <c r="J69" s="2" t="str">
        <f>IFERROR(__xludf.DUMMYFUNCTION("""COMPUTED_VALUE"""),"6061 Aluminum")</f>
        <v>6061 Aluminum</v>
      </c>
      <c r="K69" s="2" t="str">
        <f>IFERROR(__xludf.DUMMYFUNCTION("""COMPUTED_VALUE"""),"Imperial")</f>
        <v>Imperial</v>
      </c>
      <c r="L69" s="2" t="str">
        <f>IFERROR(__xludf.DUMMYFUNCTION("""COMPUTED_VALUE"""),"Kyle Gore")</f>
        <v>Kyle Gore</v>
      </c>
      <c r="M69" s="26">
        <f>IFERROR(__xludf.DUMMYFUNCTION("""COMPUTED_VALUE"""),43501.0)</f>
        <v>43501</v>
      </c>
      <c r="N69" s="37" t="str">
        <f>IFERROR(__xludf.DUMMYFUNCTION("""COMPUTED_VALUE"""),"")</f>
        <v/>
      </c>
      <c r="O69" s="18" t="str">
        <f>IFERROR(__xludf.DUMMYFUNCTION("""COMPUTED_VALUE"""),"In Progress")</f>
        <v>In Progress</v>
      </c>
      <c r="P69" s="1" t="str">
        <f>IFERROR(__xludf.DUMMYFUNCTION("""COMPUTED_VALUE"""),"")</f>
        <v/>
      </c>
      <c r="Q69" s="1" t="str">
        <f>IFERROR(__xludf.DUMMYFUNCTION("""COMPUTED_VALUE"""),"")</f>
        <v/>
      </c>
      <c r="R69" s="1" t="str">
        <f>IFERROR(__xludf.DUMMYFUNCTION("""COMPUTED_VALUE"""),"")</f>
        <v/>
      </c>
      <c r="S69" s="1" t="str">
        <f>IFERROR(__xludf.DUMMYFUNCTION("""COMPUTED_VALUE"""),"")</f>
        <v/>
      </c>
      <c r="T69" s="1" t="str">
        <f>IFERROR(__xludf.DUMMYFUNCTION("""COMPUTED_VALUE"""),"")</f>
        <v/>
      </c>
      <c r="U69" s="1" t="str">
        <f>IFERROR(__xludf.DUMMYFUNCTION("""COMPUTED_VALUE"""),"")</f>
        <v/>
      </c>
      <c r="V69" s="1" t="str">
        <f>IFERROR(__xludf.DUMMYFUNCTION("""COMPUTED_VALUE"""),"")</f>
        <v/>
      </c>
      <c r="W69" s="1" t="str">
        <f>IFERROR(__xludf.DUMMYFUNCTION("""COMPUTED_VALUE"""),"")</f>
        <v/>
      </c>
      <c r="X69" s="1" t="str">
        <f>IFERROR(__xludf.DUMMYFUNCTION("""COMPUTED_VALUE"""),"")</f>
        <v/>
      </c>
      <c r="Y69" s="1" t="str">
        <f>IFERROR(__xludf.DUMMYFUNCTION("""COMPUTED_VALUE"""),"")</f>
        <v/>
      </c>
      <c r="Z69" s="1" t="str">
        <f>IFERROR(__xludf.DUMMYFUNCTION("""COMPUTED_VALUE"""),"")</f>
        <v/>
      </c>
      <c r="AA69" s="1" t="str">
        <f>IFERROR(__xludf.DUMMYFUNCTION("""COMPUTED_VALUE"""),"")</f>
        <v/>
      </c>
      <c r="AB69" s="1" t="str">
        <f>IFERROR(__xludf.DUMMYFUNCTION("""COMPUTED_VALUE"""),"")</f>
        <v/>
      </c>
      <c r="AC69" s="1"/>
      <c r="AD69" s="1"/>
      <c r="AE69" s="1"/>
      <c r="AF69" s="1"/>
      <c r="AG69" s="1"/>
      <c r="AH69" s="1"/>
      <c r="AI69" s="1"/>
      <c r="AJ69" s="1"/>
    </row>
    <row r="70">
      <c r="A70" s="7"/>
      <c r="B70" s="8"/>
      <c r="C70" s="9">
        <f>IFERROR(__xludf.DUMMYFUNCTION("""COMPUTED_VALUE"""),14043.0)</f>
        <v>14043</v>
      </c>
      <c r="D70" s="10" t="str">
        <f>IFERROR(__xludf.DUMMYFUNCTION("""COMPUTED_VALUE"""),"R02")</f>
        <v>R02</v>
      </c>
      <c r="E70" s="11" t="str">
        <f>IFERROR(__xludf.DUMMYFUNCTION("""COMPUTED_VALUE"""),"Drogue Pulley Lower L Bracket")</f>
        <v>Drogue Pulley Lower L Bracket</v>
      </c>
      <c r="F70" s="2" t="str">
        <f>IFERROR(__xludf.DUMMYFUNCTION("""COMPUTED_VALUE"""),"Structures")</f>
        <v>Structures</v>
      </c>
      <c r="G70" s="2" t="str">
        <f>IFERROR(__xludf.DUMMYFUNCTION("""COMPUTED_VALUE"""),"Solidworks")</f>
        <v>Solidworks</v>
      </c>
      <c r="H70" s="2" t="str">
        <f>IFERROR(__xludf.DUMMYFUNCTION("""COMPUTED_VALUE"""),"Marginal Stability")</f>
        <v>Marginal Stability</v>
      </c>
      <c r="I70" s="12" t="str">
        <f>IFERROR(__xludf.DUMMYFUNCTION("""COMPUTED_VALUE"""),"Bracket to mount drogue pulley")</f>
        <v>Bracket to mount drogue pulley</v>
      </c>
      <c r="J70" s="2" t="str">
        <f>IFERROR(__xludf.DUMMYFUNCTION("""COMPUTED_VALUE"""),"6061 Aluminum")</f>
        <v>6061 Aluminum</v>
      </c>
      <c r="K70" s="2" t="str">
        <f>IFERROR(__xludf.DUMMYFUNCTION("""COMPUTED_VALUE"""),"Imperial")</f>
        <v>Imperial</v>
      </c>
      <c r="L70" s="2" t="str">
        <f>IFERROR(__xludf.DUMMYFUNCTION("""COMPUTED_VALUE"""),"Kyle Gore")</f>
        <v>Kyle Gore</v>
      </c>
      <c r="M70" s="26">
        <f>IFERROR(__xludf.DUMMYFUNCTION("""COMPUTED_VALUE"""),43501.0)</f>
        <v>43501</v>
      </c>
      <c r="N70" s="37" t="str">
        <f>IFERROR(__xludf.DUMMYFUNCTION("""COMPUTED_VALUE"""),"")</f>
        <v/>
      </c>
      <c r="O70" s="18" t="str">
        <f>IFERROR(__xludf.DUMMYFUNCTION("""COMPUTED_VALUE"""),"In Progress")</f>
        <v>In Progress</v>
      </c>
      <c r="P70" s="1" t="str">
        <f>IFERROR(__xludf.DUMMYFUNCTION("""COMPUTED_VALUE"""),"")</f>
        <v/>
      </c>
      <c r="Q70" s="1" t="str">
        <f>IFERROR(__xludf.DUMMYFUNCTION("""COMPUTED_VALUE"""),"")</f>
        <v/>
      </c>
      <c r="R70" s="1" t="str">
        <f>IFERROR(__xludf.DUMMYFUNCTION("""COMPUTED_VALUE"""),"")</f>
        <v/>
      </c>
      <c r="S70" s="1" t="str">
        <f>IFERROR(__xludf.DUMMYFUNCTION("""COMPUTED_VALUE"""),"")</f>
        <v/>
      </c>
      <c r="T70" s="1" t="str">
        <f>IFERROR(__xludf.DUMMYFUNCTION("""COMPUTED_VALUE"""),"")</f>
        <v/>
      </c>
      <c r="U70" s="1" t="str">
        <f>IFERROR(__xludf.DUMMYFUNCTION("""COMPUTED_VALUE"""),"")</f>
        <v/>
      </c>
      <c r="V70" s="1" t="str">
        <f>IFERROR(__xludf.DUMMYFUNCTION("""COMPUTED_VALUE"""),"")</f>
        <v/>
      </c>
      <c r="W70" s="1" t="str">
        <f>IFERROR(__xludf.DUMMYFUNCTION("""COMPUTED_VALUE"""),"")</f>
        <v/>
      </c>
      <c r="X70" s="1" t="str">
        <f>IFERROR(__xludf.DUMMYFUNCTION("""COMPUTED_VALUE"""),"")</f>
        <v/>
      </c>
      <c r="Y70" s="1" t="str">
        <f>IFERROR(__xludf.DUMMYFUNCTION("""COMPUTED_VALUE"""),"")</f>
        <v/>
      </c>
      <c r="Z70" s="1" t="str">
        <f>IFERROR(__xludf.DUMMYFUNCTION("""COMPUTED_VALUE"""),"")</f>
        <v/>
      </c>
      <c r="AA70" s="1" t="str">
        <f>IFERROR(__xludf.DUMMYFUNCTION("""COMPUTED_VALUE"""),"")</f>
        <v/>
      </c>
      <c r="AB70" s="1" t="str">
        <f>IFERROR(__xludf.DUMMYFUNCTION("""COMPUTED_VALUE"""),"")</f>
        <v/>
      </c>
      <c r="AC70" s="1"/>
      <c r="AD70" s="1"/>
      <c r="AE70" s="1"/>
      <c r="AF70" s="1"/>
      <c r="AG70" s="1"/>
      <c r="AH70" s="1"/>
      <c r="AI70" s="1"/>
      <c r="AJ70" s="1"/>
    </row>
    <row r="71">
      <c r="A71" s="7"/>
      <c r="B71" s="8"/>
      <c r="C71" s="9">
        <f>IFERROR(__xludf.DUMMYFUNCTION("""COMPUTED_VALUE"""),14044.0)</f>
        <v>14044</v>
      </c>
      <c r="D71" s="10" t="str">
        <f>IFERROR(__xludf.DUMMYFUNCTION("""COMPUTED_VALUE"""),"R01")</f>
        <v>R01</v>
      </c>
      <c r="E71" s="11" t="str">
        <f>IFERROR(__xludf.DUMMYFUNCTION("""COMPUTED_VALUE"""),"Parachute Stand-In")</f>
        <v>Parachute Stand-In</v>
      </c>
      <c r="F71" s="2" t="str">
        <f>IFERROR(__xludf.DUMMYFUNCTION("""COMPUTED_VALUE"""),"Structures")</f>
        <v>Structures</v>
      </c>
      <c r="G71" s="2" t="str">
        <f>IFERROR(__xludf.DUMMYFUNCTION("""COMPUTED_VALUE"""),"Solidworks")</f>
        <v>Solidworks</v>
      </c>
      <c r="H71" s="2" t="str">
        <f>IFERROR(__xludf.DUMMYFUNCTION("""COMPUTED_VALUE"""),"Marginal Stability")</f>
        <v>Marginal Stability</v>
      </c>
      <c r="I71" s="25" t="str">
        <f>IFERROR(__xludf.DUMMYFUNCTION("""COMPUTED_VALUE"""),"Reserves space for parachute")</f>
        <v>Reserves space for parachute</v>
      </c>
      <c r="J71" s="2" t="str">
        <f>IFERROR(__xludf.DUMMYFUNCTION("""COMPUTED_VALUE"""),"Nylon")</f>
        <v>Nylon</v>
      </c>
      <c r="K71" s="2" t="str">
        <f>IFERROR(__xludf.DUMMYFUNCTION("""COMPUTED_VALUE"""),"Imperial")</f>
        <v>Imperial</v>
      </c>
      <c r="L71" s="2" t="str">
        <f>IFERROR(__xludf.DUMMYFUNCTION("""COMPUTED_VALUE"""),"Kyle Gore")</f>
        <v>Kyle Gore</v>
      </c>
      <c r="M71" s="26">
        <f>IFERROR(__xludf.DUMMYFUNCTION("""COMPUTED_VALUE"""),43505.0)</f>
        <v>43505</v>
      </c>
      <c r="N71" s="48" t="str">
        <f>IFERROR(__xludf.DUMMYFUNCTION("""COMPUTED_VALUE"""),"https://drive.google.com/open?id=1Yvgxqbqpe6AMNrbDvi0h6uv4kb6Ib-lw")</f>
        <v>https://drive.google.com/open?id=1Yvgxqbqpe6AMNrbDvi0h6uv4kb6Ib-lw</v>
      </c>
      <c r="O71" s="18" t="str">
        <f>IFERROR(__xludf.DUMMYFUNCTION("""COMPUTED_VALUE"""),"In Progress")</f>
        <v>In Progress</v>
      </c>
      <c r="P71" s="1" t="str">
        <f>IFERROR(__xludf.DUMMYFUNCTION("""COMPUTED_VALUE"""),"")</f>
        <v/>
      </c>
      <c r="Q71" s="1" t="str">
        <f>IFERROR(__xludf.DUMMYFUNCTION("""COMPUTED_VALUE"""),"")</f>
        <v/>
      </c>
      <c r="R71" s="1" t="str">
        <f>IFERROR(__xludf.DUMMYFUNCTION("""COMPUTED_VALUE"""),"")</f>
        <v/>
      </c>
      <c r="S71" s="1" t="str">
        <f>IFERROR(__xludf.DUMMYFUNCTION("""COMPUTED_VALUE"""),"")</f>
        <v/>
      </c>
      <c r="T71" s="1" t="str">
        <f>IFERROR(__xludf.DUMMYFUNCTION("""COMPUTED_VALUE"""),"")</f>
        <v/>
      </c>
      <c r="U71" s="1" t="str">
        <f>IFERROR(__xludf.DUMMYFUNCTION("""COMPUTED_VALUE"""),"")</f>
        <v/>
      </c>
      <c r="V71" s="1" t="str">
        <f>IFERROR(__xludf.DUMMYFUNCTION("""COMPUTED_VALUE"""),"")</f>
        <v/>
      </c>
      <c r="W71" s="1" t="str">
        <f>IFERROR(__xludf.DUMMYFUNCTION("""COMPUTED_VALUE"""),"")</f>
        <v/>
      </c>
      <c r="X71" s="1" t="str">
        <f>IFERROR(__xludf.DUMMYFUNCTION("""COMPUTED_VALUE"""),"")</f>
        <v/>
      </c>
      <c r="Y71" s="1" t="str">
        <f>IFERROR(__xludf.DUMMYFUNCTION("""COMPUTED_VALUE"""),"")</f>
        <v/>
      </c>
      <c r="Z71" s="1" t="str">
        <f>IFERROR(__xludf.DUMMYFUNCTION("""COMPUTED_VALUE"""),"")</f>
        <v/>
      </c>
      <c r="AA71" s="1" t="str">
        <f>IFERROR(__xludf.DUMMYFUNCTION("""COMPUTED_VALUE"""),"")</f>
        <v/>
      </c>
      <c r="AB71" s="1" t="str">
        <f>IFERROR(__xludf.DUMMYFUNCTION("""COMPUTED_VALUE"""),"")</f>
        <v/>
      </c>
      <c r="AC71" s="1"/>
      <c r="AD71" s="1"/>
      <c r="AE71" s="1"/>
      <c r="AF71" s="1"/>
      <c r="AG71" s="1"/>
      <c r="AH71" s="1"/>
      <c r="AI71" s="1"/>
      <c r="AJ71" s="1"/>
    </row>
    <row r="72">
      <c r="A72" s="7"/>
      <c r="B72" s="8"/>
      <c r="C72" s="9">
        <f>IFERROR(__xludf.DUMMYFUNCTION("""COMPUTED_VALUE"""),14045.0)</f>
        <v>14045</v>
      </c>
      <c r="D72" s="10" t="str">
        <f>IFERROR(__xludf.DUMMYFUNCTION("""COMPUTED_VALUE"""),"R01")</f>
        <v>R01</v>
      </c>
      <c r="E72" s="11" t="str">
        <f>IFERROR(__xludf.DUMMYFUNCTION("""COMPUTED_VALUE"""),"Ejection Gusset")</f>
        <v>Ejection Gusset</v>
      </c>
      <c r="F72" s="2" t="str">
        <f>IFERROR(__xludf.DUMMYFUNCTION("""COMPUTED_VALUE"""),"Structures")</f>
        <v>Structures</v>
      </c>
      <c r="G72" s="2" t="str">
        <f>IFERROR(__xludf.DUMMYFUNCTION("""COMPUTED_VALUE"""),"Solidworks")</f>
        <v>Solidworks</v>
      </c>
      <c r="H72" s="2" t="str">
        <f>IFERROR(__xludf.DUMMYFUNCTION("""COMPUTED_VALUE"""),"Marginal Stability")</f>
        <v>Marginal Stability</v>
      </c>
      <c r="I72" s="25" t="str">
        <f>IFERROR(__xludf.DUMMYFUNCTION("""COMPUTED_VALUE"""),"Attaches L-brackets together for recovery ejector")</f>
        <v>Attaches L-brackets together for recovery ejector</v>
      </c>
      <c r="J72" s="2" t="str">
        <f>IFERROR(__xludf.DUMMYFUNCTION("""COMPUTED_VALUE"""),"Steel")</f>
        <v>Steel</v>
      </c>
      <c r="K72" s="2" t="str">
        <f>IFERROR(__xludf.DUMMYFUNCTION("""COMPUTED_VALUE"""),"Imperial")</f>
        <v>Imperial</v>
      </c>
      <c r="L72" s="2" t="str">
        <f>IFERROR(__xludf.DUMMYFUNCTION("""COMPUTED_VALUE"""),"Bryce Borders")</f>
        <v>Bryce Borders</v>
      </c>
      <c r="M72" s="26">
        <f>IFERROR(__xludf.DUMMYFUNCTION("""COMPUTED_VALUE"""),43507.0)</f>
        <v>43507</v>
      </c>
      <c r="N72" s="37" t="str">
        <f>IFERROR(__xludf.DUMMYFUNCTION("""COMPUTED_VALUE"""),"")</f>
        <v/>
      </c>
      <c r="O72" s="18" t="str">
        <f>IFERROR(__xludf.DUMMYFUNCTION("""COMPUTED_VALUE"""),"In Progress")</f>
        <v>In Progress</v>
      </c>
      <c r="P72" s="1" t="str">
        <f>IFERROR(__xludf.DUMMYFUNCTION("""COMPUTED_VALUE"""),"")</f>
        <v/>
      </c>
      <c r="Q72" s="1" t="str">
        <f>IFERROR(__xludf.DUMMYFUNCTION("""COMPUTED_VALUE"""),"")</f>
        <v/>
      </c>
      <c r="R72" s="1" t="str">
        <f>IFERROR(__xludf.DUMMYFUNCTION("""COMPUTED_VALUE"""),"")</f>
        <v/>
      </c>
      <c r="S72" s="1" t="str">
        <f>IFERROR(__xludf.DUMMYFUNCTION("""COMPUTED_VALUE"""),"")</f>
        <v/>
      </c>
      <c r="T72" s="1" t="str">
        <f>IFERROR(__xludf.DUMMYFUNCTION("""COMPUTED_VALUE"""),"")</f>
        <v/>
      </c>
      <c r="U72" s="1" t="str">
        <f>IFERROR(__xludf.DUMMYFUNCTION("""COMPUTED_VALUE"""),"")</f>
        <v/>
      </c>
      <c r="V72" s="1" t="str">
        <f>IFERROR(__xludf.DUMMYFUNCTION("""COMPUTED_VALUE"""),"")</f>
        <v/>
      </c>
      <c r="W72" s="1" t="str">
        <f>IFERROR(__xludf.DUMMYFUNCTION("""COMPUTED_VALUE"""),"")</f>
        <v/>
      </c>
      <c r="X72" s="1" t="str">
        <f>IFERROR(__xludf.DUMMYFUNCTION("""COMPUTED_VALUE"""),"")</f>
        <v/>
      </c>
      <c r="Y72" s="1" t="str">
        <f>IFERROR(__xludf.DUMMYFUNCTION("""COMPUTED_VALUE"""),"")</f>
        <v/>
      </c>
      <c r="Z72" s="1" t="str">
        <f>IFERROR(__xludf.DUMMYFUNCTION("""COMPUTED_VALUE"""),"")</f>
        <v/>
      </c>
      <c r="AA72" s="1" t="str">
        <f>IFERROR(__xludf.DUMMYFUNCTION("""COMPUTED_VALUE"""),"")</f>
        <v/>
      </c>
      <c r="AB72" s="1" t="str">
        <f>IFERROR(__xludf.DUMMYFUNCTION("""COMPUTED_VALUE"""),"")</f>
        <v/>
      </c>
      <c r="AC72" s="1"/>
      <c r="AD72" s="1"/>
      <c r="AE72" s="1"/>
      <c r="AF72" s="1"/>
      <c r="AG72" s="1"/>
      <c r="AH72" s="1"/>
      <c r="AI72" s="1"/>
      <c r="AJ72" s="1"/>
    </row>
    <row r="73">
      <c r="A73" s="7"/>
      <c r="B73" s="8"/>
      <c r="C73" s="9">
        <f>IFERROR(__xludf.DUMMYFUNCTION("""COMPUTED_VALUE"""),14046.0)</f>
        <v>14046</v>
      </c>
      <c r="D73" s="10" t="str">
        <f>IFERROR(__xludf.DUMMYFUNCTION("""COMPUTED_VALUE"""),"R01")</f>
        <v>R01</v>
      </c>
      <c r="E73" s="11" t="str">
        <f>IFERROR(__xludf.DUMMYFUNCTION("""COMPUTED_VALUE"""),"Drogue Pulley Upper")</f>
        <v>Drogue Pulley Upper</v>
      </c>
      <c r="F73" s="2" t="str">
        <f>IFERROR(__xludf.DUMMYFUNCTION("""COMPUTED_VALUE"""),"Structures")</f>
        <v>Structures</v>
      </c>
      <c r="G73" s="2" t="str">
        <f>IFERROR(__xludf.DUMMYFUNCTION("""COMPUTED_VALUE"""),"Solidworks")</f>
        <v>Solidworks</v>
      </c>
      <c r="H73" s="2" t="str">
        <f>IFERROR(__xludf.DUMMYFUNCTION("""COMPUTED_VALUE"""),"Marginal Stability")</f>
        <v>Marginal Stability</v>
      </c>
      <c r="I73" s="12" t="str">
        <f>IFERROR(__xludf.DUMMYFUNCTION("""COMPUTED_VALUE"""),"Upper half of drogue pulley")</f>
        <v>Upper half of drogue pulley</v>
      </c>
      <c r="J73" s="2" t="str">
        <f>IFERROR(__xludf.DUMMYFUNCTION("""COMPUTED_VALUE"""),"6061 Aluminum")</f>
        <v>6061 Aluminum</v>
      </c>
      <c r="K73" s="2" t="str">
        <f>IFERROR(__xludf.DUMMYFUNCTION("""COMPUTED_VALUE"""),"Imperial")</f>
        <v>Imperial</v>
      </c>
      <c r="L73" s="2" t="str">
        <f>IFERROR(__xludf.DUMMYFUNCTION("""COMPUTED_VALUE"""),"Kyle Gore")</f>
        <v>Kyle Gore</v>
      </c>
      <c r="M73" s="26">
        <f>IFERROR(__xludf.DUMMYFUNCTION("""COMPUTED_VALUE"""),43512.0)</f>
        <v>43512</v>
      </c>
      <c r="N73" s="37" t="str">
        <f>IFERROR(__xludf.DUMMYFUNCTION("""COMPUTED_VALUE"""),"")</f>
        <v/>
      </c>
      <c r="O73" s="18" t="str">
        <f>IFERROR(__xludf.DUMMYFUNCTION("""COMPUTED_VALUE"""),"In Progress")</f>
        <v>In Progress</v>
      </c>
      <c r="P73" s="1" t="str">
        <f>IFERROR(__xludf.DUMMYFUNCTION("""COMPUTED_VALUE"""),"")</f>
        <v/>
      </c>
      <c r="Q73" s="1" t="str">
        <f>IFERROR(__xludf.DUMMYFUNCTION("""COMPUTED_VALUE"""),"")</f>
        <v/>
      </c>
      <c r="R73" s="1" t="str">
        <f>IFERROR(__xludf.DUMMYFUNCTION("""COMPUTED_VALUE"""),"")</f>
        <v/>
      </c>
      <c r="S73" s="1" t="str">
        <f>IFERROR(__xludf.DUMMYFUNCTION("""COMPUTED_VALUE"""),"")</f>
        <v/>
      </c>
      <c r="T73" s="1" t="str">
        <f>IFERROR(__xludf.DUMMYFUNCTION("""COMPUTED_VALUE"""),"")</f>
        <v/>
      </c>
      <c r="U73" s="1" t="str">
        <f>IFERROR(__xludf.DUMMYFUNCTION("""COMPUTED_VALUE"""),"")</f>
        <v/>
      </c>
      <c r="V73" s="1" t="str">
        <f>IFERROR(__xludf.DUMMYFUNCTION("""COMPUTED_VALUE"""),"")</f>
        <v/>
      </c>
      <c r="W73" s="1" t="str">
        <f>IFERROR(__xludf.DUMMYFUNCTION("""COMPUTED_VALUE"""),"")</f>
        <v/>
      </c>
      <c r="X73" s="1" t="str">
        <f>IFERROR(__xludf.DUMMYFUNCTION("""COMPUTED_VALUE"""),"")</f>
        <v/>
      </c>
      <c r="Y73" s="1" t="str">
        <f>IFERROR(__xludf.DUMMYFUNCTION("""COMPUTED_VALUE"""),"")</f>
        <v/>
      </c>
      <c r="Z73" s="1" t="str">
        <f>IFERROR(__xludf.DUMMYFUNCTION("""COMPUTED_VALUE"""),"")</f>
        <v/>
      </c>
      <c r="AA73" s="1" t="str">
        <f>IFERROR(__xludf.DUMMYFUNCTION("""COMPUTED_VALUE"""),"")</f>
        <v/>
      </c>
      <c r="AB73" s="1" t="str">
        <f>IFERROR(__xludf.DUMMYFUNCTION("""COMPUTED_VALUE"""),"")</f>
        <v/>
      </c>
      <c r="AC73" s="1"/>
      <c r="AD73" s="1"/>
      <c r="AE73" s="1"/>
      <c r="AF73" s="1"/>
      <c r="AG73" s="1"/>
      <c r="AH73" s="1"/>
      <c r="AI73" s="1"/>
      <c r="AJ73" s="1"/>
    </row>
    <row r="74">
      <c r="A74" s="7"/>
      <c r="B74" s="8"/>
      <c r="C74" s="9">
        <f>IFERROR(__xludf.DUMMYFUNCTION("""COMPUTED_VALUE"""),14047.0)</f>
        <v>14047</v>
      </c>
      <c r="D74" s="10" t="str">
        <f>IFERROR(__xludf.DUMMYFUNCTION("""COMPUTED_VALUE"""),"R02")</f>
        <v>R02</v>
      </c>
      <c r="E74" s="31" t="str">
        <f>IFERROR(__xludf.DUMMYFUNCTION("""COMPUTED_VALUE"""),"Drogue Release Mount")</f>
        <v>Drogue Release Mount</v>
      </c>
      <c r="F74" s="2" t="str">
        <f>IFERROR(__xludf.DUMMYFUNCTION("""COMPUTED_VALUE"""),"Structures")</f>
        <v>Structures</v>
      </c>
      <c r="G74" s="2" t="str">
        <f>IFERROR(__xludf.DUMMYFUNCTION("""COMPUTED_VALUE"""),"Solidworks")</f>
        <v>Solidworks</v>
      </c>
      <c r="H74" s="2" t="str">
        <f>IFERROR(__xludf.DUMMYFUNCTION("""COMPUTED_VALUE"""),"Marginal Stability")</f>
        <v>Marginal Stability</v>
      </c>
      <c r="I74" s="12" t="str">
        <f>IFERROR(__xludf.DUMMYFUNCTION("""COMPUTED_VALUE"""),"Mount for drogue release cutter")</f>
        <v>Mount for drogue release cutter</v>
      </c>
      <c r="J74" s="2" t="str">
        <f>IFERROR(__xludf.DUMMYFUNCTION("""COMPUTED_VALUE"""),"6061 Aluminum")</f>
        <v>6061 Aluminum</v>
      </c>
      <c r="K74" s="2" t="str">
        <f>IFERROR(__xludf.DUMMYFUNCTION("""COMPUTED_VALUE"""),"Imperial")</f>
        <v>Imperial</v>
      </c>
      <c r="L74" s="2" t="str">
        <f>IFERROR(__xludf.DUMMYFUNCTION("""COMPUTED_VALUE"""),"Kyle Gore")</f>
        <v>Kyle Gore</v>
      </c>
      <c r="M74" s="26">
        <f>IFERROR(__xludf.DUMMYFUNCTION("""COMPUTED_VALUE"""),43515.0)</f>
        <v>43515</v>
      </c>
      <c r="N74" s="45" t="str">
        <f>IFERROR(__xludf.DUMMYFUNCTION("""COMPUTED_VALUE"""),"https://drive.google.com/open?id=1cE8YBG4wDMDCs2zqMb-fSo5vK32LZOsj")</f>
        <v>https://drive.google.com/open?id=1cE8YBG4wDMDCs2zqMb-fSo5vK32LZOsj</v>
      </c>
      <c r="O74" s="18" t="str">
        <f>IFERROR(__xludf.DUMMYFUNCTION("""COMPUTED_VALUE"""),"In Progress")</f>
        <v>In Progress</v>
      </c>
      <c r="P74" s="1" t="str">
        <f>IFERROR(__xludf.DUMMYFUNCTION("""COMPUTED_VALUE"""),"")</f>
        <v/>
      </c>
      <c r="Q74" s="1" t="str">
        <f>IFERROR(__xludf.DUMMYFUNCTION("""COMPUTED_VALUE"""),"")</f>
        <v/>
      </c>
      <c r="R74" s="1" t="str">
        <f>IFERROR(__xludf.DUMMYFUNCTION("""COMPUTED_VALUE"""),"")</f>
        <v/>
      </c>
      <c r="S74" s="1" t="str">
        <f>IFERROR(__xludf.DUMMYFUNCTION("""COMPUTED_VALUE"""),"")</f>
        <v/>
      </c>
      <c r="T74" s="1" t="str">
        <f>IFERROR(__xludf.DUMMYFUNCTION("""COMPUTED_VALUE"""),"")</f>
        <v/>
      </c>
      <c r="U74" s="1" t="str">
        <f>IFERROR(__xludf.DUMMYFUNCTION("""COMPUTED_VALUE"""),"")</f>
        <v/>
      </c>
      <c r="V74" s="1" t="str">
        <f>IFERROR(__xludf.DUMMYFUNCTION("""COMPUTED_VALUE"""),"")</f>
        <v/>
      </c>
      <c r="W74" s="1" t="str">
        <f>IFERROR(__xludf.DUMMYFUNCTION("""COMPUTED_VALUE"""),"")</f>
        <v/>
      </c>
      <c r="X74" s="1" t="str">
        <f>IFERROR(__xludf.DUMMYFUNCTION("""COMPUTED_VALUE"""),"")</f>
        <v/>
      </c>
      <c r="Y74" s="1" t="str">
        <f>IFERROR(__xludf.DUMMYFUNCTION("""COMPUTED_VALUE"""),"")</f>
        <v/>
      </c>
      <c r="Z74" s="1" t="str">
        <f>IFERROR(__xludf.DUMMYFUNCTION("""COMPUTED_VALUE"""),"")</f>
        <v/>
      </c>
      <c r="AA74" s="1" t="str">
        <f>IFERROR(__xludf.DUMMYFUNCTION("""COMPUTED_VALUE"""),"")</f>
        <v/>
      </c>
      <c r="AB74" s="1" t="str">
        <f>IFERROR(__xludf.DUMMYFUNCTION("""COMPUTED_VALUE"""),"")</f>
        <v/>
      </c>
      <c r="AC74" s="1"/>
      <c r="AD74" s="1"/>
      <c r="AE74" s="1"/>
      <c r="AF74" s="1"/>
      <c r="AG74" s="1"/>
      <c r="AH74" s="1"/>
      <c r="AI74" s="1"/>
      <c r="AJ74" s="1"/>
    </row>
    <row r="75">
      <c r="A75" s="7"/>
      <c r="B75" s="8"/>
      <c r="C75" s="9">
        <f>IFERROR(__xludf.DUMMYFUNCTION("""COMPUTED_VALUE"""),14048.0)</f>
        <v>14048</v>
      </c>
      <c r="D75" s="10" t="str">
        <f>IFERROR(__xludf.DUMMYFUNCTION("""COMPUTED_VALUE"""),"R01")</f>
        <v>R01</v>
      </c>
      <c r="E75" s="31" t="str">
        <f>IFERROR(__xludf.DUMMYFUNCTION("""COMPUTED_VALUE"""),"Annular RP-1/LOX Wall")</f>
        <v>Annular RP-1/LOX Wall</v>
      </c>
      <c r="F75" s="2" t="str">
        <f>IFERROR(__xludf.DUMMYFUNCTION("""COMPUTED_VALUE"""),"Structures")</f>
        <v>Structures</v>
      </c>
      <c r="G75" s="2" t="str">
        <f>IFERROR(__xludf.DUMMYFUNCTION("""COMPUTED_VALUE"""),"Solidworks")</f>
        <v>Solidworks</v>
      </c>
      <c r="H75" s="2" t="str">
        <f>IFERROR(__xludf.DUMMYFUNCTION("""COMPUTED_VALUE"""),"Marginal Stability")</f>
        <v>Marginal Stability</v>
      </c>
      <c r="I75" s="12" t="str">
        <f>IFERROR(__xludf.DUMMYFUNCTION("""COMPUTED_VALUE"""),"Internal tank wall for isolating LOX passthrough and insulation from RP-1 tank contents")</f>
        <v>Internal tank wall for isolating LOX passthrough and insulation from RP-1 tank contents</v>
      </c>
      <c r="J75" s="2" t="str">
        <f>IFERROR(__xludf.DUMMYFUNCTION("""COMPUTED_VALUE"""),"6061-T6")</f>
        <v>6061-T6</v>
      </c>
      <c r="K75" s="2" t="str">
        <f>IFERROR(__xludf.DUMMYFUNCTION("""COMPUTED_VALUE"""),"Imperial")</f>
        <v>Imperial</v>
      </c>
      <c r="L75" s="2" t="str">
        <f>IFERROR(__xludf.DUMMYFUNCTION("""COMPUTED_VALUE"""),"Alexander Pallesco")</f>
        <v>Alexander Pallesco</v>
      </c>
      <c r="M75" s="26">
        <f>IFERROR(__xludf.DUMMYFUNCTION("""COMPUTED_VALUE"""),43497.0)</f>
        <v>43497</v>
      </c>
      <c r="N75" s="45" t="str">
        <f>IFERROR(__xludf.DUMMYFUNCTION("""COMPUTED_VALUE"""),"https://drive.google.com/open?id=1D2A7hkSoCoexP5Az5SYoZF8pVAgubLc3")</f>
        <v>https://drive.google.com/open?id=1D2A7hkSoCoexP5Az5SYoZF8pVAgubLc3</v>
      </c>
      <c r="O75" s="18" t="str">
        <f>IFERROR(__xludf.DUMMYFUNCTION("""COMPUTED_VALUE"""),"Completed")</f>
        <v>Completed</v>
      </c>
      <c r="P75" s="1" t="str">
        <f>IFERROR(__xludf.DUMMYFUNCTION("""COMPUTED_VALUE"""),"")</f>
        <v/>
      </c>
      <c r="Q75" s="1" t="str">
        <f>IFERROR(__xludf.DUMMYFUNCTION("""COMPUTED_VALUE"""),"")</f>
        <v/>
      </c>
      <c r="R75" s="1" t="str">
        <f>IFERROR(__xludf.DUMMYFUNCTION("""COMPUTED_VALUE"""),"")</f>
        <v/>
      </c>
      <c r="S75" s="1" t="str">
        <f>IFERROR(__xludf.DUMMYFUNCTION("""COMPUTED_VALUE"""),"")</f>
        <v/>
      </c>
      <c r="T75" s="1" t="str">
        <f>IFERROR(__xludf.DUMMYFUNCTION("""COMPUTED_VALUE"""),"")</f>
        <v/>
      </c>
      <c r="U75" s="1" t="str">
        <f>IFERROR(__xludf.DUMMYFUNCTION("""COMPUTED_VALUE"""),"")</f>
        <v/>
      </c>
      <c r="V75" s="1" t="str">
        <f>IFERROR(__xludf.DUMMYFUNCTION("""COMPUTED_VALUE"""),"")</f>
        <v/>
      </c>
      <c r="W75" s="1" t="str">
        <f>IFERROR(__xludf.DUMMYFUNCTION("""COMPUTED_VALUE"""),"")</f>
        <v/>
      </c>
      <c r="X75" s="1" t="str">
        <f>IFERROR(__xludf.DUMMYFUNCTION("""COMPUTED_VALUE"""),"")</f>
        <v/>
      </c>
      <c r="Y75" s="1" t="str">
        <f>IFERROR(__xludf.DUMMYFUNCTION("""COMPUTED_VALUE"""),"")</f>
        <v/>
      </c>
      <c r="Z75" s="1" t="str">
        <f>IFERROR(__xludf.DUMMYFUNCTION("""COMPUTED_VALUE"""),"")</f>
        <v/>
      </c>
      <c r="AA75" s="1" t="str">
        <f>IFERROR(__xludf.DUMMYFUNCTION("""COMPUTED_VALUE"""),"")</f>
        <v/>
      </c>
      <c r="AB75" s="1" t="str">
        <f>IFERROR(__xludf.DUMMYFUNCTION("""COMPUTED_VALUE"""),"")</f>
        <v/>
      </c>
      <c r="AC75" s="1"/>
      <c r="AD75" s="1"/>
      <c r="AE75" s="1"/>
      <c r="AF75" s="1"/>
      <c r="AG75" s="1"/>
      <c r="AH75" s="1"/>
      <c r="AI75" s="1"/>
      <c r="AJ75" s="1"/>
    </row>
    <row r="76">
      <c r="A76" s="7"/>
      <c r="B76" s="8"/>
      <c r="C76" s="9">
        <f>IFERROR(__xludf.DUMMYFUNCTION("""COMPUTED_VALUE"""),14049.0)</f>
        <v>14049</v>
      </c>
      <c r="D76" s="10" t="str">
        <f>IFERROR(__xludf.DUMMYFUNCTION("""COMPUTED_VALUE"""),"R01")</f>
        <v>R01</v>
      </c>
      <c r="E76" s="31" t="str">
        <f>IFERROR(__xludf.DUMMYFUNCTION("""COMPUTED_VALUE"""),"LOX Pass-through")</f>
        <v>LOX Pass-through</v>
      </c>
      <c r="F76" s="2" t="str">
        <f>IFERROR(__xludf.DUMMYFUNCTION("""COMPUTED_VALUE"""),"Structures")</f>
        <v>Structures</v>
      </c>
      <c r="G76" s="2" t="str">
        <f>IFERROR(__xludf.DUMMYFUNCTION("""COMPUTED_VALUE"""),"Solidworks")</f>
        <v>Solidworks</v>
      </c>
      <c r="H76" s="2" t="str">
        <f>IFERROR(__xludf.DUMMYFUNCTION("""COMPUTED_VALUE"""),"Marginal Stability")</f>
        <v>Marginal Stability</v>
      </c>
      <c r="I76" s="12" t="str">
        <f>IFERROR(__xludf.DUMMYFUNCTION("""COMPUTED_VALUE"""),"LOX plumbing from common bulkhead through RP-1 tank, to RP-1 bulkhead. ")</f>
        <v>LOX plumbing from common bulkhead through RP-1 tank, to RP-1 bulkhead. </v>
      </c>
      <c r="J76" s="2" t="str">
        <f>IFERROR(__xludf.DUMMYFUNCTION("""COMPUTED_VALUE"""),"6061-T6")</f>
        <v>6061-T6</v>
      </c>
      <c r="K76" s="2" t="str">
        <f>IFERROR(__xludf.DUMMYFUNCTION("""COMPUTED_VALUE"""),"Imperial")</f>
        <v>Imperial</v>
      </c>
      <c r="L76" s="2" t="str">
        <f>IFERROR(__xludf.DUMMYFUNCTION("""COMPUTED_VALUE"""),"Alexander Pallesco")</f>
        <v>Alexander Pallesco</v>
      </c>
      <c r="M76" s="26">
        <f>IFERROR(__xludf.DUMMYFUNCTION("""COMPUTED_VALUE"""),43497.0)</f>
        <v>43497</v>
      </c>
      <c r="N76" s="45" t="str">
        <f>IFERROR(__xludf.DUMMYFUNCTION("""COMPUTED_VALUE"""),"https://drive.google.com/open?id=1skyeXrpwGuMjWgwwdAPSmkrsirkCmVjd")</f>
        <v>https://drive.google.com/open?id=1skyeXrpwGuMjWgwwdAPSmkrsirkCmVjd</v>
      </c>
      <c r="O76" s="18" t="str">
        <f>IFERROR(__xludf.DUMMYFUNCTION("""COMPUTED_VALUE"""),"Completed")</f>
        <v>Completed</v>
      </c>
      <c r="P76" s="1" t="str">
        <f>IFERROR(__xludf.DUMMYFUNCTION("""COMPUTED_VALUE"""),"")</f>
        <v/>
      </c>
      <c r="Q76" s="1" t="str">
        <f>IFERROR(__xludf.DUMMYFUNCTION("""COMPUTED_VALUE"""),"")</f>
        <v/>
      </c>
      <c r="R76" s="1" t="str">
        <f>IFERROR(__xludf.DUMMYFUNCTION("""COMPUTED_VALUE"""),"")</f>
        <v/>
      </c>
      <c r="S76" s="1" t="str">
        <f>IFERROR(__xludf.DUMMYFUNCTION("""COMPUTED_VALUE"""),"")</f>
        <v/>
      </c>
      <c r="T76" s="1" t="str">
        <f>IFERROR(__xludf.DUMMYFUNCTION("""COMPUTED_VALUE"""),"")</f>
        <v/>
      </c>
      <c r="U76" s="1" t="str">
        <f>IFERROR(__xludf.DUMMYFUNCTION("""COMPUTED_VALUE"""),"")</f>
        <v/>
      </c>
      <c r="V76" s="1" t="str">
        <f>IFERROR(__xludf.DUMMYFUNCTION("""COMPUTED_VALUE"""),"")</f>
        <v/>
      </c>
      <c r="W76" s="1" t="str">
        <f>IFERROR(__xludf.DUMMYFUNCTION("""COMPUTED_VALUE"""),"")</f>
        <v/>
      </c>
      <c r="X76" s="1" t="str">
        <f>IFERROR(__xludf.DUMMYFUNCTION("""COMPUTED_VALUE"""),"")</f>
        <v/>
      </c>
      <c r="Y76" s="1" t="str">
        <f>IFERROR(__xludf.DUMMYFUNCTION("""COMPUTED_VALUE"""),"")</f>
        <v/>
      </c>
      <c r="Z76" s="1" t="str">
        <f>IFERROR(__xludf.DUMMYFUNCTION("""COMPUTED_VALUE"""),"")</f>
        <v/>
      </c>
      <c r="AA76" s="1" t="str">
        <f>IFERROR(__xludf.DUMMYFUNCTION("""COMPUTED_VALUE"""),"")</f>
        <v/>
      </c>
      <c r="AB76" s="1" t="str">
        <f>IFERROR(__xludf.DUMMYFUNCTION("""COMPUTED_VALUE"""),"")</f>
        <v/>
      </c>
      <c r="AC76" s="1"/>
      <c r="AD76" s="1"/>
      <c r="AE76" s="1"/>
      <c r="AF76" s="1"/>
      <c r="AG76" s="1"/>
      <c r="AH76" s="1"/>
      <c r="AI76" s="1"/>
      <c r="AJ76" s="1"/>
    </row>
    <row r="77">
      <c r="A77" s="7"/>
      <c r="B77" s="8"/>
      <c r="C77" s="9">
        <f>IFERROR(__xludf.DUMMYFUNCTION("""COMPUTED_VALUE"""),14050.0)</f>
        <v>14050</v>
      </c>
      <c r="D77" s="10" t="str">
        <f>IFERROR(__xludf.DUMMYFUNCTION("""COMPUTED_VALUE"""),"R01")</f>
        <v>R01</v>
      </c>
      <c r="E77" s="31" t="str">
        <f>IFERROR(__xludf.DUMMYFUNCTION("""COMPUTED_VALUE"""),"He Engine Purge")</f>
        <v>He Engine Purge</v>
      </c>
      <c r="F77" s="2" t="str">
        <f>IFERROR(__xludf.DUMMYFUNCTION("""COMPUTED_VALUE"""),"Structures")</f>
        <v>Structures</v>
      </c>
      <c r="G77" s="2" t="str">
        <f>IFERROR(__xludf.DUMMYFUNCTION("""COMPUTED_VALUE"""),"Solidworks")</f>
        <v>Solidworks</v>
      </c>
      <c r="H77" s="2" t="str">
        <f>IFERROR(__xludf.DUMMYFUNCTION("""COMPUTED_VALUE"""),"Marginal Stability")</f>
        <v>Marginal Stability</v>
      </c>
      <c r="I77" s="12" t="str">
        <f>IFERROR(__xludf.DUMMYFUNCTION("""COMPUTED_VALUE"""),"He plumbing extending through length of propellant tanks. Used for purging out engine.")</f>
        <v>He plumbing extending through length of propellant tanks. Used for purging out engine.</v>
      </c>
      <c r="J77" s="2" t="str">
        <f>IFERROR(__xludf.DUMMYFUNCTION("""COMPUTED_VALUE"""),"6061-T6")</f>
        <v>6061-T6</v>
      </c>
      <c r="K77" s="2" t="str">
        <f>IFERROR(__xludf.DUMMYFUNCTION("""COMPUTED_VALUE"""),"Imperial")</f>
        <v>Imperial</v>
      </c>
      <c r="L77" s="2" t="str">
        <f>IFERROR(__xludf.DUMMYFUNCTION("""COMPUTED_VALUE"""),"Joshua Elmer")</f>
        <v>Joshua Elmer</v>
      </c>
      <c r="M77" s="26">
        <f>IFERROR(__xludf.DUMMYFUNCTION("""COMPUTED_VALUE"""),43497.0)</f>
        <v>43497</v>
      </c>
      <c r="N77" s="45" t="str">
        <f>IFERROR(__xludf.DUMMYFUNCTION("""COMPUTED_VALUE"""),"https://drive.google.com/open?id=1Yft2rf4xQEN7RIsf2WD4FcXWjomWjTup")</f>
        <v>https://drive.google.com/open?id=1Yft2rf4xQEN7RIsf2WD4FcXWjomWjTup</v>
      </c>
      <c r="O77" s="18" t="str">
        <f>IFERROR(__xludf.DUMMYFUNCTION("""COMPUTED_VALUE"""),"Completed")</f>
        <v>Completed</v>
      </c>
      <c r="P77" s="1" t="str">
        <f>IFERROR(__xludf.DUMMYFUNCTION("""COMPUTED_VALUE"""),"")</f>
        <v/>
      </c>
      <c r="Q77" s="1" t="str">
        <f>IFERROR(__xludf.DUMMYFUNCTION("""COMPUTED_VALUE"""),"")</f>
        <v/>
      </c>
      <c r="R77" s="1" t="str">
        <f>IFERROR(__xludf.DUMMYFUNCTION("""COMPUTED_VALUE"""),"")</f>
        <v/>
      </c>
      <c r="S77" s="1" t="str">
        <f>IFERROR(__xludf.DUMMYFUNCTION("""COMPUTED_VALUE"""),"")</f>
        <v/>
      </c>
      <c r="T77" s="1" t="str">
        <f>IFERROR(__xludf.DUMMYFUNCTION("""COMPUTED_VALUE"""),"")</f>
        <v/>
      </c>
      <c r="U77" s="1" t="str">
        <f>IFERROR(__xludf.DUMMYFUNCTION("""COMPUTED_VALUE"""),"")</f>
        <v/>
      </c>
      <c r="V77" s="1" t="str">
        <f>IFERROR(__xludf.DUMMYFUNCTION("""COMPUTED_VALUE"""),"")</f>
        <v/>
      </c>
      <c r="W77" s="1" t="str">
        <f>IFERROR(__xludf.DUMMYFUNCTION("""COMPUTED_VALUE"""),"")</f>
        <v/>
      </c>
      <c r="X77" s="1" t="str">
        <f>IFERROR(__xludf.DUMMYFUNCTION("""COMPUTED_VALUE"""),"")</f>
        <v/>
      </c>
      <c r="Y77" s="1" t="str">
        <f>IFERROR(__xludf.DUMMYFUNCTION("""COMPUTED_VALUE"""),"")</f>
        <v/>
      </c>
      <c r="Z77" s="1" t="str">
        <f>IFERROR(__xludf.DUMMYFUNCTION("""COMPUTED_VALUE"""),"")</f>
        <v/>
      </c>
      <c r="AA77" s="1" t="str">
        <f>IFERROR(__xludf.DUMMYFUNCTION("""COMPUTED_VALUE"""),"")</f>
        <v/>
      </c>
      <c r="AB77" s="1" t="str">
        <f>IFERROR(__xludf.DUMMYFUNCTION("""COMPUTED_VALUE"""),"")</f>
        <v/>
      </c>
      <c r="AC77" s="1"/>
      <c r="AD77" s="1"/>
      <c r="AE77" s="1"/>
      <c r="AF77" s="1"/>
      <c r="AG77" s="1"/>
      <c r="AH77" s="1"/>
      <c r="AI77" s="1"/>
      <c r="AJ77" s="1"/>
    </row>
    <row r="78">
      <c r="A78" s="7"/>
      <c r="B78" s="8"/>
      <c r="C78" s="9">
        <f>IFERROR(__xludf.DUMMYFUNCTION("""COMPUTED_VALUE"""),14051.0)</f>
        <v>14051</v>
      </c>
      <c r="D78" s="10" t="str">
        <f>IFERROR(__xludf.DUMMYFUNCTION("""COMPUTED_VALUE"""),"R01")</f>
        <v>R01</v>
      </c>
      <c r="E78" s="31" t="str">
        <f>IFERROR(__xludf.DUMMYFUNCTION("""COMPUTED_VALUE"""),"RP-1 Pressurization He Plumbing")</f>
        <v>RP-1 Pressurization He Plumbing</v>
      </c>
      <c r="F78" s="2" t="str">
        <f>IFERROR(__xludf.DUMMYFUNCTION("""COMPUTED_VALUE"""),"Structures")</f>
        <v>Structures</v>
      </c>
      <c r="G78" s="2" t="str">
        <f>IFERROR(__xludf.DUMMYFUNCTION("""COMPUTED_VALUE"""),"Solidworks")</f>
        <v>Solidworks</v>
      </c>
      <c r="H78" s="2" t="str">
        <f>IFERROR(__xludf.DUMMYFUNCTION("""COMPUTED_VALUE"""),"Marginal Stability")</f>
        <v>Marginal Stability</v>
      </c>
      <c r="I78" s="12" t="str">
        <f>IFERROR(__xludf.DUMMYFUNCTION("""COMPUTED_VALUE"""),"He plumbing from LOX bulkhead through LOX tank to common bulkhead. Used for pressurization of RP-1 tank. ")</f>
        <v>He plumbing from LOX bulkhead through LOX tank to common bulkhead. Used for pressurization of RP-1 tank. </v>
      </c>
      <c r="J78" s="2" t="str">
        <f>IFERROR(__xludf.DUMMYFUNCTION("""COMPUTED_VALUE"""),"6061-T6")</f>
        <v>6061-T6</v>
      </c>
      <c r="K78" s="2" t="str">
        <f>IFERROR(__xludf.DUMMYFUNCTION("""COMPUTED_VALUE"""),"Imperial")</f>
        <v>Imperial</v>
      </c>
      <c r="L78" s="2" t="str">
        <f>IFERROR(__xludf.DUMMYFUNCTION("""COMPUTED_VALUE"""),"Alexander Pallesco")</f>
        <v>Alexander Pallesco</v>
      </c>
      <c r="M78" s="26">
        <f>IFERROR(__xludf.DUMMYFUNCTION("""COMPUTED_VALUE"""),43497.0)</f>
        <v>43497</v>
      </c>
      <c r="N78" s="45" t="str">
        <f>IFERROR(__xludf.DUMMYFUNCTION("""COMPUTED_VALUE"""),"https://drive.google.com/open?id=1ZK9eIHxp6rRyuLEjPatx6aGunVLGN3tg")</f>
        <v>https://drive.google.com/open?id=1ZK9eIHxp6rRyuLEjPatx6aGunVLGN3tg</v>
      </c>
      <c r="O78" s="18" t="str">
        <f>IFERROR(__xludf.DUMMYFUNCTION("""COMPUTED_VALUE"""),"Completed")</f>
        <v>Completed</v>
      </c>
      <c r="P78" s="1" t="str">
        <f>IFERROR(__xludf.DUMMYFUNCTION("""COMPUTED_VALUE"""),"")</f>
        <v/>
      </c>
      <c r="Q78" s="1" t="str">
        <f>IFERROR(__xludf.DUMMYFUNCTION("""COMPUTED_VALUE"""),"")</f>
        <v/>
      </c>
      <c r="R78" s="1" t="str">
        <f>IFERROR(__xludf.DUMMYFUNCTION("""COMPUTED_VALUE"""),"")</f>
        <v/>
      </c>
      <c r="S78" s="1" t="str">
        <f>IFERROR(__xludf.DUMMYFUNCTION("""COMPUTED_VALUE"""),"")</f>
        <v/>
      </c>
      <c r="T78" s="1" t="str">
        <f>IFERROR(__xludf.DUMMYFUNCTION("""COMPUTED_VALUE"""),"")</f>
        <v/>
      </c>
      <c r="U78" s="1" t="str">
        <f>IFERROR(__xludf.DUMMYFUNCTION("""COMPUTED_VALUE"""),"")</f>
        <v/>
      </c>
      <c r="V78" s="1" t="str">
        <f>IFERROR(__xludf.DUMMYFUNCTION("""COMPUTED_VALUE"""),"")</f>
        <v/>
      </c>
      <c r="W78" s="1" t="str">
        <f>IFERROR(__xludf.DUMMYFUNCTION("""COMPUTED_VALUE"""),"")</f>
        <v/>
      </c>
      <c r="X78" s="1" t="str">
        <f>IFERROR(__xludf.DUMMYFUNCTION("""COMPUTED_VALUE"""),"")</f>
        <v/>
      </c>
      <c r="Y78" s="1" t="str">
        <f>IFERROR(__xludf.DUMMYFUNCTION("""COMPUTED_VALUE"""),"")</f>
        <v/>
      </c>
      <c r="Z78" s="1" t="str">
        <f>IFERROR(__xludf.DUMMYFUNCTION("""COMPUTED_VALUE"""),"")</f>
        <v/>
      </c>
      <c r="AA78" s="1" t="str">
        <f>IFERROR(__xludf.DUMMYFUNCTION("""COMPUTED_VALUE"""),"")</f>
        <v/>
      </c>
      <c r="AB78" s="1" t="str">
        <f>IFERROR(__xludf.DUMMYFUNCTION("""COMPUTED_VALUE"""),"")</f>
        <v/>
      </c>
      <c r="AC78" s="1"/>
      <c r="AD78" s="1"/>
      <c r="AE78" s="1"/>
      <c r="AF78" s="1"/>
      <c r="AG78" s="1"/>
      <c r="AH78" s="1"/>
      <c r="AI78" s="1"/>
      <c r="AJ78" s="1"/>
    </row>
    <row r="79">
      <c r="A79" s="7"/>
      <c r="B79" s="8"/>
      <c r="C79" s="9">
        <f>IFERROR(__xludf.DUMMYFUNCTION("""COMPUTED_VALUE"""),14052.0)</f>
        <v>14052</v>
      </c>
      <c r="D79" s="10" t="str">
        <f>IFERROR(__xludf.DUMMYFUNCTION("""COMPUTED_VALUE"""),"R01")</f>
        <v>R01</v>
      </c>
      <c r="E79" s="31" t="str">
        <f>IFERROR(__xludf.DUMMYFUNCTION("""COMPUTED_VALUE"""),"RP-1 Fill Plumbing")</f>
        <v>RP-1 Fill Plumbing</v>
      </c>
      <c r="F79" s="2" t="str">
        <f>IFERROR(__xludf.DUMMYFUNCTION("""COMPUTED_VALUE"""),"Structures")</f>
        <v>Structures</v>
      </c>
      <c r="G79" s="2" t="str">
        <f>IFERROR(__xludf.DUMMYFUNCTION("""COMPUTED_VALUE"""),"Solidworks")</f>
        <v>Solidworks</v>
      </c>
      <c r="H79" s="2" t="str">
        <f>IFERROR(__xludf.DUMMYFUNCTION("""COMPUTED_VALUE"""),"Marginal Stability")</f>
        <v>Marginal Stability</v>
      </c>
      <c r="I79" s="12" t="str">
        <f>IFERROR(__xludf.DUMMYFUNCTION("""COMPUTED_VALUE"""),"Plumbing from LOX bulkhead through LOX tank to common bulkhead. Used to fill RP-1 tank with RP-1.")</f>
        <v>Plumbing from LOX bulkhead through LOX tank to common bulkhead. Used to fill RP-1 tank with RP-1.</v>
      </c>
      <c r="J79" s="2" t="str">
        <f>IFERROR(__xludf.DUMMYFUNCTION("""COMPUTED_VALUE"""),"6061-T6")</f>
        <v>6061-T6</v>
      </c>
      <c r="K79" s="2" t="str">
        <f>IFERROR(__xludf.DUMMYFUNCTION("""COMPUTED_VALUE"""),"Imperial")</f>
        <v>Imperial</v>
      </c>
      <c r="L79" s="2" t="str">
        <f>IFERROR(__xludf.DUMMYFUNCTION("""COMPUTED_VALUE"""),"Joshua Elmer")</f>
        <v>Joshua Elmer</v>
      </c>
      <c r="M79" s="26">
        <f>IFERROR(__xludf.DUMMYFUNCTION("""COMPUTED_VALUE"""),43497.0)</f>
        <v>43497</v>
      </c>
      <c r="N79" s="45" t="str">
        <f>IFERROR(__xludf.DUMMYFUNCTION("""COMPUTED_VALUE"""),"https://drive.google.com/open?id=1nAXawmVfOH65yJJ4qlp_0ixmck91Sj6V")</f>
        <v>https://drive.google.com/open?id=1nAXawmVfOH65yJJ4qlp_0ixmck91Sj6V</v>
      </c>
      <c r="O79" s="18" t="str">
        <f>IFERROR(__xludf.DUMMYFUNCTION("""COMPUTED_VALUE"""),"Completed")</f>
        <v>Completed</v>
      </c>
      <c r="P79" s="1" t="str">
        <f>IFERROR(__xludf.DUMMYFUNCTION("""COMPUTED_VALUE"""),"")</f>
        <v/>
      </c>
      <c r="Q79" s="1" t="str">
        <f>IFERROR(__xludf.DUMMYFUNCTION("""COMPUTED_VALUE"""),"")</f>
        <v/>
      </c>
      <c r="R79" s="1" t="str">
        <f>IFERROR(__xludf.DUMMYFUNCTION("""COMPUTED_VALUE"""),"")</f>
        <v/>
      </c>
      <c r="S79" s="1" t="str">
        <f>IFERROR(__xludf.DUMMYFUNCTION("""COMPUTED_VALUE"""),"")</f>
        <v/>
      </c>
      <c r="T79" s="1" t="str">
        <f>IFERROR(__xludf.DUMMYFUNCTION("""COMPUTED_VALUE"""),"")</f>
        <v/>
      </c>
      <c r="U79" s="1" t="str">
        <f>IFERROR(__xludf.DUMMYFUNCTION("""COMPUTED_VALUE"""),"")</f>
        <v/>
      </c>
      <c r="V79" s="1" t="str">
        <f>IFERROR(__xludf.DUMMYFUNCTION("""COMPUTED_VALUE"""),"")</f>
        <v/>
      </c>
      <c r="W79" s="1" t="str">
        <f>IFERROR(__xludf.DUMMYFUNCTION("""COMPUTED_VALUE"""),"")</f>
        <v/>
      </c>
      <c r="X79" s="1" t="str">
        <f>IFERROR(__xludf.DUMMYFUNCTION("""COMPUTED_VALUE"""),"")</f>
        <v/>
      </c>
      <c r="Y79" s="1" t="str">
        <f>IFERROR(__xludf.DUMMYFUNCTION("""COMPUTED_VALUE"""),"")</f>
        <v/>
      </c>
      <c r="Z79" s="1" t="str">
        <f>IFERROR(__xludf.DUMMYFUNCTION("""COMPUTED_VALUE"""),"")</f>
        <v/>
      </c>
      <c r="AA79" s="1" t="str">
        <f>IFERROR(__xludf.DUMMYFUNCTION("""COMPUTED_VALUE"""),"")</f>
        <v/>
      </c>
      <c r="AB79" s="1" t="str">
        <f>IFERROR(__xludf.DUMMYFUNCTION("""COMPUTED_VALUE"""),"")</f>
        <v/>
      </c>
      <c r="AC79" s="1"/>
      <c r="AD79" s="1"/>
      <c r="AE79" s="1"/>
      <c r="AF79" s="1"/>
      <c r="AG79" s="1"/>
      <c r="AH79" s="1"/>
      <c r="AI79" s="1"/>
      <c r="AJ79" s="1"/>
    </row>
    <row r="80">
      <c r="A80" s="7"/>
      <c r="B80" s="8"/>
      <c r="C80" s="9">
        <f>IFERROR(__xludf.DUMMYFUNCTION("""COMPUTED_VALUE"""),14053.0)</f>
        <v>14053</v>
      </c>
      <c r="D80" s="10" t="str">
        <f>IFERROR(__xludf.DUMMYFUNCTION("""COMPUTED_VALUE"""),"R01")</f>
        <v>R01</v>
      </c>
      <c r="E80" s="31" t="str">
        <f>IFERROR(__xludf.DUMMYFUNCTION("""COMPUTED_VALUE"""),"Anullar Plumbing End Cap")</f>
        <v>Anullar Plumbing End Cap</v>
      </c>
      <c r="F80" s="2" t="str">
        <f>IFERROR(__xludf.DUMMYFUNCTION("""COMPUTED_VALUE"""),"Structures")</f>
        <v>Structures</v>
      </c>
      <c r="G80" s="2" t="str">
        <f>IFERROR(__xludf.DUMMYFUNCTION("""COMPUTED_VALUE"""),"Solidworks")</f>
        <v>Solidworks</v>
      </c>
      <c r="H80" s="2" t="str">
        <f>IFERROR(__xludf.DUMMYFUNCTION("""COMPUTED_VALUE"""),"Marginal Stability")</f>
        <v>Marginal Stability</v>
      </c>
      <c r="I80" s="12" t="str">
        <f>IFERROR(__xludf.DUMMYFUNCTION("""COMPUTED_VALUE"""),"Anullar Plumbing End Cap")</f>
        <v>Anullar Plumbing End Cap</v>
      </c>
      <c r="J80" s="2" t="str">
        <f>IFERROR(__xludf.DUMMYFUNCTION("""COMPUTED_VALUE"""),"6061-T6")</f>
        <v>6061-T6</v>
      </c>
      <c r="K80" s="2" t="str">
        <f>IFERROR(__xludf.DUMMYFUNCTION("""COMPUTED_VALUE"""),"Imperial")</f>
        <v>Imperial</v>
      </c>
      <c r="L80" s="2" t="str">
        <f>IFERROR(__xludf.DUMMYFUNCTION("""COMPUTED_VALUE"""),"Alexander Pallesco")</f>
        <v>Alexander Pallesco</v>
      </c>
      <c r="M80" s="26">
        <f>IFERROR(__xludf.DUMMYFUNCTION("""COMPUTED_VALUE"""),43497.0)</f>
        <v>43497</v>
      </c>
      <c r="N80" s="45" t="str">
        <f>IFERROR(__xludf.DUMMYFUNCTION("""COMPUTED_VALUE"""),"https://drive.google.com/open?id=1ZXm_kdsS9dA8Ytr5xoM5u2WuCoqxHMGK")</f>
        <v>https://drive.google.com/open?id=1ZXm_kdsS9dA8Ytr5xoM5u2WuCoqxHMGK</v>
      </c>
      <c r="O80" s="18" t="str">
        <f>IFERROR(__xludf.DUMMYFUNCTION("""COMPUTED_VALUE"""),"Completed")</f>
        <v>Completed</v>
      </c>
      <c r="P80" s="1" t="str">
        <f>IFERROR(__xludf.DUMMYFUNCTION("""COMPUTED_VALUE"""),"")</f>
        <v/>
      </c>
      <c r="Q80" s="1" t="str">
        <f>IFERROR(__xludf.DUMMYFUNCTION("""COMPUTED_VALUE"""),"")</f>
        <v/>
      </c>
      <c r="R80" s="1" t="str">
        <f>IFERROR(__xludf.DUMMYFUNCTION("""COMPUTED_VALUE"""),"")</f>
        <v/>
      </c>
      <c r="S80" s="1" t="str">
        <f>IFERROR(__xludf.DUMMYFUNCTION("""COMPUTED_VALUE"""),"")</f>
        <v/>
      </c>
      <c r="T80" s="1" t="str">
        <f>IFERROR(__xludf.DUMMYFUNCTION("""COMPUTED_VALUE"""),"")</f>
        <v/>
      </c>
      <c r="U80" s="1" t="str">
        <f>IFERROR(__xludf.DUMMYFUNCTION("""COMPUTED_VALUE"""),"")</f>
        <v/>
      </c>
      <c r="V80" s="1" t="str">
        <f>IFERROR(__xludf.DUMMYFUNCTION("""COMPUTED_VALUE"""),"")</f>
        <v/>
      </c>
      <c r="W80" s="1" t="str">
        <f>IFERROR(__xludf.DUMMYFUNCTION("""COMPUTED_VALUE"""),"")</f>
        <v/>
      </c>
      <c r="X80" s="1" t="str">
        <f>IFERROR(__xludf.DUMMYFUNCTION("""COMPUTED_VALUE"""),"")</f>
        <v/>
      </c>
      <c r="Y80" s="1" t="str">
        <f>IFERROR(__xludf.DUMMYFUNCTION("""COMPUTED_VALUE"""),"")</f>
        <v/>
      </c>
      <c r="Z80" s="1" t="str">
        <f>IFERROR(__xludf.DUMMYFUNCTION("""COMPUTED_VALUE"""),"")</f>
        <v/>
      </c>
      <c r="AA80" s="1" t="str">
        <f>IFERROR(__xludf.DUMMYFUNCTION("""COMPUTED_VALUE"""),"")</f>
        <v/>
      </c>
      <c r="AB80" s="1" t="str">
        <f>IFERROR(__xludf.DUMMYFUNCTION("""COMPUTED_VALUE"""),"")</f>
        <v/>
      </c>
      <c r="AC80" s="1"/>
      <c r="AD80" s="1"/>
      <c r="AE80" s="1"/>
      <c r="AF80" s="1"/>
      <c r="AG80" s="1"/>
      <c r="AH80" s="1"/>
      <c r="AI80" s="1"/>
      <c r="AJ80" s="1"/>
    </row>
    <row r="81">
      <c r="A81" s="7"/>
      <c r="B81" s="8"/>
      <c r="C81" s="9">
        <f>IFERROR(__xludf.DUMMYFUNCTION("""COMPUTED_VALUE"""),14054.0)</f>
        <v>14054</v>
      </c>
      <c r="D81" s="10" t="str">
        <f>IFERROR(__xludf.DUMMYFUNCTION("""COMPUTED_VALUE"""),"R01")</f>
        <v>R01</v>
      </c>
      <c r="E81" s="31" t="str">
        <f>IFERROR(__xludf.DUMMYFUNCTION("""COMPUTED_VALUE"""),"Drogue Release Upper Mount")</f>
        <v>Drogue Release Upper Mount</v>
      </c>
      <c r="F81" s="2" t="str">
        <f>IFERROR(__xludf.DUMMYFUNCTION("""COMPUTED_VALUE"""),"Structures")</f>
        <v>Structures</v>
      </c>
      <c r="G81" s="2" t="str">
        <f>IFERROR(__xludf.DUMMYFUNCTION("""COMPUTED_VALUE"""),"Solidworks")</f>
        <v>Solidworks</v>
      </c>
      <c r="H81" s="2" t="str">
        <f>IFERROR(__xludf.DUMMYFUNCTION("""COMPUTED_VALUE"""),"Marginal Stability")</f>
        <v>Marginal Stability</v>
      </c>
      <c r="I81" s="12" t="str">
        <f>IFERROR(__xludf.DUMMYFUNCTION("""COMPUTED_VALUE"""),"Upper mount for drogue release system")</f>
        <v>Upper mount for drogue release system</v>
      </c>
      <c r="J81" s="2" t="str">
        <f>IFERROR(__xludf.DUMMYFUNCTION("""COMPUTED_VALUE"""),"6061-T6")</f>
        <v>6061-T6</v>
      </c>
      <c r="K81" s="2" t="str">
        <f>IFERROR(__xludf.DUMMYFUNCTION("""COMPUTED_VALUE"""),"Imperial")</f>
        <v>Imperial</v>
      </c>
      <c r="L81" s="2" t="str">
        <f>IFERROR(__xludf.DUMMYFUNCTION("""COMPUTED_VALUE"""),"Kyle Gore")</f>
        <v>Kyle Gore</v>
      </c>
      <c r="M81" s="26">
        <f>IFERROR(__xludf.DUMMYFUNCTION("""COMPUTED_VALUE"""),43522.0)</f>
        <v>43522</v>
      </c>
      <c r="N81" s="45" t="str">
        <f>IFERROR(__xludf.DUMMYFUNCTION("""COMPUTED_VALUE"""),"https://drive.google.com/open?id=1ldDgzm3Ia5VoYTBaC3hh5QAssfw5WuXg")</f>
        <v>https://drive.google.com/open?id=1ldDgzm3Ia5VoYTBaC3hh5QAssfw5WuXg</v>
      </c>
      <c r="O81" s="18" t="str">
        <f>IFERROR(__xludf.DUMMYFUNCTION("""COMPUTED_VALUE"""),"In Progress")</f>
        <v>In Progress</v>
      </c>
      <c r="P81" s="1" t="str">
        <f>IFERROR(__xludf.DUMMYFUNCTION("""COMPUTED_VALUE"""),"")</f>
        <v/>
      </c>
      <c r="Q81" s="1" t="str">
        <f>IFERROR(__xludf.DUMMYFUNCTION("""COMPUTED_VALUE"""),"")</f>
        <v/>
      </c>
      <c r="R81" s="1" t="str">
        <f>IFERROR(__xludf.DUMMYFUNCTION("""COMPUTED_VALUE"""),"")</f>
        <v/>
      </c>
      <c r="S81" s="1" t="str">
        <f>IFERROR(__xludf.DUMMYFUNCTION("""COMPUTED_VALUE"""),"")</f>
        <v/>
      </c>
      <c r="T81" s="1" t="str">
        <f>IFERROR(__xludf.DUMMYFUNCTION("""COMPUTED_VALUE"""),"")</f>
        <v/>
      </c>
      <c r="U81" s="1" t="str">
        <f>IFERROR(__xludf.DUMMYFUNCTION("""COMPUTED_VALUE"""),"")</f>
        <v/>
      </c>
      <c r="V81" s="1" t="str">
        <f>IFERROR(__xludf.DUMMYFUNCTION("""COMPUTED_VALUE"""),"")</f>
        <v/>
      </c>
      <c r="W81" s="1" t="str">
        <f>IFERROR(__xludf.DUMMYFUNCTION("""COMPUTED_VALUE"""),"")</f>
        <v/>
      </c>
      <c r="X81" s="1" t="str">
        <f>IFERROR(__xludf.DUMMYFUNCTION("""COMPUTED_VALUE"""),"")</f>
        <v/>
      </c>
      <c r="Y81" s="1" t="str">
        <f>IFERROR(__xludf.DUMMYFUNCTION("""COMPUTED_VALUE"""),"")</f>
        <v/>
      </c>
      <c r="Z81" s="1" t="str">
        <f>IFERROR(__xludf.DUMMYFUNCTION("""COMPUTED_VALUE"""),"")</f>
        <v/>
      </c>
      <c r="AA81" s="1" t="str">
        <f>IFERROR(__xludf.DUMMYFUNCTION("""COMPUTED_VALUE"""),"")</f>
        <v/>
      </c>
      <c r="AB81" s="1" t="str">
        <f>IFERROR(__xludf.DUMMYFUNCTION("""COMPUTED_VALUE"""),"")</f>
        <v/>
      </c>
      <c r="AC81" s="1"/>
      <c r="AD81" s="1"/>
      <c r="AE81" s="1"/>
      <c r="AF81" s="1"/>
      <c r="AG81" s="1"/>
      <c r="AH81" s="1"/>
      <c r="AI81" s="1"/>
      <c r="AJ81" s="1"/>
    </row>
    <row r="82">
      <c r="A82" s="7"/>
      <c r="B82" s="8"/>
      <c r="C82" s="9">
        <f>IFERROR(__xludf.DUMMYFUNCTION("""COMPUTED_VALUE"""),14055.0)</f>
        <v>14055</v>
      </c>
      <c r="D82" s="10" t="str">
        <f>IFERROR(__xludf.DUMMYFUNCTION("""COMPUTED_VALUE"""),"R01")</f>
        <v>R01</v>
      </c>
      <c r="E82" s="31" t="str">
        <f>IFERROR(__xludf.DUMMYFUNCTION("""COMPUTED_VALUE"""),"Drogue Release Lower Saddle")</f>
        <v>Drogue Release Lower Saddle</v>
      </c>
      <c r="F82" s="2" t="str">
        <f>IFERROR(__xludf.DUMMYFUNCTION("""COMPUTED_VALUE"""),"Structures")</f>
        <v>Structures</v>
      </c>
      <c r="G82" s="2" t="str">
        <f>IFERROR(__xludf.DUMMYFUNCTION("""COMPUTED_VALUE"""),"Solidworks")</f>
        <v>Solidworks</v>
      </c>
      <c r="H82" s="2" t="str">
        <f>IFERROR(__xludf.DUMMYFUNCTION("""COMPUTED_VALUE"""),"Marginal Stability")</f>
        <v>Marginal Stability</v>
      </c>
      <c r="I82" s="12" t="str">
        <f>IFERROR(__xludf.DUMMYFUNCTION("""COMPUTED_VALUE"""),"Holds pins in cutter")</f>
        <v>Holds pins in cutter</v>
      </c>
      <c r="J82" s="2" t="str">
        <f>IFERROR(__xludf.DUMMYFUNCTION("""COMPUTED_VALUE"""),"6061-T6")</f>
        <v>6061-T6</v>
      </c>
      <c r="K82" s="2" t="str">
        <f>IFERROR(__xludf.DUMMYFUNCTION("""COMPUTED_VALUE"""),"Imperial")</f>
        <v>Imperial</v>
      </c>
      <c r="L82" s="2" t="str">
        <f>IFERROR(__xludf.DUMMYFUNCTION("""COMPUTED_VALUE"""),"Kyle Gore")</f>
        <v>Kyle Gore</v>
      </c>
      <c r="M82" s="26">
        <f>IFERROR(__xludf.DUMMYFUNCTION("""COMPUTED_VALUE"""),43522.0)</f>
        <v>43522</v>
      </c>
      <c r="N82" s="45" t="str">
        <f>IFERROR(__xludf.DUMMYFUNCTION("""COMPUTED_VALUE"""),"https://drive.google.com/open?id=1BmDLdiBl-Mf_niiGL_JTUYG8CC4aqm67")</f>
        <v>https://drive.google.com/open?id=1BmDLdiBl-Mf_niiGL_JTUYG8CC4aqm67</v>
      </c>
      <c r="O82" s="18" t="str">
        <f>IFERROR(__xludf.DUMMYFUNCTION("""COMPUTED_VALUE"""),"In Progress")</f>
        <v>In Progress</v>
      </c>
      <c r="P82" s="1" t="str">
        <f>IFERROR(__xludf.DUMMYFUNCTION("""COMPUTED_VALUE"""),"")</f>
        <v/>
      </c>
      <c r="Q82" s="1" t="str">
        <f>IFERROR(__xludf.DUMMYFUNCTION("""COMPUTED_VALUE"""),"")</f>
        <v/>
      </c>
      <c r="R82" s="1" t="str">
        <f>IFERROR(__xludf.DUMMYFUNCTION("""COMPUTED_VALUE"""),"")</f>
        <v/>
      </c>
      <c r="S82" s="1" t="str">
        <f>IFERROR(__xludf.DUMMYFUNCTION("""COMPUTED_VALUE"""),"")</f>
        <v/>
      </c>
      <c r="T82" s="1" t="str">
        <f>IFERROR(__xludf.DUMMYFUNCTION("""COMPUTED_VALUE"""),"")</f>
        <v/>
      </c>
      <c r="U82" s="1" t="str">
        <f>IFERROR(__xludf.DUMMYFUNCTION("""COMPUTED_VALUE"""),"")</f>
        <v/>
      </c>
      <c r="V82" s="1" t="str">
        <f>IFERROR(__xludf.DUMMYFUNCTION("""COMPUTED_VALUE"""),"")</f>
        <v/>
      </c>
      <c r="W82" s="1" t="str">
        <f>IFERROR(__xludf.DUMMYFUNCTION("""COMPUTED_VALUE"""),"")</f>
        <v/>
      </c>
      <c r="X82" s="1" t="str">
        <f>IFERROR(__xludf.DUMMYFUNCTION("""COMPUTED_VALUE"""),"")</f>
        <v/>
      </c>
      <c r="Y82" s="1" t="str">
        <f>IFERROR(__xludf.DUMMYFUNCTION("""COMPUTED_VALUE"""),"")</f>
        <v/>
      </c>
      <c r="Z82" s="1" t="str">
        <f>IFERROR(__xludf.DUMMYFUNCTION("""COMPUTED_VALUE"""),"")</f>
        <v/>
      </c>
      <c r="AA82" s="1" t="str">
        <f>IFERROR(__xludf.DUMMYFUNCTION("""COMPUTED_VALUE"""),"")</f>
        <v/>
      </c>
      <c r="AB82" s="1" t="str">
        <f>IFERROR(__xludf.DUMMYFUNCTION("""COMPUTED_VALUE"""),"")</f>
        <v/>
      </c>
      <c r="AC82" s="1"/>
      <c r="AD82" s="1"/>
      <c r="AE82" s="1"/>
      <c r="AF82" s="1"/>
      <c r="AG82" s="1"/>
      <c r="AH82" s="1"/>
      <c r="AI82" s="1"/>
      <c r="AJ82" s="1"/>
    </row>
    <row r="83">
      <c r="A83" s="7"/>
      <c r="B83" s="8"/>
      <c r="C83" s="9">
        <f>IFERROR(__xludf.DUMMYFUNCTION("""COMPUTED_VALUE"""),14056.0)</f>
        <v>14056</v>
      </c>
      <c r="D83" s="10" t="str">
        <f>IFERROR(__xludf.DUMMYFUNCTION("""COMPUTED_VALUE"""),"R02")</f>
        <v>R02</v>
      </c>
      <c r="E83" s="31" t="str">
        <f>IFERROR(__xludf.DUMMYFUNCTION("""COMPUTED_VALUE"""),"Drogue Release Upper Saddle")</f>
        <v>Drogue Release Upper Saddle</v>
      </c>
      <c r="F83" s="2" t="str">
        <f>IFERROR(__xludf.DUMMYFUNCTION("""COMPUTED_VALUE"""),"Structures")</f>
        <v>Structures</v>
      </c>
      <c r="G83" s="2" t="str">
        <f>IFERROR(__xludf.DUMMYFUNCTION("""COMPUTED_VALUE"""),"Solidworks")</f>
        <v>Solidworks</v>
      </c>
      <c r="H83" s="2" t="str">
        <f>IFERROR(__xludf.DUMMYFUNCTION("""COMPUTED_VALUE"""),"Marginal Stability")</f>
        <v>Marginal Stability</v>
      </c>
      <c r="I83" s="12" t="str">
        <f>IFERROR(__xludf.DUMMYFUNCTION("""COMPUTED_VALUE"""),"Holds pins in cutter")</f>
        <v>Holds pins in cutter</v>
      </c>
      <c r="J83" s="2" t="str">
        <f>IFERROR(__xludf.DUMMYFUNCTION("""COMPUTED_VALUE"""),"6061-T6")</f>
        <v>6061-T6</v>
      </c>
      <c r="K83" s="2" t="str">
        <f>IFERROR(__xludf.DUMMYFUNCTION("""COMPUTED_VALUE"""),"Imperial")</f>
        <v>Imperial</v>
      </c>
      <c r="L83" s="2" t="str">
        <f>IFERROR(__xludf.DUMMYFUNCTION("""COMPUTED_VALUE"""),"Kyle Gore")</f>
        <v>Kyle Gore</v>
      </c>
      <c r="M83" s="26">
        <f>IFERROR(__xludf.DUMMYFUNCTION("""COMPUTED_VALUE"""),43522.0)</f>
        <v>43522</v>
      </c>
      <c r="N83" s="45" t="str">
        <f>IFERROR(__xludf.DUMMYFUNCTION("""COMPUTED_VALUE"""),"https://drive.google.com/open?id=1rHOMWHSBCMrWoFDgI5eZ8TtWKP2x-YB-")</f>
        <v>https://drive.google.com/open?id=1rHOMWHSBCMrWoFDgI5eZ8TtWKP2x-YB-</v>
      </c>
      <c r="O83" s="18" t="str">
        <f>IFERROR(__xludf.DUMMYFUNCTION("""COMPUTED_VALUE"""),"In Progress")</f>
        <v>In Progress</v>
      </c>
      <c r="P83" s="1" t="str">
        <f>IFERROR(__xludf.DUMMYFUNCTION("""COMPUTED_VALUE"""),"")</f>
        <v/>
      </c>
      <c r="Q83" s="1" t="str">
        <f>IFERROR(__xludf.DUMMYFUNCTION("""COMPUTED_VALUE"""),"")</f>
        <v/>
      </c>
      <c r="R83" s="1" t="str">
        <f>IFERROR(__xludf.DUMMYFUNCTION("""COMPUTED_VALUE"""),"")</f>
        <v/>
      </c>
      <c r="S83" s="1" t="str">
        <f>IFERROR(__xludf.DUMMYFUNCTION("""COMPUTED_VALUE"""),"")</f>
        <v/>
      </c>
      <c r="T83" s="1" t="str">
        <f>IFERROR(__xludf.DUMMYFUNCTION("""COMPUTED_VALUE"""),"")</f>
        <v/>
      </c>
      <c r="U83" s="1" t="str">
        <f>IFERROR(__xludf.DUMMYFUNCTION("""COMPUTED_VALUE"""),"")</f>
        <v/>
      </c>
      <c r="V83" s="1" t="str">
        <f>IFERROR(__xludf.DUMMYFUNCTION("""COMPUTED_VALUE"""),"")</f>
        <v/>
      </c>
      <c r="W83" s="1" t="str">
        <f>IFERROR(__xludf.DUMMYFUNCTION("""COMPUTED_VALUE"""),"")</f>
        <v/>
      </c>
      <c r="X83" s="1" t="str">
        <f>IFERROR(__xludf.DUMMYFUNCTION("""COMPUTED_VALUE"""),"")</f>
        <v/>
      </c>
      <c r="Y83" s="1" t="str">
        <f>IFERROR(__xludf.DUMMYFUNCTION("""COMPUTED_VALUE"""),"")</f>
        <v/>
      </c>
      <c r="Z83" s="1" t="str">
        <f>IFERROR(__xludf.DUMMYFUNCTION("""COMPUTED_VALUE"""),"")</f>
        <v/>
      </c>
      <c r="AA83" s="1" t="str">
        <f>IFERROR(__xludf.DUMMYFUNCTION("""COMPUTED_VALUE"""),"")</f>
        <v/>
      </c>
      <c r="AB83" s="1" t="str">
        <f>IFERROR(__xludf.DUMMYFUNCTION("""COMPUTED_VALUE"""),"")</f>
        <v/>
      </c>
      <c r="AC83" s="1"/>
      <c r="AD83" s="1"/>
      <c r="AE83" s="1"/>
      <c r="AF83" s="1"/>
      <c r="AG83" s="1"/>
      <c r="AH83" s="1"/>
      <c r="AI83" s="1"/>
      <c r="AJ83" s="1"/>
    </row>
    <row r="84">
      <c r="A84" s="7"/>
      <c r="B84" s="8"/>
      <c r="C84" s="9">
        <f>IFERROR(__xludf.DUMMYFUNCTION("""COMPUTED_VALUE"""),14057.0)</f>
        <v>14057</v>
      </c>
      <c r="D84" s="10" t="str">
        <f>IFERROR(__xludf.DUMMYFUNCTION("""COMPUTED_VALUE"""),"R01")</f>
        <v>R01</v>
      </c>
      <c r="E84" s="31" t="str">
        <f>IFERROR(__xludf.DUMMYFUNCTION("""COMPUTED_VALUE"""),"Drogue Release Pin")</f>
        <v>Drogue Release Pin</v>
      </c>
      <c r="F84" s="2" t="str">
        <f>IFERROR(__xludf.DUMMYFUNCTION("""COMPUTED_VALUE"""),"Structures")</f>
        <v>Structures</v>
      </c>
      <c r="G84" s="2" t="str">
        <f>IFERROR(__xludf.DUMMYFUNCTION("""COMPUTED_VALUE"""),"Solidworks")</f>
        <v>Solidworks</v>
      </c>
      <c r="H84" s="2" t="str">
        <f>IFERROR(__xludf.DUMMYFUNCTION("""COMPUTED_VALUE"""),"Marginal Stability")</f>
        <v>Marginal Stability</v>
      </c>
      <c r="I84" s="12" t="str">
        <f>IFERROR(__xludf.DUMMYFUNCTION("""COMPUTED_VALUE"""),"Holds nichrome cutting line against vectran line")</f>
        <v>Holds nichrome cutting line against vectran line</v>
      </c>
      <c r="J84" s="2" t="str">
        <f>IFERROR(__xludf.DUMMYFUNCTION("""COMPUTED_VALUE"""),"18-8 Stainless")</f>
        <v>18-8 Stainless</v>
      </c>
      <c r="K84" s="2" t="str">
        <f>IFERROR(__xludf.DUMMYFUNCTION("""COMPUTED_VALUE"""),"Imperial")</f>
        <v>Imperial</v>
      </c>
      <c r="L84" s="2" t="str">
        <f>IFERROR(__xludf.DUMMYFUNCTION("""COMPUTED_VALUE"""),"Kyle Gore")</f>
        <v>Kyle Gore</v>
      </c>
      <c r="M84" s="26">
        <f>IFERROR(__xludf.DUMMYFUNCTION("""COMPUTED_VALUE"""),43522.0)</f>
        <v>43522</v>
      </c>
      <c r="N84" s="45" t="str">
        <f>IFERROR(__xludf.DUMMYFUNCTION("""COMPUTED_VALUE"""),"https://drive.google.com/open?id=1MXPy_H_8nb0gZgMKvIbv58IVEqk79OC5")</f>
        <v>https://drive.google.com/open?id=1MXPy_H_8nb0gZgMKvIbv58IVEqk79OC5</v>
      </c>
      <c r="O84" s="18" t="str">
        <f>IFERROR(__xludf.DUMMYFUNCTION("""COMPUTED_VALUE"""),"In Progress")</f>
        <v>In Progress</v>
      </c>
      <c r="P84" s="1" t="str">
        <f>IFERROR(__xludf.DUMMYFUNCTION("""COMPUTED_VALUE"""),"")</f>
        <v/>
      </c>
      <c r="Q84" s="1" t="str">
        <f>IFERROR(__xludf.DUMMYFUNCTION("""COMPUTED_VALUE"""),"")</f>
        <v/>
      </c>
      <c r="R84" s="1" t="str">
        <f>IFERROR(__xludf.DUMMYFUNCTION("""COMPUTED_VALUE"""),"")</f>
        <v/>
      </c>
      <c r="S84" s="1" t="str">
        <f>IFERROR(__xludf.DUMMYFUNCTION("""COMPUTED_VALUE"""),"")</f>
        <v/>
      </c>
      <c r="T84" s="1" t="str">
        <f>IFERROR(__xludf.DUMMYFUNCTION("""COMPUTED_VALUE"""),"")</f>
        <v/>
      </c>
      <c r="U84" s="1" t="str">
        <f>IFERROR(__xludf.DUMMYFUNCTION("""COMPUTED_VALUE"""),"")</f>
        <v/>
      </c>
      <c r="V84" s="1" t="str">
        <f>IFERROR(__xludf.DUMMYFUNCTION("""COMPUTED_VALUE"""),"")</f>
        <v/>
      </c>
      <c r="W84" s="1" t="str">
        <f>IFERROR(__xludf.DUMMYFUNCTION("""COMPUTED_VALUE"""),"")</f>
        <v/>
      </c>
      <c r="X84" s="1" t="str">
        <f>IFERROR(__xludf.DUMMYFUNCTION("""COMPUTED_VALUE"""),"")</f>
        <v/>
      </c>
      <c r="Y84" s="1" t="str">
        <f>IFERROR(__xludf.DUMMYFUNCTION("""COMPUTED_VALUE"""),"")</f>
        <v/>
      </c>
      <c r="Z84" s="1" t="str">
        <f>IFERROR(__xludf.DUMMYFUNCTION("""COMPUTED_VALUE"""),"")</f>
        <v/>
      </c>
      <c r="AA84" s="1" t="str">
        <f>IFERROR(__xludf.DUMMYFUNCTION("""COMPUTED_VALUE"""),"")</f>
        <v/>
      </c>
      <c r="AB84" s="1" t="str">
        <f>IFERROR(__xludf.DUMMYFUNCTION("""COMPUTED_VALUE"""),"")</f>
        <v/>
      </c>
      <c r="AC84" s="1"/>
      <c r="AD84" s="1"/>
      <c r="AE84" s="1"/>
      <c r="AF84" s="1"/>
      <c r="AG84" s="1"/>
      <c r="AH84" s="1"/>
      <c r="AI84" s="1"/>
      <c r="AJ84" s="1"/>
    </row>
    <row r="85">
      <c r="A85" s="7"/>
      <c r="B85" s="8"/>
      <c r="C85" s="9">
        <f>IFERROR(__xludf.DUMMYFUNCTION("""COMPUTED_VALUE"""),14058.0)</f>
        <v>14058</v>
      </c>
      <c r="D85" s="10" t="str">
        <f>IFERROR(__xludf.DUMMYFUNCTION("""COMPUTED_VALUE"""),"R01")</f>
        <v>R01</v>
      </c>
      <c r="E85" s="11" t="str">
        <f>IFERROR(__xludf.DUMMYFUNCTION("""COMPUTED_VALUE"""),"Annular Insulation")</f>
        <v>Annular Insulation</v>
      </c>
      <c r="F85" s="2" t="str">
        <f>IFERROR(__xludf.DUMMYFUNCTION("""COMPUTED_VALUE"""),"Structures")</f>
        <v>Structures</v>
      </c>
      <c r="G85" s="2" t="str">
        <f>IFERROR(__xludf.DUMMYFUNCTION("""COMPUTED_VALUE"""),"Solidworks")</f>
        <v>Solidworks</v>
      </c>
      <c r="H85" s="2" t="str">
        <f>IFERROR(__xludf.DUMMYFUNCTION("""COMPUTED_VALUE"""),"Marginal Stability")</f>
        <v>Marginal Stability</v>
      </c>
      <c r="I85" s="25" t="str">
        <f>IFERROR(__xludf.DUMMYFUNCTION("""COMPUTED_VALUE"""),"Insulates the RP-1 tanks from the LOX passing through the tank.")</f>
        <v>Insulates the RP-1 tanks from the LOX passing through the tank.</v>
      </c>
      <c r="J85" s="18" t="str">
        <f>IFERROR(__xludf.DUMMYFUNCTION("""COMPUTED_VALUE"""),"6061-T6")</f>
        <v>6061-T6</v>
      </c>
      <c r="K85" s="2" t="str">
        <f>IFERROR(__xludf.DUMMYFUNCTION("""COMPUTED_VALUE"""),"Imperial")</f>
        <v>Imperial</v>
      </c>
      <c r="L85" s="2" t="str">
        <f>IFERROR(__xludf.DUMMYFUNCTION("""COMPUTED_VALUE"""),"Alexander Pallesco")</f>
        <v>Alexander Pallesco</v>
      </c>
      <c r="M85" s="21">
        <f>IFERROR(__xludf.DUMMYFUNCTION("""COMPUTED_VALUE"""),43533.0)</f>
        <v>43533</v>
      </c>
      <c r="N85" s="37" t="str">
        <f>IFERROR(__xludf.DUMMYFUNCTION("""COMPUTED_VALUE"""),"")</f>
        <v/>
      </c>
      <c r="O85" s="18" t="str">
        <f>IFERROR(__xludf.DUMMYFUNCTION("""COMPUTED_VALUE"""),"In Progress")</f>
        <v>In Progress</v>
      </c>
      <c r="P85" s="1" t="str">
        <f>IFERROR(__xludf.DUMMYFUNCTION("""COMPUTED_VALUE"""),"")</f>
        <v/>
      </c>
      <c r="Q85" s="1" t="str">
        <f>IFERROR(__xludf.DUMMYFUNCTION("""COMPUTED_VALUE"""),"")</f>
        <v/>
      </c>
      <c r="R85" s="1" t="str">
        <f>IFERROR(__xludf.DUMMYFUNCTION("""COMPUTED_VALUE"""),"")</f>
        <v/>
      </c>
      <c r="S85" s="1" t="str">
        <f>IFERROR(__xludf.DUMMYFUNCTION("""COMPUTED_VALUE"""),"")</f>
        <v/>
      </c>
      <c r="T85" s="1" t="str">
        <f>IFERROR(__xludf.DUMMYFUNCTION("""COMPUTED_VALUE"""),"")</f>
        <v/>
      </c>
      <c r="U85" s="1" t="str">
        <f>IFERROR(__xludf.DUMMYFUNCTION("""COMPUTED_VALUE"""),"")</f>
        <v/>
      </c>
      <c r="V85" s="1" t="str">
        <f>IFERROR(__xludf.DUMMYFUNCTION("""COMPUTED_VALUE"""),"")</f>
        <v/>
      </c>
      <c r="W85" s="1" t="str">
        <f>IFERROR(__xludf.DUMMYFUNCTION("""COMPUTED_VALUE"""),"")</f>
        <v/>
      </c>
      <c r="X85" s="1" t="str">
        <f>IFERROR(__xludf.DUMMYFUNCTION("""COMPUTED_VALUE"""),"")</f>
        <v/>
      </c>
      <c r="Y85" s="1" t="str">
        <f>IFERROR(__xludf.DUMMYFUNCTION("""COMPUTED_VALUE"""),"")</f>
        <v/>
      </c>
      <c r="Z85" s="1" t="str">
        <f>IFERROR(__xludf.DUMMYFUNCTION("""COMPUTED_VALUE"""),"")</f>
        <v/>
      </c>
      <c r="AA85" s="1" t="str">
        <f>IFERROR(__xludf.DUMMYFUNCTION("""COMPUTED_VALUE"""),"")</f>
        <v/>
      </c>
      <c r="AB85" s="1" t="str">
        <f>IFERROR(__xludf.DUMMYFUNCTION("""COMPUTED_VALUE"""),"")</f>
        <v/>
      </c>
      <c r="AC85" s="1"/>
      <c r="AD85" s="1"/>
      <c r="AE85" s="1"/>
      <c r="AF85" s="1"/>
      <c r="AG85" s="1"/>
      <c r="AH85" s="1"/>
      <c r="AI85" s="1"/>
      <c r="AJ85" s="1"/>
    </row>
    <row r="86">
      <c r="A86" s="7"/>
      <c r="B86" s="8"/>
      <c r="C86" s="9">
        <f>IFERROR(__xludf.DUMMYFUNCTION("""COMPUTED_VALUE"""),14059.0)</f>
        <v>14059</v>
      </c>
      <c r="D86" s="10" t="str">
        <f>IFERROR(__xludf.DUMMYFUNCTION("""COMPUTED_VALUE"""),"R01")</f>
        <v>R01</v>
      </c>
      <c r="E86" s="11" t="str">
        <f>IFERROR(__xludf.DUMMYFUNCTION("""COMPUTED_VALUE"""),"Annular Conduit")</f>
        <v>Annular Conduit</v>
      </c>
      <c r="F86" s="2" t="str">
        <f>IFERROR(__xludf.DUMMYFUNCTION("""COMPUTED_VALUE"""),"Structures")</f>
        <v>Structures</v>
      </c>
      <c r="G86" s="2" t="str">
        <f>IFERROR(__xludf.DUMMYFUNCTION("""COMPUTED_VALUE"""),"Solidworks")</f>
        <v>Solidworks</v>
      </c>
      <c r="H86" s="2" t="str">
        <f>IFERROR(__xludf.DUMMYFUNCTION("""COMPUTED_VALUE"""),"Marginal Stability")</f>
        <v>Marginal Stability</v>
      </c>
      <c r="I86" s="25" t="str">
        <f>IFERROR(__xludf.DUMMYFUNCTION("""COMPUTED_VALUE"""),"Allows for wiring to run through propellant tanks")</f>
        <v>Allows for wiring to run through propellant tanks</v>
      </c>
      <c r="J86" s="18" t="str">
        <f>IFERROR(__xludf.DUMMYFUNCTION("""COMPUTED_VALUE"""),"6061-T6")</f>
        <v>6061-T6</v>
      </c>
      <c r="K86" s="2" t="str">
        <f>IFERROR(__xludf.DUMMYFUNCTION("""COMPUTED_VALUE"""),"Imperial")</f>
        <v>Imperial</v>
      </c>
      <c r="L86" t="str">
        <f>IFERROR(__xludf.DUMMYFUNCTION("""COMPUTED_VALUE"""),"Joshua Elmer")</f>
        <v>Joshua Elmer</v>
      </c>
      <c r="M86" s="49">
        <f>IFERROR(__xludf.DUMMYFUNCTION("""COMPUTED_VALUE"""),43561.0)</f>
        <v>43561</v>
      </c>
      <c r="N86" s="18" t="str">
        <f>IFERROR(__xludf.DUMMYFUNCTION("""COMPUTED_VALUE"""),"")</f>
        <v/>
      </c>
      <c r="O86" s="18" t="str">
        <f>IFERROR(__xludf.DUMMYFUNCTION("""COMPUTED_VALUE"""),"In Progress")</f>
        <v>In Progress</v>
      </c>
      <c r="P86" s="1" t="str">
        <f>IFERROR(__xludf.DUMMYFUNCTION("""COMPUTED_VALUE"""),"")</f>
        <v/>
      </c>
      <c r="Q86" s="1" t="str">
        <f>IFERROR(__xludf.DUMMYFUNCTION("""COMPUTED_VALUE"""),"")</f>
        <v/>
      </c>
      <c r="R86" s="1" t="str">
        <f>IFERROR(__xludf.DUMMYFUNCTION("""COMPUTED_VALUE"""),"")</f>
        <v/>
      </c>
      <c r="S86" s="1" t="str">
        <f>IFERROR(__xludf.DUMMYFUNCTION("""COMPUTED_VALUE"""),"")</f>
        <v/>
      </c>
      <c r="T86" s="1" t="str">
        <f>IFERROR(__xludf.DUMMYFUNCTION("""COMPUTED_VALUE"""),"")</f>
        <v/>
      </c>
      <c r="U86" s="1" t="str">
        <f>IFERROR(__xludf.DUMMYFUNCTION("""COMPUTED_VALUE"""),"")</f>
        <v/>
      </c>
      <c r="V86" s="1" t="str">
        <f>IFERROR(__xludf.DUMMYFUNCTION("""COMPUTED_VALUE"""),"")</f>
        <v/>
      </c>
      <c r="W86" s="1" t="str">
        <f>IFERROR(__xludf.DUMMYFUNCTION("""COMPUTED_VALUE"""),"")</f>
        <v/>
      </c>
      <c r="X86" s="1" t="str">
        <f>IFERROR(__xludf.DUMMYFUNCTION("""COMPUTED_VALUE"""),"")</f>
        <v/>
      </c>
      <c r="Y86" s="1" t="str">
        <f>IFERROR(__xludf.DUMMYFUNCTION("""COMPUTED_VALUE"""),"")</f>
        <v/>
      </c>
      <c r="Z86" s="1" t="str">
        <f>IFERROR(__xludf.DUMMYFUNCTION("""COMPUTED_VALUE"""),"")</f>
        <v/>
      </c>
      <c r="AA86" s="1" t="str">
        <f>IFERROR(__xludf.DUMMYFUNCTION("""COMPUTED_VALUE"""),"")</f>
        <v/>
      </c>
      <c r="AB86" s="1" t="str">
        <f>IFERROR(__xludf.DUMMYFUNCTION("""COMPUTED_VALUE"""),"")</f>
        <v/>
      </c>
      <c r="AC86" s="1"/>
      <c r="AD86" s="1"/>
      <c r="AE86" s="1"/>
      <c r="AF86" s="1"/>
      <c r="AG86" s="1"/>
      <c r="AH86" s="1"/>
      <c r="AI86" s="1"/>
      <c r="AJ86" s="1"/>
    </row>
    <row r="87">
      <c r="A87" s="7"/>
      <c r="B87" s="8"/>
      <c r="C87" s="9">
        <f>IFERROR(__xludf.DUMMYFUNCTION("""COMPUTED_VALUE"""),14060.0)</f>
        <v>14060</v>
      </c>
      <c r="D87" s="28" t="str">
        <f>IFERROR(__xludf.DUMMYFUNCTION("""COMPUTED_VALUE"""),"R01")</f>
        <v>R01</v>
      </c>
      <c r="E87" s="29" t="str">
        <f>IFERROR(__xludf.DUMMYFUNCTION("""COMPUTED_VALUE"""),"Pin Snap Rings")</f>
        <v>Pin Snap Rings</v>
      </c>
      <c r="F87" s="18" t="str">
        <f>IFERROR(__xludf.DUMMYFUNCTION("""COMPUTED_VALUE"""),"Structures")</f>
        <v>Structures</v>
      </c>
      <c r="G87" s="18" t="str">
        <f>IFERROR(__xludf.DUMMYFUNCTION("""COMPUTED_VALUE"""),"Solidworks")</f>
        <v>Solidworks</v>
      </c>
      <c r="H87" s="18" t="str">
        <f>IFERROR(__xludf.DUMMYFUNCTION("""COMPUTED_VALUE"""),"Marginal Stability")</f>
        <v>Marginal Stability</v>
      </c>
      <c r="I87" s="25" t="str">
        <f>IFERROR(__xludf.DUMMYFUNCTION("""COMPUTED_VALUE"""),"Holds drogue chute release parts on sliding pins")</f>
        <v>Holds drogue chute release parts on sliding pins</v>
      </c>
      <c r="J87" s="18" t="str">
        <f>IFERROR(__xludf.DUMMYFUNCTION("""COMPUTED_VALUE"""),"Beryllium Copper")</f>
        <v>Beryllium Copper</v>
      </c>
      <c r="K87" s="18" t="str">
        <f>IFERROR(__xludf.DUMMYFUNCTION("""COMPUTED_VALUE"""),"Imperial")</f>
        <v>Imperial</v>
      </c>
      <c r="L87" s="18" t="str">
        <f>IFERROR(__xludf.DUMMYFUNCTION("""COMPUTED_VALUE"""),"Kyle Gore")</f>
        <v>Kyle Gore</v>
      </c>
      <c r="M87" s="33">
        <f>IFERROR(__xludf.DUMMYFUNCTION("""COMPUTED_VALUE"""),43561.0)</f>
        <v>43561</v>
      </c>
      <c r="N87" s="34" t="str">
        <f>IFERROR(__xludf.DUMMYFUNCTION("""COMPUTED_VALUE"""),"https://www.mcmaster.com/98410a635")</f>
        <v>https://www.mcmaster.com/98410a635</v>
      </c>
      <c r="O87" s="18" t="str">
        <f>IFERROR(__xludf.DUMMYFUNCTION("""COMPUTED_VALUE"""),"In Progress")</f>
        <v>In Progress</v>
      </c>
      <c r="P87" s="1" t="str">
        <f>IFERROR(__xludf.DUMMYFUNCTION("""COMPUTED_VALUE"""),"")</f>
        <v/>
      </c>
      <c r="Q87" s="1" t="str">
        <f>IFERROR(__xludf.DUMMYFUNCTION("""COMPUTED_VALUE"""),"")</f>
        <v/>
      </c>
      <c r="R87" s="1" t="str">
        <f>IFERROR(__xludf.DUMMYFUNCTION("""COMPUTED_VALUE"""),"")</f>
        <v/>
      </c>
      <c r="S87" s="1" t="str">
        <f>IFERROR(__xludf.DUMMYFUNCTION("""COMPUTED_VALUE"""),"")</f>
        <v/>
      </c>
      <c r="T87" s="1" t="str">
        <f>IFERROR(__xludf.DUMMYFUNCTION("""COMPUTED_VALUE"""),"")</f>
        <v/>
      </c>
      <c r="U87" s="1" t="str">
        <f>IFERROR(__xludf.DUMMYFUNCTION("""COMPUTED_VALUE"""),"")</f>
        <v/>
      </c>
      <c r="V87" s="1" t="str">
        <f>IFERROR(__xludf.DUMMYFUNCTION("""COMPUTED_VALUE"""),"")</f>
        <v/>
      </c>
      <c r="W87" s="1" t="str">
        <f>IFERROR(__xludf.DUMMYFUNCTION("""COMPUTED_VALUE"""),"")</f>
        <v/>
      </c>
      <c r="X87" s="1" t="str">
        <f>IFERROR(__xludf.DUMMYFUNCTION("""COMPUTED_VALUE"""),"")</f>
        <v/>
      </c>
      <c r="Y87" s="1" t="str">
        <f>IFERROR(__xludf.DUMMYFUNCTION("""COMPUTED_VALUE"""),"")</f>
        <v/>
      </c>
      <c r="Z87" s="1" t="str">
        <f>IFERROR(__xludf.DUMMYFUNCTION("""COMPUTED_VALUE"""),"")</f>
        <v/>
      </c>
      <c r="AA87" s="1" t="str">
        <f>IFERROR(__xludf.DUMMYFUNCTION("""COMPUTED_VALUE"""),"")</f>
        <v/>
      </c>
      <c r="AB87" s="1" t="str">
        <f>IFERROR(__xludf.DUMMYFUNCTION("""COMPUTED_VALUE"""),"")</f>
        <v/>
      </c>
      <c r="AC87" s="1"/>
      <c r="AD87" s="1"/>
      <c r="AE87" s="1"/>
      <c r="AF87" s="1"/>
      <c r="AG87" s="1"/>
      <c r="AH87" s="1"/>
      <c r="AI87" s="1"/>
      <c r="AJ87" s="1"/>
    </row>
    <row r="88">
      <c r="A88" s="7"/>
      <c r="B88" s="8"/>
      <c r="C88" s="9">
        <f>IFERROR(__xludf.DUMMYFUNCTION("""COMPUTED_VALUE"""),14061.0)</f>
        <v>14061</v>
      </c>
      <c r="D88" s="28" t="str">
        <f>IFERROR(__xludf.DUMMYFUNCTION("""COMPUTED_VALUE"""),"R01")</f>
        <v>R01</v>
      </c>
      <c r="E88" s="29" t="str">
        <f>IFERROR(__xludf.DUMMYFUNCTION("""COMPUTED_VALUE"""),"Nosecone Tether Mount")</f>
        <v>Nosecone Tether Mount</v>
      </c>
      <c r="F88" s="18" t="str">
        <f>IFERROR(__xludf.DUMMYFUNCTION("""COMPUTED_VALUE"""),"Structures")</f>
        <v>Structures</v>
      </c>
      <c r="G88" s="18" t="str">
        <f>IFERROR(__xludf.DUMMYFUNCTION("""COMPUTED_VALUE"""),"Solidworks")</f>
        <v>Solidworks</v>
      </c>
      <c r="H88" s="18" t="str">
        <f>IFERROR(__xludf.DUMMYFUNCTION("""COMPUTED_VALUE"""),"Marginal Stability")</f>
        <v>Marginal Stability</v>
      </c>
      <c r="I88" s="25" t="str">
        <f>IFERROR(__xludf.DUMMYFUNCTION("""COMPUTED_VALUE"""),"Mounting point to attach tether to nosecone")</f>
        <v>Mounting point to attach tether to nosecone</v>
      </c>
      <c r="J88" s="18" t="str">
        <f>IFERROR(__xludf.DUMMYFUNCTION("""COMPUTED_VALUE"""),"Onyx")</f>
        <v>Onyx</v>
      </c>
      <c r="K88" s="18" t="str">
        <f>IFERROR(__xludf.DUMMYFUNCTION("""COMPUTED_VALUE"""),"Imperial")</f>
        <v>Imperial</v>
      </c>
      <c r="L88" s="18" t="str">
        <f>IFERROR(__xludf.DUMMYFUNCTION("""COMPUTED_VALUE"""),"Kyle Gore")</f>
        <v>Kyle Gore</v>
      </c>
      <c r="M88" s="33">
        <f>IFERROR(__xludf.DUMMYFUNCTION("""COMPUTED_VALUE"""),43567.0)</f>
        <v>43567</v>
      </c>
      <c r="N88" s="34" t="str">
        <f>IFERROR(__xludf.DUMMYFUNCTION("""COMPUTED_VALUE"""),"https://drive.google.com/open?id=1ID7lxaHNJaGuOC4xqdOu7FTZRE0WjWlj")</f>
        <v>https://drive.google.com/open?id=1ID7lxaHNJaGuOC4xqdOu7FTZRE0WjWlj</v>
      </c>
      <c r="O88" s="18" t="str">
        <f>IFERROR(__xludf.DUMMYFUNCTION("""COMPUTED_VALUE"""),"In Progress")</f>
        <v>In Progress</v>
      </c>
      <c r="P88" s="1" t="str">
        <f>IFERROR(__xludf.DUMMYFUNCTION("""COMPUTED_VALUE"""),"")</f>
        <v/>
      </c>
      <c r="Q88" s="1" t="str">
        <f>IFERROR(__xludf.DUMMYFUNCTION("""COMPUTED_VALUE"""),"")</f>
        <v/>
      </c>
      <c r="R88" s="1" t="str">
        <f>IFERROR(__xludf.DUMMYFUNCTION("""COMPUTED_VALUE"""),"")</f>
        <v/>
      </c>
      <c r="S88" s="1" t="str">
        <f>IFERROR(__xludf.DUMMYFUNCTION("""COMPUTED_VALUE"""),"")</f>
        <v/>
      </c>
      <c r="T88" s="1" t="str">
        <f>IFERROR(__xludf.DUMMYFUNCTION("""COMPUTED_VALUE"""),"")</f>
        <v/>
      </c>
      <c r="U88" s="1" t="str">
        <f>IFERROR(__xludf.DUMMYFUNCTION("""COMPUTED_VALUE"""),"")</f>
        <v/>
      </c>
      <c r="V88" s="1" t="str">
        <f>IFERROR(__xludf.DUMMYFUNCTION("""COMPUTED_VALUE"""),"")</f>
        <v/>
      </c>
      <c r="W88" s="1" t="str">
        <f>IFERROR(__xludf.DUMMYFUNCTION("""COMPUTED_VALUE"""),"")</f>
        <v/>
      </c>
      <c r="X88" s="1" t="str">
        <f>IFERROR(__xludf.DUMMYFUNCTION("""COMPUTED_VALUE"""),"")</f>
        <v/>
      </c>
      <c r="Y88" s="1" t="str">
        <f>IFERROR(__xludf.DUMMYFUNCTION("""COMPUTED_VALUE"""),"")</f>
        <v/>
      </c>
      <c r="Z88" s="1" t="str">
        <f>IFERROR(__xludf.DUMMYFUNCTION("""COMPUTED_VALUE"""),"")</f>
        <v/>
      </c>
      <c r="AA88" s="1" t="str">
        <f>IFERROR(__xludf.DUMMYFUNCTION("""COMPUTED_VALUE"""),"")</f>
        <v/>
      </c>
      <c r="AB88" s="1" t="str">
        <f>IFERROR(__xludf.DUMMYFUNCTION("""COMPUTED_VALUE"""),"")</f>
        <v/>
      </c>
      <c r="AC88" s="1"/>
      <c r="AD88" s="1"/>
      <c r="AE88" s="1"/>
      <c r="AF88" s="1"/>
      <c r="AG88" s="1"/>
      <c r="AH88" s="1"/>
      <c r="AI88" s="1"/>
      <c r="AJ88" s="1"/>
    </row>
    <row r="89">
      <c r="A89" s="7"/>
      <c r="B89" s="8"/>
      <c r="C89" s="9">
        <f>IFERROR(__xludf.DUMMYFUNCTION("""COMPUTED_VALUE"""),14062.0)</f>
        <v>14062</v>
      </c>
      <c r="D89" s="28" t="str">
        <f>IFERROR(__xludf.DUMMYFUNCTION("""COMPUTED_VALUE"""),"R01")</f>
        <v>R01</v>
      </c>
      <c r="E89" s="29" t="str">
        <f>IFERROR(__xludf.DUMMYFUNCTION("""COMPUTED_VALUE"""),"Curved Bolt Mate")</f>
        <v>Curved Bolt Mate</v>
      </c>
      <c r="F89" s="18" t="str">
        <f>IFERROR(__xludf.DUMMYFUNCTION("""COMPUTED_VALUE"""),"Structures")</f>
        <v>Structures</v>
      </c>
      <c r="G89" s="18" t="str">
        <f>IFERROR(__xludf.DUMMYFUNCTION("""COMPUTED_VALUE"""),"Solidworks")</f>
        <v>Solidworks</v>
      </c>
      <c r="H89" s="18" t="str">
        <f>IFERROR(__xludf.DUMMYFUNCTION("""COMPUTED_VALUE"""),"Marginal Stability")</f>
        <v>Marginal Stability</v>
      </c>
      <c r="I89" s="25" t="str">
        <f>IFERROR(__xludf.DUMMYFUNCTION("""COMPUTED_VALUE"""),"Small insert for mating flat bolt heads to curved vehicle surface")</f>
        <v>Small insert for mating flat bolt heads to curved vehicle surface</v>
      </c>
      <c r="J89" s="18" t="str">
        <f>IFERROR(__xludf.DUMMYFUNCTION("""COMPUTED_VALUE"""),"PLA")</f>
        <v>PLA</v>
      </c>
      <c r="K89" s="18" t="str">
        <f>IFERROR(__xludf.DUMMYFUNCTION("""COMPUTED_VALUE"""),"Imperial")</f>
        <v>Imperial</v>
      </c>
      <c r="L89" s="18" t="str">
        <f>IFERROR(__xludf.DUMMYFUNCTION("""COMPUTED_VALUE"""),"Joshua Hedgpeth")</f>
        <v>Joshua Hedgpeth</v>
      </c>
      <c r="M89" s="33">
        <f>IFERROR(__xludf.DUMMYFUNCTION("""COMPUTED_VALUE"""),43568.0)</f>
        <v>43568</v>
      </c>
      <c r="N89" s="34" t="str">
        <f>IFERROR(__xludf.DUMMYFUNCTION("""COMPUTED_VALUE"""),"https://drive.google.com/a/ucsd.edu/file/d/1Vr3II1KqXhF-xAiMwPCvfRcz0H-Kb3Pr/view?usp=sharing")</f>
        <v>https://drive.google.com/a/ucsd.edu/file/d/1Vr3II1KqXhF-xAiMwPCvfRcz0H-Kb3Pr/view?usp=sharing</v>
      </c>
      <c r="O89" s="18" t="str">
        <f>IFERROR(__xludf.DUMMYFUNCTION("""COMPUTED_VALUE"""),"In Progress")</f>
        <v>In Progress</v>
      </c>
      <c r="P89" s="1" t="str">
        <f>IFERROR(__xludf.DUMMYFUNCTION("""COMPUTED_VALUE"""),"")</f>
        <v/>
      </c>
      <c r="Q89" s="1" t="str">
        <f>IFERROR(__xludf.DUMMYFUNCTION("""COMPUTED_VALUE"""),"")</f>
        <v/>
      </c>
      <c r="R89" s="1" t="str">
        <f>IFERROR(__xludf.DUMMYFUNCTION("""COMPUTED_VALUE"""),"")</f>
        <v/>
      </c>
      <c r="S89" s="1" t="str">
        <f>IFERROR(__xludf.DUMMYFUNCTION("""COMPUTED_VALUE"""),"")</f>
        <v/>
      </c>
      <c r="T89" s="1" t="str">
        <f>IFERROR(__xludf.DUMMYFUNCTION("""COMPUTED_VALUE"""),"")</f>
        <v/>
      </c>
      <c r="U89" s="1" t="str">
        <f>IFERROR(__xludf.DUMMYFUNCTION("""COMPUTED_VALUE"""),"")</f>
        <v/>
      </c>
      <c r="V89" s="1" t="str">
        <f>IFERROR(__xludf.DUMMYFUNCTION("""COMPUTED_VALUE"""),"")</f>
        <v/>
      </c>
      <c r="W89" s="1" t="str">
        <f>IFERROR(__xludf.DUMMYFUNCTION("""COMPUTED_VALUE"""),"")</f>
        <v/>
      </c>
      <c r="X89" s="1" t="str">
        <f>IFERROR(__xludf.DUMMYFUNCTION("""COMPUTED_VALUE"""),"")</f>
        <v/>
      </c>
      <c r="Y89" s="1" t="str">
        <f>IFERROR(__xludf.DUMMYFUNCTION("""COMPUTED_VALUE"""),"")</f>
        <v/>
      </c>
      <c r="Z89" s="1" t="str">
        <f>IFERROR(__xludf.DUMMYFUNCTION("""COMPUTED_VALUE"""),"")</f>
        <v/>
      </c>
      <c r="AA89" s="1" t="str">
        <f>IFERROR(__xludf.DUMMYFUNCTION("""COMPUTED_VALUE"""),"")</f>
        <v/>
      </c>
      <c r="AB89" s="1" t="str">
        <f>IFERROR(__xludf.DUMMYFUNCTION("""COMPUTED_VALUE"""),"")</f>
        <v/>
      </c>
      <c r="AC89" s="1"/>
      <c r="AD89" s="1"/>
      <c r="AE89" s="1"/>
      <c r="AF89" s="1"/>
      <c r="AG89" s="1"/>
      <c r="AH89" s="1"/>
      <c r="AI89" s="1"/>
      <c r="AJ89" s="1"/>
    </row>
    <row r="90">
      <c r="A90" s="7"/>
      <c r="B90" s="8"/>
      <c r="C90" s="9">
        <f>IFERROR(__xludf.DUMMYFUNCTION("""COMPUTED_VALUE"""),14063.0)</f>
        <v>14063</v>
      </c>
      <c r="D90" s="28" t="str">
        <f>IFERROR(__xludf.DUMMYFUNCTION("""COMPUTED_VALUE"""),"R01")</f>
        <v>R01</v>
      </c>
      <c r="E90" s="29" t="str">
        <f>IFERROR(__xludf.DUMMYFUNCTION("""COMPUTED_VALUE"""),"Intertank Airframe")</f>
        <v>Intertank Airframe</v>
      </c>
      <c r="F90" s="18" t="str">
        <f>IFERROR(__xludf.DUMMYFUNCTION("""COMPUTED_VALUE"""),"Structures")</f>
        <v>Structures</v>
      </c>
      <c r="G90" s="18" t="str">
        <f>IFERROR(__xludf.DUMMYFUNCTION("""COMPUTED_VALUE"""),"Solidworks")</f>
        <v>Solidworks</v>
      </c>
      <c r="H90" s="18" t="str">
        <f>IFERROR(__xludf.DUMMYFUNCTION("""COMPUTED_VALUE"""),"Marginal Stability")</f>
        <v>Marginal Stability</v>
      </c>
      <c r="I90" s="25" t="str">
        <f>IFERROR(__xludf.DUMMYFUNCTION("""COMPUTED_VALUE"""),"Airframe joining the two propellant tanks/parts of the rocket")</f>
        <v>Airframe joining the two propellant tanks/parts of the rocket</v>
      </c>
      <c r="J90" s="18" t="str">
        <f>IFERROR(__xludf.DUMMYFUNCTION("""COMPUTED_VALUE"""),"6061-T6")</f>
        <v>6061-T6</v>
      </c>
      <c r="K90" s="18" t="str">
        <f>IFERROR(__xludf.DUMMYFUNCTION("""COMPUTED_VALUE"""),"Imperial")</f>
        <v>Imperial</v>
      </c>
      <c r="L90" s="18" t="str">
        <f>IFERROR(__xludf.DUMMYFUNCTION("""COMPUTED_VALUE"""),"Joshua Elmer")</f>
        <v>Joshua Elmer</v>
      </c>
      <c r="M90" s="33">
        <f>IFERROR(__xludf.DUMMYFUNCTION("""COMPUTED_VALUE"""),43574.0)</f>
        <v>43574</v>
      </c>
      <c r="N90" s="34" t="str">
        <f>IFERROR(__xludf.DUMMYFUNCTION("""COMPUTED_VALUE"""),"https://drive.google.com/open?id=1a1cG9qhm7BfZv-TaTQbMpXKwkqz_Npgz")</f>
        <v>https://drive.google.com/open?id=1a1cG9qhm7BfZv-TaTQbMpXKwkqz_Npgz</v>
      </c>
      <c r="O90" s="18" t="str">
        <f>IFERROR(__xludf.DUMMYFUNCTION("""COMPUTED_VALUE"""),"In Progress")</f>
        <v>In Progress</v>
      </c>
      <c r="P90" s="1" t="str">
        <f>IFERROR(__xludf.DUMMYFUNCTION("""COMPUTED_VALUE"""),"")</f>
        <v/>
      </c>
      <c r="Q90" s="1" t="str">
        <f>IFERROR(__xludf.DUMMYFUNCTION("""COMPUTED_VALUE"""),"")</f>
        <v/>
      </c>
      <c r="R90" s="1" t="str">
        <f>IFERROR(__xludf.DUMMYFUNCTION("""COMPUTED_VALUE"""),"")</f>
        <v/>
      </c>
      <c r="S90" s="1" t="str">
        <f>IFERROR(__xludf.DUMMYFUNCTION("""COMPUTED_VALUE"""),"")</f>
        <v/>
      </c>
      <c r="T90" s="1" t="str">
        <f>IFERROR(__xludf.DUMMYFUNCTION("""COMPUTED_VALUE"""),"")</f>
        <v/>
      </c>
      <c r="U90" s="1" t="str">
        <f>IFERROR(__xludf.DUMMYFUNCTION("""COMPUTED_VALUE"""),"")</f>
        <v/>
      </c>
      <c r="V90" s="1" t="str">
        <f>IFERROR(__xludf.DUMMYFUNCTION("""COMPUTED_VALUE"""),"")</f>
        <v/>
      </c>
      <c r="W90" s="1" t="str">
        <f>IFERROR(__xludf.DUMMYFUNCTION("""COMPUTED_VALUE"""),"")</f>
        <v/>
      </c>
      <c r="X90" s="1" t="str">
        <f>IFERROR(__xludf.DUMMYFUNCTION("""COMPUTED_VALUE"""),"")</f>
        <v/>
      </c>
      <c r="Y90" s="1" t="str">
        <f>IFERROR(__xludf.DUMMYFUNCTION("""COMPUTED_VALUE"""),"")</f>
        <v/>
      </c>
      <c r="Z90" s="1" t="str">
        <f>IFERROR(__xludf.DUMMYFUNCTION("""COMPUTED_VALUE"""),"")</f>
        <v/>
      </c>
      <c r="AA90" s="1" t="str">
        <f>IFERROR(__xludf.DUMMYFUNCTION("""COMPUTED_VALUE"""),"")</f>
        <v/>
      </c>
      <c r="AB90" s="1" t="str">
        <f>IFERROR(__xludf.DUMMYFUNCTION("""COMPUTED_VALUE"""),"")</f>
        <v/>
      </c>
      <c r="AC90" s="1"/>
      <c r="AD90" s="1"/>
      <c r="AE90" s="1"/>
      <c r="AF90" s="1"/>
      <c r="AG90" s="1"/>
      <c r="AH90" s="1"/>
      <c r="AI90" s="1"/>
      <c r="AJ90" s="1"/>
    </row>
    <row r="91">
      <c r="A91" s="7"/>
      <c r="B91" s="8"/>
      <c r="C91" s="9">
        <f>IFERROR(__xludf.DUMMYFUNCTION("""COMPUTED_VALUE"""),14064.0)</f>
        <v>14064</v>
      </c>
      <c r="D91" s="28" t="str">
        <f>IFERROR(__xludf.DUMMYFUNCTION("""COMPUTED_VALUE"""),"R01")</f>
        <v>R01</v>
      </c>
      <c r="E91" s="29" t="str">
        <f>IFERROR(__xludf.DUMMYFUNCTION("""COMPUTED_VALUE"""),"Redundancy Support")</f>
        <v>Redundancy Support</v>
      </c>
      <c r="F91" s="18" t="str">
        <f>IFERROR(__xludf.DUMMYFUNCTION("""COMPUTED_VALUE"""),"Structures")</f>
        <v>Structures</v>
      </c>
      <c r="G91" s="18" t="str">
        <f>IFERROR(__xludf.DUMMYFUNCTION("""COMPUTED_VALUE"""),"Solidworks")</f>
        <v>Solidworks</v>
      </c>
      <c r="H91" s="18" t="str">
        <f>IFERROR(__xludf.DUMMYFUNCTION("""COMPUTED_VALUE"""),"Marginal Stability")</f>
        <v>Marginal Stability</v>
      </c>
      <c r="I91" s="25" t="str">
        <f>IFERROR(__xludf.DUMMYFUNCTION("""COMPUTED_VALUE"""),"Supports the Redundancy DC motor by attaching it to the airfram to keep it in a fixed position during launch and actuation")</f>
        <v>Supports the Redundancy DC motor by attaching it to the airfram to keep it in a fixed position during launch and actuation</v>
      </c>
      <c r="J91" s="18" t="str">
        <f>IFERROR(__xludf.DUMMYFUNCTION("""COMPUTED_VALUE"""),"Onyx")</f>
        <v>Onyx</v>
      </c>
      <c r="K91" s="18" t="str">
        <f>IFERROR(__xludf.DUMMYFUNCTION("""COMPUTED_VALUE"""),"Imperial")</f>
        <v>Imperial</v>
      </c>
      <c r="L91" s="18" t="str">
        <f>IFERROR(__xludf.DUMMYFUNCTION("""COMPUTED_VALUE"""),"Bryce Borders")</f>
        <v>Bryce Borders</v>
      </c>
      <c r="M91" s="33">
        <f>IFERROR(__xludf.DUMMYFUNCTION("""COMPUTED_VALUE"""),43582.0)</f>
        <v>43582</v>
      </c>
      <c r="N91" s="18" t="str">
        <f>IFERROR(__xludf.DUMMYFUNCTION("""COMPUTED_VALUE"""),"")</f>
        <v/>
      </c>
      <c r="O91" s="18" t="str">
        <f>IFERROR(__xludf.DUMMYFUNCTION("""COMPUTED_VALUE"""),"In Progress")</f>
        <v>In Progress</v>
      </c>
      <c r="P91" s="1" t="str">
        <f>IFERROR(__xludf.DUMMYFUNCTION("""COMPUTED_VALUE"""),"")</f>
        <v/>
      </c>
      <c r="Q91" s="1" t="str">
        <f>IFERROR(__xludf.DUMMYFUNCTION("""COMPUTED_VALUE"""),"")</f>
        <v/>
      </c>
      <c r="R91" s="1" t="str">
        <f>IFERROR(__xludf.DUMMYFUNCTION("""COMPUTED_VALUE"""),"")</f>
        <v/>
      </c>
      <c r="S91" s="1" t="str">
        <f>IFERROR(__xludf.DUMMYFUNCTION("""COMPUTED_VALUE"""),"")</f>
        <v/>
      </c>
      <c r="T91" s="1" t="str">
        <f>IFERROR(__xludf.DUMMYFUNCTION("""COMPUTED_VALUE"""),"")</f>
        <v/>
      </c>
      <c r="U91" s="1" t="str">
        <f>IFERROR(__xludf.DUMMYFUNCTION("""COMPUTED_VALUE"""),"")</f>
        <v/>
      </c>
      <c r="V91" s="1" t="str">
        <f>IFERROR(__xludf.DUMMYFUNCTION("""COMPUTED_VALUE"""),"")</f>
        <v/>
      </c>
      <c r="W91" s="1" t="str">
        <f>IFERROR(__xludf.DUMMYFUNCTION("""COMPUTED_VALUE"""),"")</f>
        <v/>
      </c>
      <c r="X91" s="1" t="str">
        <f>IFERROR(__xludf.DUMMYFUNCTION("""COMPUTED_VALUE"""),"")</f>
        <v/>
      </c>
      <c r="Y91" s="1" t="str">
        <f>IFERROR(__xludf.DUMMYFUNCTION("""COMPUTED_VALUE"""),"")</f>
        <v/>
      </c>
      <c r="Z91" s="1" t="str">
        <f>IFERROR(__xludf.DUMMYFUNCTION("""COMPUTED_VALUE"""),"")</f>
        <v/>
      </c>
      <c r="AA91" s="1" t="str">
        <f>IFERROR(__xludf.DUMMYFUNCTION("""COMPUTED_VALUE"""),"")</f>
        <v/>
      </c>
      <c r="AB91" s="1" t="str">
        <f>IFERROR(__xludf.DUMMYFUNCTION("""COMPUTED_VALUE"""),"")</f>
        <v/>
      </c>
      <c r="AC91" s="1"/>
      <c r="AD91" s="1"/>
      <c r="AE91" s="1"/>
      <c r="AF91" s="1"/>
      <c r="AG91" s="1"/>
      <c r="AH91" s="1"/>
      <c r="AI91" s="1"/>
      <c r="AJ91" s="1"/>
    </row>
    <row r="92">
      <c r="A92" s="7"/>
      <c r="B92" s="8"/>
      <c r="C92" s="9">
        <f>IFERROR(__xludf.DUMMYFUNCTION("""COMPUTED_VALUE"""),14065.0)</f>
        <v>14065</v>
      </c>
      <c r="D92" s="28" t="str">
        <f>IFERROR(__xludf.DUMMYFUNCTION("""COMPUTED_VALUE"""),"R01")</f>
        <v>R01</v>
      </c>
      <c r="E92" s="29" t="str">
        <f>IFERROR(__xludf.DUMMYFUNCTION("""COMPUTED_VALUE"""),"Redundancy Connector")</f>
        <v>Redundancy Connector</v>
      </c>
      <c r="F92" s="18" t="str">
        <f>IFERROR(__xludf.DUMMYFUNCTION("""COMPUTED_VALUE"""),"Structures")</f>
        <v>Structures</v>
      </c>
      <c r="G92" s="18" t="str">
        <f>IFERROR(__xludf.DUMMYFUNCTION("""COMPUTED_VALUE"""),"Solidworks")</f>
        <v>Solidworks</v>
      </c>
      <c r="H92" s="18" t="str">
        <f>IFERROR(__xludf.DUMMYFUNCTION("""COMPUTED_VALUE"""),"Marginal Stability")</f>
        <v>Marginal Stability</v>
      </c>
      <c r="I92" s="25" t="str">
        <f>IFERROR(__xludf.DUMMYFUNCTION("""COMPUTED_VALUE"""),"Connects the Redundancy Support to the Mounting Plate")</f>
        <v>Connects the Redundancy Support to the Mounting Plate</v>
      </c>
      <c r="J92" s="18" t="str">
        <f>IFERROR(__xludf.DUMMYFUNCTION("""COMPUTED_VALUE"""),"Onyx")</f>
        <v>Onyx</v>
      </c>
      <c r="K92" s="18" t="str">
        <f>IFERROR(__xludf.DUMMYFUNCTION("""COMPUTED_VALUE"""),"Imperial")</f>
        <v>Imperial</v>
      </c>
      <c r="L92" s="18" t="str">
        <f>IFERROR(__xludf.DUMMYFUNCTION("""COMPUTED_VALUE"""),"Bryce Borders")</f>
        <v>Bryce Borders</v>
      </c>
      <c r="M92" s="33">
        <f>IFERROR(__xludf.DUMMYFUNCTION("""COMPUTED_VALUE"""),43582.0)</f>
        <v>43582</v>
      </c>
      <c r="N92" s="18" t="str">
        <f>IFERROR(__xludf.DUMMYFUNCTION("""COMPUTED_VALUE"""),"")</f>
        <v/>
      </c>
      <c r="O92" s="18" t="str">
        <f>IFERROR(__xludf.DUMMYFUNCTION("""COMPUTED_VALUE"""),"In Progress")</f>
        <v>In Progress</v>
      </c>
      <c r="P92" s="1" t="str">
        <f>IFERROR(__xludf.DUMMYFUNCTION("""COMPUTED_VALUE"""),"")</f>
        <v/>
      </c>
      <c r="Q92" s="1" t="str">
        <f>IFERROR(__xludf.DUMMYFUNCTION("""COMPUTED_VALUE"""),"")</f>
        <v/>
      </c>
      <c r="R92" s="1" t="str">
        <f>IFERROR(__xludf.DUMMYFUNCTION("""COMPUTED_VALUE"""),"")</f>
        <v/>
      </c>
      <c r="S92" s="1" t="str">
        <f>IFERROR(__xludf.DUMMYFUNCTION("""COMPUTED_VALUE"""),"")</f>
        <v/>
      </c>
      <c r="T92" s="1" t="str">
        <f>IFERROR(__xludf.DUMMYFUNCTION("""COMPUTED_VALUE"""),"")</f>
        <v/>
      </c>
      <c r="U92" s="1" t="str">
        <f>IFERROR(__xludf.DUMMYFUNCTION("""COMPUTED_VALUE"""),"")</f>
        <v/>
      </c>
      <c r="V92" s="1" t="str">
        <f>IFERROR(__xludf.DUMMYFUNCTION("""COMPUTED_VALUE"""),"")</f>
        <v/>
      </c>
      <c r="W92" s="1" t="str">
        <f>IFERROR(__xludf.DUMMYFUNCTION("""COMPUTED_VALUE"""),"")</f>
        <v/>
      </c>
      <c r="X92" s="1" t="str">
        <f>IFERROR(__xludf.DUMMYFUNCTION("""COMPUTED_VALUE"""),"")</f>
        <v/>
      </c>
      <c r="Y92" s="1" t="str">
        <f>IFERROR(__xludf.DUMMYFUNCTION("""COMPUTED_VALUE"""),"")</f>
        <v/>
      </c>
      <c r="Z92" s="1" t="str">
        <f>IFERROR(__xludf.DUMMYFUNCTION("""COMPUTED_VALUE"""),"")</f>
        <v/>
      </c>
      <c r="AA92" s="1" t="str">
        <f>IFERROR(__xludf.DUMMYFUNCTION("""COMPUTED_VALUE"""),"")</f>
        <v/>
      </c>
      <c r="AB92" s="1" t="str">
        <f>IFERROR(__xludf.DUMMYFUNCTION("""COMPUTED_VALUE"""),"")</f>
        <v/>
      </c>
      <c r="AC92" s="1"/>
      <c r="AD92" s="1"/>
      <c r="AE92" s="1"/>
      <c r="AF92" s="1"/>
      <c r="AG92" s="1"/>
      <c r="AH92" s="1"/>
      <c r="AI92" s="1"/>
      <c r="AJ92" s="1"/>
    </row>
    <row r="93">
      <c r="A93" s="7"/>
      <c r="B93" s="8"/>
      <c r="C93" s="9">
        <f>IFERROR(__xludf.DUMMYFUNCTION("""COMPUTED_VALUE"""),14066.0)</f>
        <v>14066</v>
      </c>
      <c r="D93" s="28" t="str">
        <f>IFERROR(__xludf.DUMMYFUNCTION("""COMPUTED_VALUE"""),"R01")</f>
        <v>R01</v>
      </c>
      <c r="E93" s="29" t="str">
        <f>IFERROR(__xludf.DUMMYFUNCTION("""COMPUTED_VALUE"""),"Redundancy Connector Reflected")</f>
        <v>Redundancy Connector Reflected</v>
      </c>
      <c r="F93" s="18" t="str">
        <f>IFERROR(__xludf.DUMMYFUNCTION("""COMPUTED_VALUE"""),"Structures")</f>
        <v>Structures</v>
      </c>
      <c r="G93" s="18" t="str">
        <f>IFERROR(__xludf.DUMMYFUNCTION("""COMPUTED_VALUE"""),"Solidworks")</f>
        <v>Solidworks</v>
      </c>
      <c r="H93" s="18" t="str">
        <f>IFERROR(__xludf.DUMMYFUNCTION("""COMPUTED_VALUE"""),"Marginal Stability")</f>
        <v>Marginal Stability</v>
      </c>
      <c r="I93" s="25" t="str">
        <f>IFERROR(__xludf.DUMMYFUNCTION("""COMPUTED_VALUE"""),"Mirror Image of Redundancy Conenctor, connects to other side of arm")</f>
        <v>Mirror Image of Redundancy Conenctor, connects to other side of arm</v>
      </c>
      <c r="J93" s="18" t="str">
        <f>IFERROR(__xludf.DUMMYFUNCTION("""COMPUTED_VALUE"""),"Onyx")</f>
        <v>Onyx</v>
      </c>
      <c r="K93" s="18" t="str">
        <f>IFERROR(__xludf.DUMMYFUNCTION("""COMPUTED_VALUE"""),"Imperial")</f>
        <v>Imperial</v>
      </c>
      <c r="L93" s="18" t="str">
        <f>IFERROR(__xludf.DUMMYFUNCTION("""COMPUTED_VALUE"""),"Bryce Borders")</f>
        <v>Bryce Borders</v>
      </c>
      <c r="M93" s="33">
        <f>IFERROR(__xludf.DUMMYFUNCTION("""COMPUTED_VALUE"""),43582.0)</f>
        <v>43582</v>
      </c>
      <c r="N93" s="18" t="str">
        <f>IFERROR(__xludf.DUMMYFUNCTION("""COMPUTED_VALUE"""),"")</f>
        <v/>
      </c>
      <c r="O93" s="18" t="str">
        <f>IFERROR(__xludf.DUMMYFUNCTION("""COMPUTED_VALUE"""),"In Progress")</f>
        <v>In Progress</v>
      </c>
      <c r="P93" s="1" t="str">
        <f>IFERROR(__xludf.DUMMYFUNCTION("""COMPUTED_VALUE"""),"")</f>
        <v/>
      </c>
      <c r="Q93" s="1" t="str">
        <f>IFERROR(__xludf.DUMMYFUNCTION("""COMPUTED_VALUE"""),"")</f>
        <v/>
      </c>
      <c r="R93" s="1" t="str">
        <f>IFERROR(__xludf.DUMMYFUNCTION("""COMPUTED_VALUE"""),"")</f>
        <v/>
      </c>
      <c r="S93" s="1" t="str">
        <f>IFERROR(__xludf.DUMMYFUNCTION("""COMPUTED_VALUE"""),"")</f>
        <v/>
      </c>
      <c r="T93" s="1" t="str">
        <f>IFERROR(__xludf.DUMMYFUNCTION("""COMPUTED_VALUE"""),"")</f>
        <v/>
      </c>
      <c r="U93" s="1" t="str">
        <f>IFERROR(__xludf.DUMMYFUNCTION("""COMPUTED_VALUE"""),"")</f>
        <v/>
      </c>
      <c r="V93" s="1" t="str">
        <f>IFERROR(__xludf.DUMMYFUNCTION("""COMPUTED_VALUE"""),"")</f>
        <v/>
      </c>
      <c r="W93" s="1" t="str">
        <f>IFERROR(__xludf.DUMMYFUNCTION("""COMPUTED_VALUE"""),"")</f>
        <v/>
      </c>
      <c r="X93" s="1" t="str">
        <f>IFERROR(__xludf.DUMMYFUNCTION("""COMPUTED_VALUE"""),"")</f>
        <v/>
      </c>
      <c r="Y93" s="1" t="str">
        <f>IFERROR(__xludf.DUMMYFUNCTION("""COMPUTED_VALUE"""),"")</f>
        <v/>
      </c>
      <c r="Z93" s="1" t="str">
        <f>IFERROR(__xludf.DUMMYFUNCTION("""COMPUTED_VALUE"""),"")</f>
        <v/>
      </c>
      <c r="AA93" s="1" t="str">
        <f>IFERROR(__xludf.DUMMYFUNCTION("""COMPUTED_VALUE"""),"")</f>
        <v/>
      </c>
      <c r="AB93" s="1" t="str">
        <f>IFERROR(__xludf.DUMMYFUNCTION("""COMPUTED_VALUE"""),"")</f>
        <v/>
      </c>
      <c r="AC93" s="1"/>
      <c r="AD93" s="1"/>
      <c r="AE93" s="1"/>
      <c r="AF93" s="1"/>
      <c r="AG93" s="1"/>
      <c r="AH93" s="1"/>
      <c r="AI93" s="1"/>
      <c r="AJ93" s="1"/>
    </row>
    <row r="94">
      <c r="A94" s="7"/>
      <c r="B94" s="8"/>
      <c r="C94" s="9">
        <f>IFERROR(__xludf.DUMMYFUNCTION("""COMPUTED_VALUE"""),14067.0)</f>
        <v>14067</v>
      </c>
      <c r="D94" s="28" t="str">
        <f>IFERROR(__xludf.DUMMYFUNCTION("""COMPUTED_VALUE"""),"R01")</f>
        <v>R01</v>
      </c>
      <c r="E94" s="29" t="str">
        <f>IFERROR(__xludf.DUMMYFUNCTION("""COMPUTED_VALUE"""),"Moment Bracket")</f>
        <v>Moment Bracket</v>
      </c>
      <c r="F94" s="18" t="str">
        <f>IFERROR(__xludf.DUMMYFUNCTION("""COMPUTED_VALUE"""),"Structures")</f>
        <v>Structures</v>
      </c>
      <c r="G94" s="18" t="str">
        <f>IFERROR(__xludf.DUMMYFUNCTION("""COMPUTED_VALUE"""),"Solidworks")</f>
        <v>Solidworks</v>
      </c>
      <c r="H94" s="18" t="str">
        <f>IFERROR(__xludf.DUMMYFUNCTION("""COMPUTED_VALUE"""),"Marginal Stability")</f>
        <v>Marginal Stability</v>
      </c>
      <c r="I94" s="25" t="str">
        <f>IFERROR(__xludf.DUMMYFUNCTION("""COMPUTED_VALUE"""),"Provides additional support to prevent  a moment and flexing of Redundancy Motor during launch")</f>
        <v>Provides additional support to prevent  a moment and flexing of Redundancy Motor during launch</v>
      </c>
      <c r="J94" s="18" t="str">
        <f>IFERROR(__xludf.DUMMYFUNCTION("""COMPUTED_VALUE"""),"Onyx")</f>
        <v>Onyx</v>
      </c>
      <c r="K94" s="18" t="str">
        <f>IFERROR(__xludf.DUMMYFUNCTION("""COMPUTED_VALUE"""),"Imperial")</f>
        <v>Imperial</v>
      </c>
      <c r="L94" s="18" t="str">
        <f>IFERROR(__xludf.DUMMYFUNCTION("""COMPUTED_VALUE"""),"Bryce Borders")</f>
        <v>Bryce Borders</v>
      </c>
      <c r="M94" s="33">
        <f>IFERROR(__xludf.DUMMYFUNCTION("""COMPUTED_VALUE"""),43582.0)</f>
        <v>43582</v>
      </c>
      <c r="N94" s="18" t="str">
        <f>IFERROR(__xludf.DUMMYFUNCTION("""COMPUTED_VALUE"""),"")</f>
        <v/>
      </c>
      <c r="O94" s="18" t="str">
        <f>IFERROR(__xludf.DUMMYFUNCTION("""COMPUTED_VALUE"""),"In Progress")</f>
        <v>In Progress</v>
      </c>
      <c r="P94" s="1" t="str">
        <f>IFERROR(__xludf.DUMMYFUNCTION("""COMPUTED_VALUE"""),"")</f>
        <v/>
      </c>
      <c r="Q94" s="1" t="str">
        <f>IFERROR(__xludf.DUMMYFUNCTION("""COMPUTED_VALUE"""),"")</f>
        <v/>
      </c>
      <c r="R94" s="1" t="str">
        <f>IFERROR(__xludf.DUMMYFUNCTION("""COMPUTED_VALUE"""),"")</f>
        <v/>
      </c>
      <c r="S94" s="1" t="str">
        <f>IFERROR(__xludf.DUMMYFUNCTION("""COMPUTED_VALUE"""),"")</f>
        <v/>
      </c>
      <c r="T94" s="1" t="str">
        <f>IFERROR(__xludf.DUMMYFUNCTION("""COMPUTED_VALUE"""),"")</f>
        <v/>
      </c>
      <c r="U94" s="1" t="str">
        <f>IFERROR(__xludf.DUMMYFUNCTION("""COMPUTED_VALUE"""),"")</f>
        <v/>
      </c>
      <c r="V94" s="1" t="str">
        <f>IFERROR(__xludf.DUMMYFUNCTION("""COMPUTED_VALUE"""),"")</f>
        <v/>
      </c>
      <c r="W94" s="1" t="str">
        <f>IFERROR(__xludf.DUMMYFUNCTION("""COMPUTED_VALUE"""),"")</f>
        <v/>
      </c>
      <c r="X94" s="1" t="str">
        <f>IFERROR(__xludf.DUMMYFUNCTION("""COMPUTED_VALUE"""),"")</f>
        <v/>
      </c>
      <c r="Y94" s="1" t="str">
        <f>IFERROR(__xludf.DUMMYFUNCTION("""COMPUTED_VALUE"""),"")</f>
        <v/>
      </c>
      <c r="Z94" s="1" t="str">
        <f>IFERROR(__xludf.DUMMYFUNCTION("""COMPUTED_VALUE"""),"")</f>
        <v/>
      </c>
      <c r="AA94" s="1" t="str">
        <f>IFERROR(__xludf.DUMMYFUNCTION("""COMPUTED_VALUE"""),"")</f>
        <v/>
      </c>
      <c r="AB94" s="1" t="str">
        <f>IFERROR(__xludf.DUMMYFUNCTION("""COMPUTED_VALUE"""),"")</f>
        <v/>
      </c>
      <c r="AC94" s="1"/>
      <c r="AD94" s="1"/>
      <c r="AE94" s="1"/>
      <c r="AF94" s="1"/>
      <c r="AG94" s="1"/>
      <c r="AH94" s="1"/>
      <c r="AI94" s="1"/>
      <c r="AJ94" s="1"/>
    </row>
    <row r="95">
      <c r="A95" s="7"/>
      <c r="B95" s="8"/>
      <c r="C95" s="9">
        <f>IFERROR(__xludf.DUMMYFUNCTION("""COMPUTED_VALUE"""),14068.0)</f>
        <v>14068</v>
      </c>
      <c r="D95" s="28" t="str">
        <f>IFERROR(__xludf.DUMMYFUNCTION("""COMPUTED_VALUE"""),"R01")</f>
        <v>R01</v>
      </c>
      <c r="E95" s="29" t="str">
        <f>IFERROR(__xludf.DUMMYFUNCTION("""COMPUTED_VALUE"""),"Guide Rail")</f>
        <v>Guide Rail</v>
      </c>
      <c r="F95" s="18" t="str">
        <f>IFERROR(__xludf.DUMMYFUNCTION("""COMPUTED_VALUE"""),"Structures")</f>
        <v>Structures</v>
      </c>
      <c r="G95" s="18" t="str">
        <f>IFERROR(__xludf.DUMMYFUNCTION("""COMPUTED_VALUE"""),"Solidworks")</f>
        <v>Solidworks</v>
      </c>
      <c r="H95" s="18" t="str">
        <f>IFERROR(__xludf.DUMMYFUNCTION("""COMPUTED_VALUE"""),"Marginal Stability")</f>
        <v>Marginal Stability</v>
      </c>
      <c r="I95" s="25" t="str">
        <f>IFERROR(__xludf.DUMMYFUNCTION("""COMPUTED_VALUE"""),"Prevents the mounting plate from rotating during launch")</f>
        <v>Prevents the mounting plate from rotating during launch</v>
      </c>
      <c r="J95" s="18" t="str">
        <f>IFERROR(__xludf.DUMMYFUNCTION("""COMPUTED_VALUE"""),"Hexcel AS4C")</f>
        <v>Hexcel AS4C</v>
      </c>
      <c r="K95" s="18" t="str">
        <f>IFERROR(__xludf.DUMMYFUNCTION("""COMPUTED_VALUE"""),"Imperial")</f>
        <v>Imperial</v>
      </c>
      <c r="L95" s="18" t="str">
        <f>IFERROR(__xludf.DUMMYFUNCTION("""COMPUTED_VALUE"""),"Andrew Bilan")</f>
        <v>Andrew Bilan</v>
      </c>
      <c r="M95" s="33">
        <f>IFERROR(__xludf.DUMMYFUNCTION("""COMPUTED_VALUE"""),43582.0)</f>
        <v>43582</v>
      </c>
      <c r="N95" s="18" t="str">
        <f>IFERROR(__xludf.DUMMYFUNCTION("""COMPUTED_VALUE"""),"")</f>
        <v/>
      </c>
      <c r="O95" s="18" t="str">
        <f>IFERROR(__xludf.DUMMYFUNCTION("""COMPUTED_VALUE"""),"In Progress")</f>
        <v>In Progress</v>
      </c>
      <c r="P95" s="1" t="str">
        <f>IFERROR(__xludf.DUMMYFUNCTION("""COMPUTED_VALUE"""),"")</f>
        <v/>
      </c>
      <c r="Q95" s="1" t="str">
        <f>IFERROR(__xludf.DUMMYFUNCTION("""COMPUTED_VALUE"""),"")</f>
        <v/>
      </c>
      <c r="R95" s="1" t="str">
        <f>IFERROR(__xludf.DUMMYFUNCTION("""COMPUTED_VALUE"""),"")</f>
        <v/>
      </c>
      <c r="S95" s="1" t="str">
        <f>IFERROR(__xludf.DUMMYFUNCTION("""COMPUTED_VALUE"""),"")</f>
        <v/>
      </c>
      <c r="T95" s="1" t="str">
        <f>IFERROR(__xludf.DUMMYFUNCTION("""COMPUTED_VALUE"""),"")</f>
        <v/>
      </c>
      <c r="U95" s="1" t="str">
        <f>IFERROR(__xludf.DUMMYFUNCTION("""COMPUTED_VALUE"""),"")</f>
        <v/>
      </c>
      <c r="V95" s="1" t="str">
        <f>IFERROR(__xludf.DUMMYFUNCTION("""COMPUTED_VALUE"""),"")</f>
        <v/>
      </c>
      <c r="W95" s="1" t="str">
        <f>IFERROR(__xludf.DUMMYFUNCTION("""COMPUTED_VALUE"""),"")</f>
        <v/>
      </c>
      <c r="X95" s="1" t="str">
        <f>IFERROR(__xludf.DUMMYFUNCTION("""COMPUTED_VALUE"""),"")</f>
        <v/>
      </c>
      <c r="Y95" s="1" t="str">
        <f>IFERROR(__xludf.DUMMYFUNCTION("""COMPUTED_VALUE"""),"")</f>
        <v/>
      </c>
      <c r="Z95" s="1" t="str">
        <f>IFERROR(__xludf.DUMMYFUNCTION("""COMPUTED_VALUE"""),"")</f>
        <v/>
      </c>
      <c r="AA95" s="1" t="str">
        <f>IFERROR(__xludf.DUMMYFUNCTION("""COMPUTED_VALUE"""),"")</f>
        <v/>
      </c>
      <c r="AB95" s="1" t="str">
        <f>IFERROR(__xludf.DUMMYFUNCTION("""COMPUTED_VALUE"""),"")</f>
        <v/>
      </c>
      <c r="AC95" s="1"/>
      <c r="AD95" s="1"/>
      <c r="AE95" s="1"/>
      <c r="AF95" s="1"/>
      <c r="AG95" s="1"/>
      <c r="AH95" s="1"/>
      <c r="AI95" s="1"/>
      <c r="AJ95" s="1"/>
    </row>
    <row r="96">
      <c r="A96" s="7"/>
      <c r="B96" s="8"/>
      <c r="C96" s="9">
        <f>IFERROR(__xludf.DUMMYFUNCTION("""COMPUTED_VALUE"""),14069.0)</f>
        <v>14069</v>
      </c>
      <c r="D96" s="28" t="str">
        <f>IFERROR(__xludf.DUMMYFUNCTION("""COMPUTED_VALUE"""),"R01")</f>
        <v>R01</v>
      </c>
      <c r="E96" s="29" t="str">
        <f>IFERROR(__xludf.DUMMYFUNCTION("""COMPUTED_VALUE"""),"Ejection Rod")</f>
        <v>Ejection Rod</v>
      </c>
      <c r="F96" s="18" t="str">
        <f>IFERROR(__xludf.DUMMYFUNCTION("""COMPUTED_VALUE"""),"Structures")</f>
        <v>Structures</v>
      </c>
      <c r="G96" s="18" t="str">
        <f>IFERROR(__xludf.DUMMYFUNCTION("""COMPUTED_VALUE"""),"Solidworks")</f>
        <v>Solidworks</v>
      </c>
      <c r="H96" s="18" t="str">
        <f>IFERROR(__xludf.DUMMYFUNCTION("""COMPUTED_VALUE"""),"Marginal Stability")</f>
        <v>Marginal Stability</v>
      </c>
      <c r="I96" s="25" t="str">
        <f>IFERROR(__xludf.DUMMYFUNCTION("""COMPUTED_VALUE"""),"Makes contact with the nose cone to break shear pins")</f>
        <v>Makes contact with the nose cone to break shear pins</v>
      </c>
      <c r="J96" s="18" t="str">
        <f>IFERROR(__xludf.DUMMYFUNCTION("""COMPUTED_VALUE"""),"6061-T6")</f>
        <v>6061-T6</v>
      </c>
      <c r="K96" s="18" t="str">
        <f>IFERROR(__xludf.DUMMYFUNCTION("""COMPUTED_VALUE"""),"Imperial")</f>
        <v>Imperial</v>
      </c>
      <c r="L96" s="18" t="str">
        <f>IFERROR(__xludf.DUMMYFUNCTION("""COMPUTED_VALUE"""),"Andrew Bilan")</f>
        <v>Andrew Bilan</v>
      </c>
      <c r="M96" s="33">
        <f>IFERROR(__xludf.DUMMYFUNCTION("""COMPUTED_VALUE"""),43582.0)</f>
        <v>43582</v>
      </c>
      <c r="N96" s="18" t="str">
        <f>IFERROR(__xludf.DUMMYFUNCTION("""COMPUTED_VALUE"""),"")</f>
        <v/>
      </c>
      <c r="O96" s="18" t="str">
        <f>IFERROR(__xludf.DUMMYFUNCTION("""COMPUTED_VALUE"""),"In Progress")</f>
        <v>In Progress</v>
      </c>
      <c r="P96" s="1" t="str">
        <f>IFERROR(__xludf.DUMMYFUNCTION("""COMPUTED_VALUE"""),"")</f>
        <v/>
      </c>
      <c r="Q96" s="1" t="str">
        <f>IFERROR(__xludf.DUMMYFUNCTION("""COMPUTED_VALUE"""),"")</f>
        <v/>
      </c>
      <c r="R96" s="1" t="str">
        <f>IFERROR(__xludf.DUMMYFUNCTION("""COMPUTED_VALUE"""),"")</f>
        <v/>
      </c>
      <c r="S96" s="1" t="str">
        <f>IFERROR(__xludf.DUMMYFUNCTION("""COMPUTED_VALUE"""),"")</f>
        <v/>
      </c>
      <c r="T96" s="1" t="str">
        <f>IFERROR(__xludf.DUMMYFUNCTION("""COMPUTED_VALUE"""),"")</f>
        <v/>
      </c>
      <c r="U96" s="1" t="str">
        <f>IFERROR(__xludf.DUMMYFUNCTION("""COMPUTED_VALUE"""),"")</f>
        <v/>
      </c>
      <c r="V96" s="1" t="str">
        <f>IFERROR(__xludf.DUMMYFUNCTION("""COMPUTED_VALUE"""),"")</f>
        <v/>
      </c>
      <c r="W96" s="1" t="str">
        <f>IFERROR(__xludf.DUMMYFUNCTION("""COMPUTED_VALUE"""),"")</f>
        <v/>
      </c>
      <c r="X96" s="1" t="str">
        <f>IFERROR(__xludf.DUMMYFUNCTION("""COMPUTED_VALUE"""),"")</f>
        <v/>
      </c>
      <c r="Y96" s="1" t="str">
        <f>IFERROR(__xludf.DUMMYFUNCTION("""COMPUTED_VALUE"""),"")</f>
        <v/>
      </c>
      <c r="Z96" s="1" t="str">
        <f>IFERROR(__xludf.DUMMYFUNCTION("""COMPUTED_VALUE"""),"")</f>
        <v/>
      </c>
      <c r="AA96" s="1" t="str">
        <f>IFERROR(__xludf.DUMMYFUNCTION("""COMPUTED_VALUE"""),"")</f>
        <v/>
      </c>
      <c r="AB96" s="1" t="str">
        <f>IFERROR(__xludf.DUMMYFUNCTION("""COMPUTED_VALUE"""),"")</f>
        <v/>
      </c>
      <c r="AC96" s="1"/>
      <c r="AD96" s="1"/>
      <c r="AE96" s="1"/>
      <c r="AF96" s="1"/>
      <c r="AG96" s="1"/>
      <c r="AH96" s="1"/>
      <c r="AI96" s="1"/>
      <c r="AJ96" s="1"/>
    </row>
    <row r="97">
      <c r="A97" s="7"/>
      <c r="B97" s="8"/>
      <c r="C97" s="9">
        <f>IFERROR(__xludf.DUMMYFUNCTION("""COMPUTED_VALUE"""),15001.0)</f>
        <v>15001</v>
      </c>
      <c r="D97" s="28" t="str">
        <f>IFERROR(__xludf.DUMMYFUNCTION("""COMPUTED_VALUE"""),"R02")</f>
        <v>R02</v>
      </c>
      <c r="E97" s="29" t="str">
        <f>IFERROR(__xludf.DUMMYFUNCTION("""COMPUTED_VALUE"""),"Pressurant Tank")</f>
        <v>Pressurant Tank</v>
      </c>
      <c r="F97" s="18" t="str">
        <f>IFERROR(__xludf.DUMMYFUNCTION("""COMPUTED_VALUE"""),"Systems")</f>
        <v>Systems</v>
      </c>
      <c r="G97" s="18" t="str">
        <f>IFERROR(__xludf.DUMMYFUNCTION("""COMPUTED_VALUE"""),"SolidWorks")</f>
        <v>SolidWorks</v>
      </c>
      <c r="H97" s="18" t="str">
        <f>IFERROR(__xludf.DUMMYFUNCTION("""COMPUTED_VALUE"""),"Marginal Stability")</f>
        <v>Marginal Stability</v>
      </c>
      <c r="I97" s="25" t="str">
        <f>IFERROR(__xludf.DUMMYFUNCTION("""COMPUTED_VALUE"""),"Composite high-pressure helium tank mockup for pressurizing propellant tanks")</f>
        <v>Composite high-pressure helium tank mockup for pressurizing propellant tanks</v>
      </c>
      <c r="J97" s="18" t="str">
        <f>IFERROR(__xludf.DUMMYFUNCTION("""COMPUTED_VALUE"""),"Composite (?)")</f>
        <v>Composite (?)</v>
      </c>
      <c r="K97" s="18" t="str">
        <f>IFERROR(__xludf.DUMMYFUNCTION("""COMPUTED_VALUE"""),"Imperial")</f>
        <v>Imperial</v>
      </c>
      <c r="L97" s="18" t="str">
        <f>IFERROR(__xludf.DUMMYFUNCTION("""COMPUTED_VALUE"""),"Joshua Elmer")</f>
        <v>Joshua Elmer</v>
      </c>
      <c r="M97" s="42">
        <f>IFERROR(__xludf.DUMMYFUNCTION("""COMPUTED_VALUE"""),43314.0)</f>
        <v>43314</v>
      </c>
      <c r="N97" s="18" t="str">
        <f>IFERROR(__xludf.DUMMYFUNCTION("""COMPUTED_VALUE"""),"")</f>
        <v/>
      </c>
      <c r="O97" s="18" t="str">
        <f>IFERROR(__xludf.DUMMYFUNCTION("""COMPUTED_VALUE"""),"In progress")</f>
        <v>In progress</v>
      </c>
      <c r="P97" s="1" t="str">
        <f>IFERROR(__xludf.DUMMYFUNCTION("""COMPUTED_VALUE"""),"")</f>
        <v/>
      </c>
      <c r="Q97" s="1" t="str">
        <f>IFERROR(__xludf.DUMMYFUNCTION("""COMPUTED_VALUE"""),"")</f>
        <v/>
      </c>
      <c r="R97" s="1" t="str">
        <f>IFERROR(__xludf.DUMMYFUNCTION("""COMPUTED_VALUE"""),"")</f>
        <v/>
      </c>
      <c r="S97" s="1" t="str">
        <f>IFERROR(__xludf.DUMMYFUNCTION("""COMPUTED_VALUE"""),"")</f>
        <v/>
      </c>
      <c r="T97" s="1" t="str">
        <f>IFERROR(__xludf.DUMMYFUNCTION("""COMPUTED_VALUE"""),"")</f>
        <v/>
      </c>
      <c r="U97" s="1" t="str">
        <f>IFERROR(__xludf.DUMMYFUNCTION("""COMPUTED_VALUE"""),"")</f>
        <v/>
      </c>
      <c r="V97" s="1" t="str">
        <f>IFERROR(__xludf.DUMMYFUNCTION("""COMPUTED_VALUE"""),"")</f>
        <v/>
      </c>
      <c r="W97" s="1" t="str">
        <f>IFERROR(__xludf.DUMMYFUNCTION("""COMPUTED_VALUE"""),"")</f>
        <v/>
      </c>
      <c r="X97" s="1" t="str">
        <f>IFERROR(__xludf.DUMMYFUNCTION("""COMPUTED_VALUE"""),"")</f>
        <v/>
      </c>
      <c r="Y97" s="1" t="str">
        <f>IFERROR(__xludf.DUMMYFUNCTION("""COMPUTED_VALUE"""),"")</f>
        <v/>
      </c>
      <c r="Z97" s="1" t="str">
        <f>IFERROR(__xludf.DUMMYFUNCTION("""COMPUTED_VALUE"""),"")</f>
        <v/>
      </c>
      <c r="AA97" s="1" t="str">
        <f>IFERROR(__xludf.DUMMYFUNCTION("""COMPUTED_VALUE"""),"")</f>
        <v/>
      </c>
      <c r="AB97" s="1" t="str">
        <f>IFERROR(__xludf.DUMMYFUNCTION("""COMPUTED_VALUE"""),"")</f>
        <v/>
      </c>
      <c r="AC97" s="1"/>
      <c r="AD97" s="1"/>
      <c r="AE97" s="1"/>
      <c r="AF97" s="1"/>
      <c r="AG97" s="1"/>
      <c r="AH97" s="1"/>
      <c r="AI97" s="1"/>
      <c r="AJ97" s="1"/>
    </row>
    <row r="98">
      <c r="A98" s="7"/>
      <c r="B98" s="8"/>
      <c r="C98" s="9">
        <f>IFERROR(__xludf.DUMMYFUNCTION("""COMPUTED_VALUE"""),15002.0)</f>
        <v>15002</v>
      </c>
      <c r="D98" s="28" t="str">
        <f>IFERROR(__xludf.DUMMYFUNCTION("""COMPUTED_VALUE"""),"R01")</f>
        <v>R01</v>
      </c>
      <c r="E98" s="29" t="str">
        <f>IFERROR(__xludf.DUMMYFUNCTION("""COMPUTED_VALUE"""),"Pressurant Tank Retainer")</f>
        <v>Pressurant Tank Retainer</v>
      </c>
      <c r="F98" s="18" t="str">
        <f>IFERROR(__xludf.DUMMYFUNCTION("""COMPUTED_VALUE"""),"Systems")</f>
        <v>Systems</v>
      </c>
      <c r="G98" s="18" t="str">
        <f>IFERROR(__xludf.DUMMYFUNCTION("""COMPUTED_VALUE"""),"SolidWorks")</f>
        <v>SolidWorks</v>
      </c>
      <c r="H98" s="18" t="str">
        <f>IFERROR(__xludf.DUMMYFUNCTION("""COMPUTED_VALUE"""),"Marginal Stability")</f>
        <v>Marginal Stability</v>
      </c>
      <c r="I98" s="25" t="str">
        <f>IFERROR(__xludf.DUMMYFUNCTION("""COMPUTED_VALUE"""),"Mockup of the retaining ring holding pressurant tank in place")</f>
        <v>Mockup of the retaining ring holding pressurant tank in place</v>
      </c>
      <c r="J98" s="18" t="str">
        <f>IFERROR(__xludf.DUMMYFUNCTION("""COMPUTED_VALUE"""),"6061-T6")</f>
        <v>6061-T6</v>
      </c>
      <c r="K98" s="18" t="str">
        <f>IFERROR(__xludf.DUMMYFUNCTION("""COMPUTED_VALUE"""),"Imperial")</f>
        <v>Imperial</v>
      </c>
      <c r="L98" s="18" t="str">
        <f>IFERROR(__xludf.DUMMYFUNCTION("""COMPUTED_VALUE"""),"Joshua Elmer")</f>
        <v>Joshua Elmer</v>
      </c>
      <c r="M98" s="42">
        <f>IFERROR(__xludf.DUMMYFUNCTION("""COMPUTED_VALUE"""),43315.0)</f>
        <v>43315</v>
      </c>
      <c r="N98" s="34" t="str">
        <f>IFERROR(__xludf.DUMMYFUNCTION("""COMPUTED_VALUE"""),"https://drive.google.com/drive/folders/1pEUuzC4hwV5AJEftRQrDAZ70En_CcXPE")</f>
        <v>https://drive.google.com/drive/folders/1pEUuzC4hwV5AJEftRQrDAZ70En_CcXPE</v>
      </c>
      <c r="O98" s="18" t="str">
        <f>IFERROR(__xludf.DUMMYFUNCTION("""COMPUTED_VALUE"""),"In progress")</f>
        <v>In progress</v>
      </c>
      <c r="P98" s="1" t="str">
        <f>IFERROR(__xludf.DUMMYFUNCTION("""COMPUTED_VALUE"""),"")</f>
        <v/>
      </c>
      <c r="Q98" s="1" t="str">
        <f>IFERROR(__xludf.DUMMYFUNCTION("""COMPUTED_VALUE"""),"")</f>
        <v/>
      </c>
      <c r="R98" s="1" t="str">
        <f>IFERROR(__xludf.DUMMYFUNCTION("""COMPUTED_VALUE"""),"")</f>
        <v/>
      </c>
      <c r="S98" s="1" t="str">
        <f>IFERROR(__xludf.DUMMYFUNCTION("""COMPUTED_VALUE"""),"")</f>
        <v/>
      </c>
      <c r="T98" s="1" t="str">
        <f>IFERROR(__xludf.DUMMYFUNCTION("""COMPUTED_VALUE"""),"")</f>
        <v/>
      </c>
      <c r="U98" s="1" t="str">
        <f>IFERROR(__xludf.DUMMYFUNCTION("""COMPUTED_VALUE"""),"")</f>
        <v/>
      </c>
      <c r="V98" s="1" t="str">
        <f>IFERROR(__xludf.DUMMYFUNCTION("""COMPUTED_VALUE"""),"")</f>
        <v/>
      </c>
      <c r="W98" s="1" t="str">
        <f>IFERROR(__xludf.DUMMYFUNCTION("""COMPUTED_VALUE"""),"")</f>
        <v/>
      </c>
      <c r="X98" s="1" t="str">
        <f>IFERROR(__xludf.DUMMYFUNCTION("""COMPUTED_VALUE"""),"")</f>
        <v/>
      </c>
      <c r="Y98" s="1" t="str">
        <f>IFERROR(__xludf.DUMMYFUNCTION("""COMPUTED_VALUE"""),"")</f>
        <v/>
      </c>
      <c r="Z98" s="1" t="str">
        <f>IFERROR(__xludf.DUMMYFUNCTION("""COMPUTED_VALUE"""),"")</f>
        <v/>
      </c>
      <c r="AA98" s="1" t="str">
        <f>IFERROR(__xludf.DUMMYFUNCTION("""COMPUTED_VALUE"""),"")</f>
        <v/>
      </c>
      <c r="AB98" s="1" t="str">
        <f>IFERROR(__xludf.DUMMYFUNCTION("""COMPUTED_VALUE"""),"")</f>
        <v/>
      </c>
      <c r="AC98" s="1"/>
      <c r="AD98" s="1"/>
      <c r="AE98" s="1"/>
      <c r="AF98" s="1"/>
      <c r="AG98" s="1"/>
      <c r="AH98" s="1"/>
      <c r="AI98" s="1"/>
      <c r="AJ98" s="1"/>
    </row>
    <row r="99">
      <c r="A99" s="7"/>
      <c r="B99" s="8"/>
      <c r="C99" s="9">
        <f>IFERROR(__xludf.DUMMYFUNCTION("""COMPUTED_VALUE"""),15003.0)</f>
        <v>15003</v>
      </c>
      <c r="D99" s="28" t="str">
        <f>IFERROR(__xludf.DUMMYFUNCTION("""COMPUTED_VALUE"""),"R01")</f>
        <v>R01</v>
      </c>
      <c r="E99" s="29" t="str">
        <f>IFERROR(__xludf.DUMMYFUNCTION("""COMPUTED_VALUE"""),"Upper Airframe Valve Setup")</f>
        <v>Upper Airframe Valve Setup</v>
      </c>
      <c r="F99" s="18" t="str">
        <f>IFERROR(__xludf.DUMMYFUNCTION("""COMPUTED_VALUE"""),"Systems")</f>
        <v>Systems</v>
      </c>
      <c r="G99" s="18" t="str">
        <f>IFERROR(__xludf.DUMMYFUNCTION("""COMPUTED_VALUE"""),"SolidWorks")</f>
        <v>SolidWorks</v>
      </c>
      <c r="H99" s="18" t="str">
        <f>IFERROR(__xludf.DUMMYFUNCTION("""COMPUTED_VALUE"""),"Marginal Stability")</f>
        <v>Marginal Stability</v>
      </c>
      <c r="I99" s="25" t="str">
        <f>IFERROR(__xludf.DUMMYFUNCTION("""COMPUTED_VALUE"""),"A block of approximately the same mass and size as the future valve setup, for mass and sizing purposes")</f>
        <v>A block of approximately the same mass and size as the future valve setup, for mass and sizing purposes</v>
      </c>
      <c r="J99" s="18" t="str">
        <f>IFERROR(__xludf.DUMMYFUNCTION("""COMPUTED_VALUE"""),"N/A")</f>
        <v>N/A</v>
      </c>
      <c r="K99" s="18" t="str">
        <f>IFERROR(__xludf.DUMMYFUNCTION("""COMPUTED_VALUE"""),"Imperial")</f>
        <v>Imperial</v>
      </c>
      <c r="L99" s="18" t="str">
        <f>IFERROR(__xludf.DUMMYFUNCTION("""COMPUTED_VALUE"""),"Joshua Elmer")</f>
        <v>Joshua Elmer</v>
      </c>
      <c r="M99" s="18" t="str">
        <f>IFERROR(__xludf.DUMMYFUNCTION("""COMPUTED_VALUE"""),"Sept/2018")</f>
        <v>Sept/2018</v>
      </c>
      <c r="N99" s="18" t="str">
        <f>IFERROR(__xludf.DUMMYFUNCTION("""COMPUTED_VALUE"""),"")</f>
        <v/>
      </c>
      <c r="O99" s="18" t="str">
        <f>IFERROR(__xludf.DUMMYFUNCTION("""COMPUTED_VALUE"""),"In Progress")</f>
        <v>In Progress</v>
      </c>
      <c r="P99" s="1" t="str">
        <f>IFERROR(__xludf.DUMMYFUNCTION("""COMPUTED_VALUE"""),"")</f>
        <v/>
      </c>
      <c r="Q99" s="1" t="str">
        <f>IFERROR(__xludf.DUMMYFUNCTION("""COMPUTED_VALUE"""),"")</f>
        <v/>
      </c>
      <c r="R99" s="1" t="str">
        <f>IFERROR(__xludf.DUMMYFUNCTION("""COMPUTED_VALUE"""),"")</f>
        <v/>
      </c>
      <c r="S99" s="1" t="str">
        <f>IFERROR(__xludf.DUMMYFUNCTION("""COMPUTED_VALUE"""),"")</f>
        <v/>
      </c>
      <c r="T99" s="1" t="str">
        <f>IFERROR(__xludf.DUMMYFUNCTION("""COMPUTED_VALUE"""),"")</f>
        <v/>
      </c>
      <c r="U99" s="1" t="str">
        <f>IFERROR(__xludf.DUMMYFUNCTION("""COMPUTED_VALUE"""),"")</f>
        <v/>
      </c>
      <c r="V99" s="1" t="str">
        <f>IFERROR(__xludf.DUMMYFUNCTION("""COMPUTED_VALUE"""),"")</f>
        <v/>
      </c>
      <c r="W99" s="1" t="str">
        <f>IFERROR(__xludf.DUMMYFUNCTION("""COMPUTED_VALUE"""),"")</f>
        <v/>
      </c>
      <c r="X99" s="1" t="str">
        <f>IFERROR(__xludf.DUMMYFUNCTION("""COMPUTED_VALUE"""),"")</f>
        <v/>
      </c>
      <c r="Y99" s="1" t="str">
        <f>IFERROR(__xludf.DUMMYFUNCTION("""COMPUTED_VALUE"""),"")</f>
        <v/>
      </c>
      <c r="Z99" s="1" t="str">
        <f>IFERROR(__xludf.DUMMYFUNCTION("""COMPUTED_VALUE"""),"")</f>
        <v/>
      </c>
      <c r="AA99" s="1" t="str">
        <f>IFERROR(__xludf.DUMMYFUNCTION("""COMPUTED_VALUE"""),"")</f>
        <v/>
      </c>
      <c r="AB99" s="1" t="str">
        <f>IFERROR(__xludf.DUMMYFUNCTION("""COMPUTED_VALUE"""),"")</f>
        <v/>
      </c>
      <c r="AC99" s="1"/>
      <c r="AD99" s="1"/>
      <c r="AE99" s="1"/>
      <c r="AF99" s="1"/>
      <c r="AG99" s="1"/>
      <c r="AH99" s="1"/>
      <c r="AI99" s="1"/>
      <c r="AJ99" s="1"/>
    </row>
    <row r="100">
      <c r="A100" s="7"/>
      <c r="B100" s="8"/>
      <c r="C100" s="9">
        <f>IFERROR(__xludf.DUMMYFUNCTION("""COMPUTED_VALUE"""),15004.0)</f>
        <v>15004</v>
      </c>
      <c r="D100" s="10" t="str">
        <f>IFERROR(__xludf.DUMMYFUNCTION("""COMPUTED_VALUE"""),"R01")</f>
        <v>R01</v>
      </c>
      <c r="E100" s="11" t="str">
        <f>IFERROR(__xludf.DUMMYFUNCTION("""COMPUTED_VALUE"""),"Lower Airframe Valve Setup")</f>
        <v>Lower Airframe Valve Setup</v>
      </c>
      <c r="F100" s="2" t="str">
        <f>IFERROR(__xludf.DUMMYFUNCTION("""COMPUTED_VALUE"""),"Systems")</f>
        <v>Systems</v>
      </c>
      <c r="G100" s="2" t="str">
        <f>IFERROR(__xludf.DUMMYFUNCTION("""COMPUTED_VALUE"""),"SolidWorks")</f>
        <v>SolidWorks</v>
      </c>
      <c r="H100" s="2" t="str">
        <f>IFERROR(__xludf.DUMMYFUNCTION("""COMPUTED_VALUE"""),"Marginal Stability")</f>
        <v>Marginal Stability</v>
      </c>
      <c r="I100" s="25" t="str">
        <f>IFERROR(__xludf.DUMMYFUNCTION("""COMPUTED_VALUE"""),"A block of approximately the same mass and size as the future valve setup, for mass and sizing purposes")</f>
        <v>A block of approximately the same mass and size as the future valve setup, for mass and sizing purposes</v>
      </c>
      <c r="J100" s="2" t="str">
        <f>IFERROR(__xludf.DUMMYFUNCTION("""COMPUTED_VALUE"""),"N/A")</f>
        <v>N/A</v>
      </c>
      <c r="K100" s="2" t="str">
        <f>IFERROR(__xludf.DUMMYFUNCTION("""COMPUTED_VALUE"""),"Imperial")</f>
        <v>Imperial</v>
      </c>
      <c r="L100" s="2" t="str">
        <f>IFERROR(__xludf.DUMMYFUNCTION("""COMPUTED_VALUE"""),"Joshua Elmer")</f>
        <v>Joshua Elmer</v>
      </c>
      <c r="M100" s="26" t="str">
        <f>IFERROR(__xludf.DUMMYFUNCTION("""COMPUTED_VALUE"""),"Sept/2018")</f>
        <v>Sept/2018</v>
      </c>
      <c r="N100" s="18" t="str">
        <f>IFERROR(__xludf.DUMMYFUNCTION("""COMPUTED_VALUE"""),"")</f>
        <v/>
      </c>
      <c r="O100" s="18" t="str">
        <f>IFERROR(__xludf.DUMMYFUNCTION("""COMPUTED_VALUE"""),"In Progress")</f>
        <v>In Progress</v>
      </c>
      <c r="P100" s="1" t="str">
        <f>IFERROR(__xludf.DUMMYFUNCTION("""COMPUTED_VALUE"""),"")</f>
        <v/>
      </c>
      <c r="Q100" s="1" t="str">
        <f>IFERROR(__xludf.DUMMYFUNCTION("""COMPUTED_VALUE"""),"")</f>
        <v/>
      </c>
      <c r="R100" s="1" t="str">
        <f>IFERROR(__xludf.DUMMYFUNCTION("""COMPUTED_VALUE"""),"")</f>
        <v/>
      </c>
      <c r="S100" s="1" t="str">
        <f>IFERROR(__xludf.DUMMYFUNCTION("""COMPUTED_VALUE"""),"")</f>
        <v/>
      </c>
      <c r="T100" s="1" t="str">
        <f>IFERROR(__xludf.DUMMYFUNCTION("""COMPUTED_VALUE"""),"")</f>
        <v/>
      </c>
      <c r="U100" s="1" t="str">
        <f>IFERROR(__xludf.DUMMYFUNCTION("""COMPUTED_VALUE"""),"")</f>
        <v/>
      </c>
      <c r="V100" s="1" t="str">
        <f>IFERROR(__xludf.DUMMYFUNCTION("""COMPUTED_VALUE"""),"")</f>
        <v/>
      </c>
      <c r="W100" s="1" t="str">
        <f>IFERROR(__xludf.DUMMYFUNCTION("""COMPUTED_VALUE"""),"")</f>
        <v/>
      </c>
      <c r="X100" s="1" t="str">
        <f>IFERROR(__xludf.DUMMYFUNCTION("""COMPUTED_VALUE"""),"")</f>
        <v/>
      </c>
      <c r="Y100" s="1" t="str">
        <f>IFERROR(__xludf.DUMMYFUNCTION("""COMPUTED_VALUE"""),"")</f>
        <v/>
      </c>
      <c r="Z100" s="1" t="str">
        <f>IFERROR(__xludf.DUMMYFUNCTION("""COMPUTED_VALUE"""),"")</f>
        <v/>
      </c>
      <c r="AA100" s="1" t="str">
        <f>IFERROR(__xludf.DUMMYFUNCTION("""COMPUTED_VALUE"""),"")</f>
        <v/>
      </c>
      <c r="AB100" s="1" t="str">
        <f>IFERROR(__xludf.DUMMYFUNCTION("""COMPUTED_VALUE"""),"")</f>
        <v/>
      </c>
      <c r="AC100" s="1"/>
      <c r="AD100" s="1"/>
      <c r="AE100" s="1"/>
      <c r="AF100" s="1"/>
      <c r="AG100" s="1"/>
      <c r="AH100" s="1"/>
      <c r="AI100" s="1"/>
      <c r="AJ100" s="1"/>
    </row>
    <row r="101">
      <c r="A101" s="7"/>
      <c r="B101" s="8"/>
      <c r="C101" s="9">
        <f>IFERROR(__xludf.DUMMYFUNCTION("""COMPUTED_VALUE"""),15005.0)</f>
        <v>15005</v>
      </c>
      <c r="D101" s="10" t="str">
        <f>IFERROR(__xludf.DUMMYFUNCTION("""COMPUTED_VALUE"""),"R05")</f>
        <v>R05</v>
      </c>
      <c r="E101" s="11" t="str">
        <f>IFERROR(__xludf.DUMMYFUNCTION("""COMPUTED_VALUE"""),"Pressurant Tank Top Bulkhead")</f>
        <v>Pressurant Tank Top Bulkhead</v>
      </c>
      <c r="F101" s="2" t="str">
        <f>IFERROR(__xludf.DUMMYFUNCTION("""COMPUTED_VALUE"""),"Systems")</f>
        <v>Systems</v>
      </c>
      <c r="G101" s="2" t="str">
        <f>IFERROR(__xludf.DUMMYFUNCTION("""COMPUTED_VALUE"""),"SolidWorks")</f>
        <v>SolidWorks</v>
      </c>
      <c r="H101" s="2" t="str">
        <f>IFERROR(__xludf.DUMMYFUNCTION("""COMPUTED_VALUE"""),"Marginal Stability")</f>
        <v>Marginal Stability</v>
      </c>
      <c r="I101" s="12" t="str">
        <f>IFERROR(__xludf.DUMMYFUNCTION("""COMPUTED_VALUE"""),"Bulkhead that attaches pressurant tank retainer to airframe")</f>
        <v>Bulkhead that attaches pressurant tank retainer to airframe</v>
      </c>
      <c r="J101" s="2" t="str">
        <f>IFERROR(__xludf.DUMMYFUNCTION("""COMPUTED_VALUE"""),"6061-T6")</f>
        <v>6061-T6</v>
      </c>
      <c r="K101" s="2" t="str">
        <f>IFERROR(__xludf.DUMMYFUNCTION("""COMPUTED_VALUE"""),"Imperial")</f>
        <v>Imperial</v>
      </c>
      <c r="L101" s="2" t="str">
        <f>IFERROR(__xludf.DUMMYFUNCTION("""COMPUTED_VALUE"""),"Katie Freitag")</f>
        <v>Katie Freitag</v>
      </c>
      <c r="M101" s="26">
        <f>IFERROR(__xludf.DUMMYFUNCTION("""COMPUTED_VALUE"""),43407.0)</f>
        <v>43407</v>
      </c>
      <c r="N101" s="34" t="str">
        <f>IFERROR(__xludf.DUMMYFUNCTION("""COMPUTED_VALUE"""),"https://drive.google.com/open?id=1L_VDXrAO2k-YRY5Yj2vtx8Og3Xi5GBfG")</f>
        <v>https://drive.google.com/open?id=1L_VDXrAO2k-YRY5Yj2vtx8Og3Xi5GBfG</v>
      </c>
      <c r="O101" s="18" t="str">
        <f>IFERROR(__xludf.DUMMYFUNCTION("""COMPUTED_VALUE"""),"In Progress")</f>
        <v>In Progress</v>
      </c>
      <c r="P101" s="1" t="str">
        <f>IFERROR(__xludf.DUMMYFUNCTION("""COMPUTED_VALUE"""),"")</f>
        <v/>
      </c>
      <c r="Q101" s="1" t="str">
        <f>IFERROR(__xludf.DUMMYFUNCTION("""COMPUTED_VALUE"""),"")</f>
        <v/>
      </c>
      <c r="R101" s="1" t="str">
        <f>IFERROR(__xludf.DUMMYFUNCTION("""COMPUTED_VALUE"""),"")</f>
        <v/>
      </c>
      <c r="S101" s="1" t="str">
        <f>IFERROR(__xludf.DUMMYFUNCTION("""COMPUTED_VALUE"""),"")</f>
        <v/>
      </c>
      <c r="T101" s="1" t="str">
        <f>IFERROR(__xludf.DUMMYFUNCTION("""COMPUTED_VALUE"""),"")</f>
        <v/>
      </c>
      <c r="U101" s="1" t="str">
        <f>IFERROR(__xludf.DUMMYFUNCTION("""COMPUTED_VALUE"""),"")</f>
        <v/>
      </c>
      <c r="V101" s="1" t="str">
        <f>IFERROR(__xludf.DUMMYFUNCTION("""COMPUTED_VALUE"""),"")</f>
        <v/>
      </c>
      <c r="W101" s="1" t="str">
        <f>IFERROR(__xludf.DUMMYFUNCTION("""COMPUTED_VALUE"""),"")</f>
        <v/>
      </c>
      <c r="X101" s="1" t="str">
        <f>IFERROR(__xludf.DUMMYFUNCTION("""COMPUTED_VALUE"""),"")</f>
        <v/>
      </c>
      <c r="Y101" s="1" t="str">
        <f>IFERROR(__xludf.DUMMYFUNCTION("""COMPUTED_VALUE"""),"")</f>
        <v/>
      </c>
      <c r="Z101" s="1" t="str">
        <f>IFERROR(__xludf.DUMMYFUNCTION("""COMPUTED_VALUE"""),"")</f>
        <v/>
      </c>
      <c r="AA101" s="1" t="str">
        <f>IFERROR(__xludf.DUMMYFUNCTION("""COMPUTED_VALUE"""),"")</f>
        <v/>
      </c>
      <c r="AB101" s="1" t="str">
        <f>IFERROR(__xludf.DUMMYFUNCTION("""COMPUTED_VALUE"""),"")</f>
        <v/>
      </c>
      <c r="AC101" s="1"/>
      <c r="AD101" s="1"/>
      <c r="AE101" s="1"/>
      <c r="AF101" s="1"/>
      <c r="AG101" s="1"/>
      <c r="AH101" s="1"/>
      <c r="AI101" s="1"/>
      <c r="AJ101" s="1"/>
    </row>
    <row r="102">
      <c r="A102" s="7"/>
      <c r="B102" s="8"/>
      <c r="C102" s="9">
        <f>IFERROR(__xludf.DUMMYFUNCTION("""COMPUTED_VALUE"""),15006.0)</f>
        <v>15006</v>
      </c>
      <c r="D102" s="10" t="str">
        <f>IFERROR(__xludf.DUMMYFUNCTION("""COMPUTED_VALUE"""),"R03")</f>
        <v>R03</v>
      </c>
      <c r="E102" s="11" t="str">
        <f>IFERROR(__xludf.DUMMYFUNCTION("""COMPUTED_VALUE"""),"Pressurant Tank Bottom Bulkhead")</f>
        <v>Pressurant Tank Bottom Bulkhead</v>
      </c>
      <c r="F102" s="2" t="str">
        <f>IFERROR(__xludf.DUMMYFUNCTION("""COMPUTED_VALUE"""),"Systems")</f>
        <v>Systems</v>
      </c>
      <c r="G102" s="2" t="str">
        <f>IFERROR(__xludf.DUMMYFUNCTION("""COMPUTED_VALUE"""),"SolidWorks")</f>
        <v>SolidWorks</v>
      </c>
      <c r="H102" s="2" t="str">
        <f>IFERROR(__xludf.DUMMYFUNCTION("""COMPUTED_VALUE"""),"Marginal Stability")</f>
        <v>Marginal Stability</v>
      </c>
      <c r="I102" s="25" t="str">
        <f>IFERROR(__xludf.DUMMYFUNCTION("""COMPUTED_VALUE"""),"Bulkhead retains pressurant tank from bottom by retaining the airframe from the outside")</f>
        <v>Bulkhead retains pressurant tank from bottom by retaining the airframe from the outside</v>
      </c>
      <c r="J102" s="2" t="str">
        <f>IFERROR(__xludf.DUMMYFUNCTION("""COMPUTED_VALUE"""),"6061-T6")</f>
        <v>6061-T6</v>
      </c>
      <c r="K102" s="2" t="str">
        <f>IFERROR(__xludf.DUMMYFUNCTION("""COMPUTED_VALUE"""),"Imperial")</f>
        <v>Imperial</v>
      </c>
      <c r="L102" s="2" t="str">
        <f>IFERROR(__xludf.DUMMYFUNCTION("""COMPUTED_VALUE"""),"Katie Freitag")</f>
        <v>Katie Freitag</v>
      </c>
      <c r="M102" s="26">
        <f>IFERROR(__xludf.DUMMYFUNCTION("""COMPUTED_VALUE"""),43407.0)</f>
        <v>43407</v>
      </c>
      <c r="N102" s="34" t="str">
        <f>IFERROR(__xludf.DUMMYFUNCTION("""COMPUTED_VALUE"""),"https://drive.google.com/open?id=1iVDrLgyZJ0BuVDNMw3BzIVrhGUIKz1mM")</f>
        <v>https://drive.google.com/open?id=1iVDrLgyZJ0BuVDNMw3BzIVrhGUIKz1mM</v>
      </c>
      <c r="O102" s="18" t="str">
        <f>IFERROR(__xludf.DUMMYFUNCTION("""COMPUTED_VALUE"""),"In Progress")</f>
        <v>In Progress</v>
      </c>
      <c r="P102" s="1" t="str">
        <f>IFERROR(__xludf.DUMMYFUNCTION("""COMPUTED_VALUE"""),"")</f>
        <v/>
      </c>
      <c r="Q102" s="1" t="str">
        <f>IFERROR(__xludf.DUMMYFUNCTION("""COMPUTED_VALUE"""),"")</f>
        <v/>
      </c>
      <c r="R102" s="1" t="str">
        <f>IFERROR(__xludf.DUMMYFUNCTION("""COMPUTED_VALUE"""),"")</f>
        <v/>
      </c>
      <c r="S102" s="1" t="str">
        <f>IFERROR(__xludf.DUMMYFUNCTION("""COMPUTED_VALUE"""),"")</f>
        <v/>
      </c>
      <c r="T102" s="1" t="str">
        <f>IFERROR(__xludf.DUMMYFUNCTION("""COMPUTED_VALUE"""),"")</f>
        <v/>
      </c>
      <c r="U102" s="1" t="str">
        <f>IFERROR(__xludf.DUMMYFUNCTION("""COMPUTED_VALUE"""),"")</f>
        <v/>
      </c>
      <c r="V102" s="1" t="str">
        <f>IFERROR(__xludf.DUMMYFUNCTION("""COMPUTED_VALUE"""),"")</f>
        <v/>
      </c>
      <c r="W102" s="1" t="str">
        <f>IFERROR(__xludf.DUMMYFUNCTION("""COMPUTED_VALUE"""),"")</f>
        <v/>
      </c>
      <c r="X102" s="1" t="str">
        <f>IFERROR(__xludf.DUMMYFUNCTION("""COMPUTED_VALUE"""),"")</f>
        <v/>
      </c>
      <c r="Y102" s="1" t="str">
        <f>IFERROR(__xludf.DUMMYFUNCTION("""COMPUTED_VALUE"""),"")</f>
        <v/>
      </c>
      <c r="Z102" s="1" t="str">
        <f>IFERROR(__xludf.DUMMYFUNCTION("""COMPUTED_VALUE"""),"")</f>
        <v/>
      </c>
      <c r="AA102" s="1" t="str">
        <f>IFERROR(__xludf.DUMMYFUNCTION("""COMPUTED_VALUE"""),"")</f>
        <v/>
      </c>
      <c r="AB102" s="1" t="str">
        <f>IFERROR(__xludf.DUMMYFUNCTION("""COMPUTED_VALUE"""),"")</f>
        <v/>
      </c>
      <c r="AC102" s="1"/>
      <c r="AD102" s="1"/>
      <c r="AE102" s="1"/>
      <c r="AF102" s="1"/>
      <c r="AG102" s="1"/>
      <c r="AH102" s="1"/>
      <c r="AI102" s="1"/>
      <c r="AJ102" s="1"/>
    </row>
    <row r="103">
      <c r="A103" s="7"/>
      <c r="B103" s="8"/>
      <c r="C103" s="9">
        <f>IFERROR(__xludf.DUMMYFUNCTION("""COMPUTED_VALUE"""),15007.0)</f>
        <v>15007</v>
      </c>
      <c r="D103" s="10" t="str">
        <f>IFERROR(__xludf.DUMMYFUNCTION("""COMPUTED_VALUE"""),"R03")</f>
        <v>R03</v>
      </c>
      <c r="E103" s="11" t="str">
        <f>IFERROR(__xludf.DUMMYFUNCTION("""COMPUTED_VALUE"""),"Upper Vibration Absorber")</f>
        <v>Upper Vibration Absorber</v>
      </c>
      <c r="F103" s="2" t="str">
        <f>IFERROR(__xludf.DUMMYFUNCTION("""COMPUTED_VALUE"""),"Systems")</f>
        <v>Systems</v>
      </c>
      <c r="G103" s="2" t="str">
        <f>IFERROR(__xludf.DUMMYFUNCTION("""COMPUTED_VALUE"""),"SolidWorks")</f>
        <v>SolidWorks</v>
      </c>
      <c r="H103" s="2" t="str">
        <f>IFERROR(__xludf.DUMMYFUNCTION("""COMPUTED_VALUE"""),"Marginal Stability")</f>
        <v>Marginal Stability</v>
      </c>
      <c r="I103" s="25" t="str">
        <f>IFERROR(__xludf.DUMMYFUNCTION("""COMPUTED_VALUE"""),"Used to dampen vibrations on the retaining ring attached to the pressurant tank")</f>
        <v>Used to dampen vibrations on the retaining ring attached to the pressurant tank</v>
      </c>
      <c r="J103" s="2" t="str">
        <f>IFERROR(__xludf.DUMMYFUNCTION("""COMPUTED_VALUE"""),"Silicon Rubber")</f>
        <v>Silicon Rubber</v>
      </c>
      <c r="K103" s="2" t="str">
        <f>IFERROR(__xludf.DUMMYFUNCTION("""COMPUTED_VALUE"""),"Imperial")</f>
        <v>Imperial</v>
      </c>
      <c r="L103" s="2" t="str">
        <f>IFERROR(__xludf.DUMMYFUNCTION("""COMPUTED_VALUE"""),"Katie Freitag")</f>
        <v>Katie Freitag</v>
      </c>
      <c r="M103" s="26">
        <f>IFERROR(__xludf.DUMMYFUNCTION("""COMPUTED_VALUE"""),43484.0)</f>
        <v>43484</v>
      </c>
      <c r="N103" s="34" t="str">
        <f>IFERROR(__xludf.DUMMYFUNCTION("""COMPUTED_VALUE"""),"https://drive.google.com/drive/folders/1pEUuzC4hwV5AJEftRQrDAZ70En_CcXPE")</f>
        <v>https://drive.google.com/drive/folders/1pEUuzC4hwV5AJEftRQrDAZ70En_CcXPE</v>
      </c>
      <c r="O103" s="18" t="str">
        <f>IFERROR(__xludf.DUMMYFUNCTION("""COMPUTED_VALUE"""),"In Progress")</f>
        <v>In Progress</v>
      </c>
      <c r="P103" s="1" t="str">
        <f>IFERROR(__xludf.DUMMYFUNCTION("""COMPUTED_VALUE"""),"")</f>
        <v/>
      </c>
      <c r="Q103" s="1" t="str">
        <f>IFERROR(__xludf.DUMMYFUNCTION("""COMPUTED_VALUE"""),"")</f>
        <v/>
      </c>
      <c r="R103" s="1" t="str">
        <f>IFERROR(__xludf.DUMMYFUNCTION("""COMPUTED_VALUE"""),"")</f>
        <v/>
      </c>
      <c r="S103" s="1" t="str">
        <f>IFERROR(__xludf.DUMMYFUNCTION("""COMPUTED_VALUE"""),"")</f>
        <v/>
      </c>
      <c r="T103" s="1" t="str">
        <f>IFERROR(__xludf.DUMMYFUNCTION("""COMPUTED_VALUE"""),"")</f>
        <v/>
      </c>
      <c r="U103" s="1" t="str">
        <f>IFERROR(__xludf.DUMMYFUNCTION("""COMPUTED_VALUE"""),"")</f>
        <v/>
      </c>
      <c r="V103" s="1" t="str">
        <f>IFERROR(__xludf.DUMMYFUNCTION("""COMPUTED_VALUE"""),"")</f>
        <v/>
      </c>
      <c r="W103" s="1" t="str">
        <f>IFERROR(__xludf.DUMMYFUNCTION("""COMPUTED_VALUE"""),"")</f>
        <v/>
      </c>
      <c r="X103" s="1" t="str">
        <f>IFERROR(__xludf.DUMMYFUNCTION("""COMPUTED_VALUE"""),"")</f>
        <v/>
      </c>
      <c r="Y103" s="1" t="str">
        <f>IFERROR(__xludf.DUMMYFUNCTION("""COMPUTED_VALUE"""),"")</f>
        <v/>
      </c>
      <c r="Z103" s="1" t="str">
        <f>IFERROR(__xludf.DUMMYFUNCTION("""COMPUTED_VALUE"""),"")</f>
        <v/>
      </c>
      <c r="AA103" s="1" t="str">
        <f>IFERROR(__xludf.DUMMYFUNCTION("""COMPUTED_VALUE"""),"")</f>
        <v/>
      </c>
      <c r="AB103" s="1" t="str">
        <f>IFERROR(__xludf.DUMMYFUNCTION("""COMPUTED_VALUE"""),"")</f>
        <v/>
      </c>
      <c r="AC103" s="1"/>
      <c r="AD103" s="1"/>
      <c r="AE103" s="1"/>
      <c r="AF103" s="1"/>
      <c r="AG103" s="1"/>
      <c r="AH103" s="1"/>
      <c r="AI103" s="1"/>
      <c r="AJ103" s="1"/>
    </row>
    <row r="104">
      <c r="A104" s="7"/>
      <c r="B104" s="8"/>
      <c r="C104" s="9">
        <f>IFERROR(__xludf.DUMMYFUNCTION("""COMPUTED_VALUE"""),15008.0)</f>
        <v>15008</v>
      </c>
      <c r="D104" s="10" t="str">
        <f>IFERROR(__xludf.DUMMYFUNCTION("""COMPUTED_VALUE"""),"R02")</f>
        <v>R02</v>
      </c>
      <c r="E104" s="11" t="str">
        <f>IFERROR(__xludf.DUMMYFUNCTION("""COMPUTED_VALUE"""),"Lower Vibration Absorber")</f>
        <v>Lower Vibration Absorber</v>
      </c>
      <c r="F104" s="2" t="str">
        <f>IFERROR(__xludf.DUMMYFUNCTION("""COMPUTED_VALUE"""),"Systems")</f>
        <v>Systems</v>
      </c>
      <c r="G104" s="2" t="str">
        <f>IFERROR(__xludf.DUMMYFUNCTION("""COMPUTED_VALUE"""),"SolidWorks")</f>
        <v>SolidWorks</v>
      </c>
      <c r="H104" s="2" t="str">
        <f>IFERROR(__xludf.DUMMYFUNCTION("""COMPUTED_VALUE"""),"Marginal Stability")</f>
        <v>Marginal Stability</v>
      </c>
      <c r="I104" s="12" t="str">
        <f>IFERROR(__xludf.DUMMYFUNCTION("""COMPUTED_VALUE"""),"Used to dampen vibrations on the lower bulkhead of the pressurant tanks retaining system")</f>
        <v>Used to dampen vibrations on the lower bulkhead of the pressurant tanks retaining system</v>
      </c>
      <c r="J104" s="2" t="str">
        <f>IFERROR(__xludf.DUMMYFUNCTION("""COMPUTED_VALUE"""),"Silicon Rubber")</f>
        <v>Silicon Rubber</v>
      </c>
      <c r="K104" s="2" t="str">
        <f>IFERROR(__xludf.DUMMYFUNCTION("""COMPUTED_VALUE"""),"Imperial")</f>
        <v>Imperial</v>
      </c>
      <c r="L104" s="2" t="str">
        <f>IFERROR(__xludf.DUMMYFUNCTION("""COMPUTED_VALUE"""),"Katie Freitag")</f>
        <v>Katie Freitag</v>
      </c>
      <c r="M104" s="21">
        <f>IFERROR(__xludf.DUMMYFUNCTION("""COMPUTED_VALUE"""),43484.0)</f>
        <v>43484</v>
      </c>
      <c r="N104" s="30" t="str">
        <f>IFERROR(__xludf.DUMMYFUNCTION("""COMPUTED_VALUE"""),"https://drive.google.com/drive/folders/1pEUuzC4hwV5AJEftRQrDAZ70En_CcXPE")</f>
        <v>https://drive.google.com/drive/folders/1pEUuzC4hwV5AJEftRQrDAZ70En_CcXPE</v>
      </c>
      <c r="O104" s="18" t="str">
        <f>IFERROR(__xludf.DUMMYFUNCTION("""COMPUTED_VALUE"""),"In Progress")</f>
        <v>In Progress</v>
      </c>
      <c r="P104" s="1" t="str">
        <f>IFERROR(__xludf.DUMMYFUNCTION("""COMPUTED_VALUE"""),"")</f>
        <v/>
      </c>
      <c r="Q104" s="1" t="str">
        <f>IFERROR(__xludf.DUMMYFUNCTION("""COMPUTED_VALUE"""),"")</f>
        <v/>
      </c>
      <c r="R104" s="1" t="str">
        <f>IFERROR(__xludf.DUMMYFUNCTION("""COMPUTED_VALUE"""),"")</f>
        <v/>
      </c>
      <c r="S104" s="1" t="str">
        <f>IFERROR(__xludf.DUMMYFUNCTION("""COMPUTED_VALUE"""),"")</f>
        <v/>
      </c>
      <c r="T104" s="1" t="str">
        <f>IFERROR(__xludf.DUMMYFUNCTION("""COMPUTED_VALUE"""),"")</f>
        <v/>
      </c>
      <c r="U104" s="1" t="str">
        <f>IFERROR(__xludf.DUMMYFUNCTION("""COMPUTED_VALUE"""),"")</f>
        <v/>
      </c>
      <c r="V104" s="1" t="str">
        <f>IFERROR(__xludf.DUMMYFUNCTION("""COMPUTED_VALUE"""),"")</f>
        <v/>
      </c>
      <c r="W104" s="1" t="str">
        <f>IFERROR(__xludf.DUMMYFUNCTION("""COMPUTED_VALUE"""),"")</f>
        <v/>
      </c>
      <c r="X104" s="1" t="str">
        <f>IFERROR(__xludf.DUMMYFUNCTION("""COMPUTED_VALUE"""),"")</f>
        <v/>
      </c>
      <c r="Y104" s="1" t="str">
        <f>IFERROR(__xludf.DUMMYFUNCTION("""COMPUTED_VALUE"""),"")</f>
        <v/>
      </c>
      <c r="Z104" s="1" t="str">
        <f>IFERROR(__xludf.DUMMYFUNCTION("""COMPUTED_VALUE"""),"")</f>
        <v/>
      </c>
      <c r="AA104" s="1" t="str">
        <f>IFERROR(__xludf.DUMMYFUNCTION("""COMPUTED_VALUE"""),"")</f>
        <v/>
      </c>
      <c r="AB104" s="1" t="str">
        <f>IFERROR(__xludf.DUMMYFUNCTION("""COMPUTED_VALUE"""),"")</f>
        <v/>
      </c>
      <c r="AC104" s="1"/>
      <c r="AD104" s="1"/>
      <c r="AE104" s="1"/>
      <c r="AF104" s="1"/>
      <c r="AG104" s="1"/>
      <c r="AH104" s="1"/>
      <c r="AI104" s="1"/>
      <c r="AJ104" s="1"/>
    </row>
    <row r="105">
      <c r="A105" s="7"/>
      <c r="B105" s="8"/>
      <c r="C105" s="9">
        <f>IFERROR(__xludf.DUMMYFUNCTION("""COMPUTED_VALUE"""),15009.0)</f>
        <v>15009</v>
      </c>
      <c r="D105" s="10" t="str">
        <f>IFERROR(__xludf.DUMMYFUNCTION("""COMPUTED_VALUE"""),"R01")</f>
        <v>R01</v>
      </c>
      <c r="E105" s="11" t="str">
        <f>IFERROR(__xludf.DUMMYFUNCTION("""COMPUTED_VALUE"""),"Launch Rail")</f>
        <v>Launch Rail</v>
      </c>
      <c r="F105" s="2" t="str">
        <f>IFERROR(__xludf.DUMMYFUNCTION("""COMPUTED_VALUE"""),"Systems")</f>
        <v>Systems</v>
      </c>
      <c r="G105" s="2" t="str">
        <f>IFERROR(__xludf.DUMMYFUNCTION("""COMPUTED_VALUE"""),"SolidWorks")</f>
        <v>SolidWorks</v>
      </c>
      <c r="H105" s="2" t="str">
        <f>IFERROR(__xludf.DUMMYFUNCTION("""COMPUTED_VALUE"""),"Marginal Stability")</f>
        <v>Marginal Stability</v>
      </c>
      <c r="I105" s="12" t="str">
        <f>IFERROR(__xludf.DUMMYFUNCTION("""COMPUTED_VALUE"""),"Used to guide rocket off of launch pad (provided)")</f>
        <v>Used to guide rocket off of launch pad (provided)</v>
      </c>
      <c r="J105" s="2" t="str">
        <f>IFERROR(__xludf.DUMMYFUNCTION("""COMPUTED_VALUE"""),"Unknown")</f>
        <v>Unknown</v>
      </c>
      <c r="K105" s="2" t="str">
        <f>IFERROR(__xludf.DUMMYFUNCTION("""COMPUTED_VALUE"""),"Imperial")</f>
        <v>Imperial</v>
      </c>
      <c r="L105" s="2" t="str">
        <f>IFERROR(__xludf.DUMMYFUNCTION("""COMPUTED_VALUE"""),"Andre Shahinian")</f>
        <v>Andre Shahinian</v>
      </c>
      <c r="M105" s="21">
        <f>IFERROR(__xludf.DUMMYFUNCTION("""COMPUTED_VALUE"""),43501.0)</f>
        <v>43501</v>
      </c>
      <c r="N105" s="30" t="str">
        <f>IFERROR(__xludf.DUMMYFUNCTION("""COMPUTED_VALUE"""),"https://drive.google.com/open?id=1-8d2rEScTrcY30d6uPSrBlAx7ZYzCsaH")</f>
        <v>https://drive.google.com/open?id=1-8d2rEScTrcY30d6uPSrBlAx7ZYzCsaH</v>
      </c>
      <c r="O105" s="18" t="str">
        <f>IFERROR(__xludf.DUMMYFUNCTION("""COMPUTED_VALUE"""),"In Progress")</f>
        <v>In Progress</v>
      </c>
      <c r="P105" s="1" t="str">
        <f>IFERROR(__xludf.DUMMYFUNCTION("""COMPUTED_VALUE"""),"")</f>
        <v/>
      </c>
      <c r="Q105" s="1" t="str">
        <f>IFERROR(__xludf.DUMMYFUNCTION("""COMPUTED_VALUE"""),"")</f>
        <v/>
      </c>
      <c r="R105" s="1" t="str">
        <f>IFERROR(__xludf.DUMMYFUNCTION("""COMPUTED_VALUE"""),"")</f>
        <v/>
      </c>
      <c r="S105" s="1" t="str">
        <f>IFERROR(__xludf.DUMMYFUNCTION("""COMPUTED_VALUE"""),"")</f>
        <v/>
      </c>
      <c r="T105" s="1" t="str">
        <f>IFERROR(__xludf.DUMMYFUNCTION("""COMPUTED_VALUE"""),"")</f>
        <v/>
      </c>
      <c r="U105" s="1" t="str">
        <f>IFERROR(__xludf.DUMMYFUNCTION("""COMPUTED_VALUE"""),"")</f>
        <v/>
      </c>
      <c r="V105" s="1" t="str">
        <f>IFERROR(__xludf.DUMMYFUNCTION("""COMPUTED_VALUE"""),"")</f>
        <v/>
      </c>
      <c r="W105" s="1" t="str">
        <f>IFERROR(__xludf.DUMMYFUNCTION("""COMPUTED_VALUE"""),"")</f>
        <v/>
      </c>
      <c r="X105" s="1" t="str">
        <f>IFERROR(__xludf.DUMMYFUNCTION("""COMPUTED_VALUE"""),"")</f>
        <v/>
      </c>
      <c r="Y105" s="1" t="str">
        <f>IFERROR(__xludf.DUMMYFUNCTION("""COMPUTED_VALUE"""),"")</f>
        <v/>
      </c>
      <c r="Z105" s="1" t="str">
        <f>IFERROR(__xludf.DUMMYFUNCTION("""COMPUTED_VALUE"""),"")</f>
        <v/>
      </c>
      <c r="AA105" s="1" t="str">
        <f>IFERROR(__xludf.DUMMYFUNCTION("""COMPUTED_VALUE"""),"")</f>
        <v/>
      </c>
      <c r="AB105" s="1" t="str">
        <f>IFERROR(__xludf.DUMMYFUNCTION("""COMPUTED_VALUE"""),"")</f>
        <v/>
      </c>
      <c r="AC105" s="1"/>
      <c r="AD105" s="1"/>
      <c r="AE105" s="1"/>
      <c r="AF105" s="1"/>
      <c r="AG105" s="1"/>
      <c r="AH105" s="1"/>
      <c r="AI105" s="1"/>
      <c r="AJ105" s="1"/>
    </row>
    <row r="106">
      <c r="A106" s="7"/>
      <c r="B106" s="8"/>
      <c r="C106" s="9">
        <f>IFERROR(__xludf.DUMMYFUNCTION("""COMPUTED_VALUE"""),15010.0)</f>
        <v>15010</v>
      </c>
      <c r="D106" s="10" t="str">
        <f>IFERROR(__xludf.DUMMYFUNCTION("""COMPUTED_VALUE"""),"R01")</f>
        <v>R01</v>
      </c>
      <c r="E106" s="11" t="str">
        <f>IFERROR(__xludf.DUMMYFUNCTION("""COMPUTED_VALUE"""),"EH-40")</f>
        <v>EH-40</v>
      </c>
      <c r="F106" s="2" t="str">
        <f>IFERROR(__xludf.DUMMYFUNCTION("""COMPUTED_VALUE"""),"Systems")</f>
        <v>Systems</v>
      </c>
      <c r="G106" s="2" t="str">
        <f>IFERROR(__xludf.DUMMYFUNCTION("""COMPUTED_VALUE"""),"SolidWorks")</f>
        <v>SolidWorks</v>
      </c>
      <c r="H106" s="2" t="str">
        <f>IFERROR(__xludf.DUMMYFUNCTION("""COMPUTED_VALUE"""),"Marginal Stability")</f>
        <v>Marginal Stability</v>
      </c>
      <c r="I106" s="12" t="str">
        <f>IFERROR(__xludf.DUMMYFUNCTION("""COMPUTED_VALUE"""),"High Pressure Solenoid Valve for Helium Line")</f>
        <v>High Pressure Solenoid Valve for Helium Line</v>
      </c>
      <c r="J106" s="2" t="str">
        <f>IFERROR(__xludf.DUMMYFUNCTION("""COMPUTED_VALUE"""),"316 Stainless Steel")</f>
        <v>316 Stainless Steel</v>
      </c>
      <c r="K106" s="2" t="str">
        <f>IFERROR(__xludf.DUMMYFUNCTION("""COMPUTED_VALUE"""),"Imperial")</f>
        <v>Imperial</v>
      </c>
      <c r="L106" s="2" t="str">
        <f>IFERROR(__xludf.DUMMYFUNCTION("""COMPUTED_VALUE"""),"Oscar Estevez ")</f>
        <v>Oscar Estevez </v>
      </c>
      <c r="M106" s="21">
        <f>IFERROR(__xludf.DUMMYFUNCTION("""COMPUTED_VALUE"""),43533.0)</f>
        <v>43533</v>
      </c>
      <c r="N106" s="30" t="str">
        <f>IFERROR(__xludf.DUMMYFUNCTION("""COMPUTED_VALUE"""),"https://drive.google.com/open?id=1ErcT4ittw364iT_0V8NW0wNHYt2Jz913")</f>
        <v>https://drive.google.com/open?id=1ErcT4ittw364iT_0V8NW0wNHYt2Jz913</v>
      </c>
      <c r="O106" s="18" t="str">
        <f>IFERROR(__xludf.DUMMYFUNCTION("""COMPUTED_VALUE"""),"In Progress")</f>
        <v>In Progress</v>
      </c>
      <c r="P106" s="1" t="str">
        <f>IFERROR(__xludf.DUMMYFUNCTION("""COMPUTED_VALUE"""),"")</f>
        <v/>
      </c>
      <c r="Q106" s="1" t="str">
        <f>IFERROR(__xludf.DUMMYFUNCTION("""COMPUTED_VALUE"""),"")</f>
        <v/>
      </c>
      <c r="R106" s="1" t="str">
        <f>IFERROR(__xludf.DUMMYFUNCTION("""COMPUTED_VALUE"""),"")</f>
        <v/>
      </c>
      <c r="S106" s="1" t="str">
        <f>IFERROR(__xludf.DUMMYFUNCTION("""COMPUTED_VALUE"""),"")</f>
        <v/>
      </c>
      <c r="T106" s="1" t="str">
        <f>IFERROR(__xludf.DUMMYFUNCTION("""COMPUTED_VALUE"""),"")</f>
        <v/>
      </c>
      <c r="U106" s="1" t="str">
        <f>IFERROR(__xludf.DUMMYFUNCTION("""COMPUTED_VALUE"""),"")</f>
        <v/>
      </c>
      <c r="V106" s="1" t="str">
        <f>IFERROR(__xludf.DUMMYFUNCTION("""COMPUTED_VALUE"""),"")</f>
        <v/>
      </c>
      <c r="W106" s="1" t="str">
        <f>IFERROR(__xludf.DUMMYFUNCTION("""COMPUTED_VALUE"""),"")</f>
        <v/>
      </c>
      <c r="X106" s="1" t="str">
        <f>IFERROR(__xludf.DUMMYFUNCTION("""COMPUTED_VALUE"""),"")</f>
        <v/>
      </c>
      <c r="Y106" s="1" t="str">
        <f>IFERROR(__xludf.DUMMYFUNCTION("""COMPUTED_VALUE"""),"")</f>
        <v/>
      </c>
      <c r="Z106" s="1" t="str">
        <f>IFERROR(__xludf.DUMMYFUNCTION("""COMPUTED_VALUE"""),"")</f>
        <v/>
      </c>
      <c r="AA106" s="1" t="str">
        <f>IFERROR(__xludf.DUMMYFUNCTION("""COMPUTED_VALUE"""),"")</f>
        <v/>
      </c>
      <c r="AB106" s="1" t="str">
        <f>IFERROR(__xludf.DUMMYFUNCTION("""COMPUTED_VALUE"""),"")</f>
        <v/>
      </c>
      <c r="AC106" s="1"/>
      <c r="AD106" s="1"/>
      <c r="AE106" s="1"/>
      <c r="AF106" s="1"/>
      <c r="AG106" s="1"/>
      <c r="AH106" s="1"/>
      <c r="AI106" s="1"/>
      <c r="AJ106" s="1"/>
    </row>
    <row r="107">
      <c r="A107" s="7"/>
      <c r="B107" s="8"/>
      <c r="C107" s="9">
        <f>IFERROR(__xludf.DUMMYFUNCTION("""COMPUTED_VALUE"""),15011.0)</f>
        <v>15011</v>
      </c>
      <c r="D107" s="10" t="str">
        <f>IFERROR(__xludf.DUMMYFUNCTION("""COMPUTED_VALUE"""),"R01")</f>
        <v>R01</v>
      </c>
      <c r="E107" s="11" t="str">
        <f>IFERROR(__xludf.DUMMYFUNCTION("""COMPUTED_VALUE"""),"-10 Fitting, 45 degree")</f>
        <v>-10 Fitting, 45 degree</v>
      </c>
      <c r="F107" s="2" t="str">
        <f>IFERROR(__xludf.DUMMYFUNCTION("""COMPUTED_VALUE"""),"Systems")</f>
        <v>Systems</v>
      </c>
      <c r="G107" s="2" t="str">
        <f>IFERROR(__xludf.DUMMYFUNCTION("""COMPUTED_VALUE"""),"SolidWorks")</f>
        <v>SolidWorks</v>
      </c>
      <c r="H107" s="2" t="str">
        <f>IFERROR(__xludf.DUMMYFUNCTION("""COMPUTED_VALUE"""),"Marginal Stability")</f>
        <v>Marginal Stability</v>
      </c>
      <c r="I107" s="12" t="str">
        <f>IFERROR(__xludf.DUMMYFUNCTION("""COMPUTED_VALUE"""),"Fitting between TCA and injector fuel line (Propulsion)")</f>
        <v>Fitting between TCA and injector fuel line (Propulsion)</v>
      </c>
      <c r="J107" s="2" t="str">
        <f>IFERROR(__xludf.DUMMYFUNCTION("""COMPUTED_VALUE"""),"Stainless Steel")</f>
        <v>Stainless Steel</v>
      </c>
      <c r="K107" s="2" t="str">
        <f>IFERROR(__xludf.DUMMYFUNCTION("""COMPUTED_VALUE"""),"Imperial")</f>
        <v>Imperial</v>
      </c>
      <c r="L107" s="2" t="str">
        <f>IFERROR(__xludf.DUMMYFUNCTION("""COMPUTED_VALUE"""),"Nick Ahforth")</f>
        <v>Nick Ahforth</v>
      </c>
      <c r="M107" s="26" t="str">
        <f>IFERROR(__xludf.DUMMYFUNCTION("""COMPUTED_VALUE"""),"3/20/2019")</f>
        <v>3/20/2019</v>
      </c>
      <c r="N107" s="30" t="str">
        <f>IFERROR(__xludf.DUMMYFUNCTION("""COMPUTED_VALUE"""),"Link")</f>
        <v>Link</v>
      </c>
      <c r="O107" s="18" t="str">
        <f>IFERROR(__xludf.DUMMYFUNCTION("""COMPUTED_VALUE"""),"Completed")</f>
        <v>Completed</v>
      </c>
      <c r="P107" s="1" t="str">
        <f>IFERROR(__xludf.DUMMYFUNCTION("""COMPUTED_VALUE"""),"")</f>
        <v/>
      </c>
      <c r="Q107" s="1" t="str">
        <f>IFERROR(__xludf.DUMMYFUNCTION("""COMPUTED_VALUE"""),"")</f>
        <v/>
      </c>
      <c r="R107" s="1" t="str">
        <f>IFERROR(__xludf.DUMMYFUNCTION("""COMPUTED_VALUE"""),"")</f>
        <v/>
      </c>
      <c r="S107" s="1" t="str">
        <f>IFERROR(__xludf.DUMMYFUNCTION("""COMPUTED_VALUE"""),"")</f>
        <v/>
      </c>
      <c r="T107" s="1" t="str">
        <f>IFERROR(__xludf.DUMMYFUNCTION("""COMPUTED_VALUE"""),"")</f>
        <v/>
      </c>
      <c r="U107" s="1" t="str">
        <f>IFERROR(__xludf.DUMMYFUNCTION("""COMPUTED_VALUE"""),"")</f>
        <v/>
      </c>
      <c r="V107" s="1" t="str">
        <f>IFERROR(__xludf.DUMMYFUNCTION("""COMPUTED_VALUE"""),"")</f>
        <v/>
      </c>
      <c r="W107" s="1" t="str">
        <f>IFERROR(__xludf.DUMMYFUNCTION("""COMPUTED_VALUE"""),"")</f>
        <v/>
      </c>
      <c r="X107" s="1" t="str">
        <f>IFERROR(__xludf.DUMMYFUNCTION("""COMPUTED_VALUE"""),"")</f>
        <v/>
      </c>
      <c r="Y107" s="1" t="str">
        <f>IFERROR(__xludf.DUMMYFUNCTION("""COMPUTED_VALUE"""),"")</f>
        <v/>
      </c>
      <c r="Z107" s="1" t="str">
        <f>IFERROR(__xludf.DUMMYFUNCTION("""COMPUTED_VALUE"""),"")</f>
        <v/>
      </c>
      <c r="AA107" s="1" t="str">
        <f>IFERROR(__xludf.DUMMYFUNCTION("""COMPUTED_VALUE"""),"")</f>
        <v/>
      </c>
      <c r="AB107" s="1" t="str">
        <f>IFERROR(__xludf.DUMMYFUNCTION("""COMPUTED_VALUE"""),"")</f>
        <v/>
      </c>
      <c r="AC107" s="1"/>
      <c r="AD107" s="1"/>
      <c r="AE107" s="1"/>
      <c r="AF107" s="1"/>
      <c r="AG107" s="1"/>
      <c r="AH107" s="1"/>
      <c r="AI107" s="1"/>
      <c r="AJ107" s="1"/>
    </row>
    <row r="108">
      <c r="A108" s="7"/>
      <c r="B108" s="8"/>
      <c r="C108" s="9">
        <f>IFERROR(__xludf.DUMMYFUNCTION("""COMPUTED_VALUE"""),15012.0)</f>
        <v>15012</v>
      </c>
      <c r="D108" s="10" t="str">
        <f>IFERROR(__xludf.DUMMYFUNCTION("""COMPUTED_VALUE"""),"R01")</f>
        <v>R01</v>
      </c>
      <c r="E108" s="11" t="str">
        <f>IFERROR(__xludf.DUMMYFUNCTION("""COMPUTED_VALUE"""),"-10 Fitting, 90 degree")</f>
        <v>-10 Fitting, 90 degree</v>
      </c>
      <c r="F108" s="2" t="str">
        <f>IFERROR(__xludf.DUMMYFUNCTION("""COMPUTED_VALUE"""),"Systems")</f>
        <v>Systems</v>
      </c>
      <c r="G108" s="2" t="str">
        <f>IFERROR(__xludf.DUMMYFUNCTION("""COMPUTED_VALUE"""),"SolidWorks")</f>
        <v>SolidWorks</v>
      </c>
      <c r="H108" s="2" t="str">
        <f>IFERROR(__xludf.DUMMYFUNCTION("""COMPUTED_VALUE"""),"Marginal Stability")</f>
        <v>Marginal Stability</v>
      </c>
      <c r="I108" s="12" t="str">
        <f>IFERROR(__xludf.DUMMYFUNCTION("""COMPUTED_VALUE"""),"Fitting between injector and TCA fuel line (Propulsion)")</f>
        <v>Fitting between injector and TCA fuel line (Propulsion)</v>
      </c>
      <c r="J108" s="2" t="str">
        <f>IFERROR(__xludf.DUMMYFUNCTION("""COMPUTED_VALUE"""),"Stainless Steel")</f>
        <v>Stainless Steel</v>
      </c>
      <c r="K108" s="2" t="str">
        <f>IFERROR(__xludf.DUMMYFUNCTION("""COMPUTED_VALUE"""),"Imperial")</f>
        <v>Imperial</v>
      </c>
      <c r="L108" s="2" t="str">
        <f>IFERROR(__xludf.DUMMYFUNCTION("""COMPUTED_VALUE"""),"Nick Ahforth")</f>
        <v>Nick Ahforth</v>
      </c>
      <c r="M108" s="26" t="str">
        <f>IFERROR(__xludf.DUMMYFUNCTION("""COMPUTED_VALUE"""),"3/20/2020")</f>
        <v>3/20/2020</v>
      </c>
      <c r="N108" s="30" t="str">
        <f>IFERROR(__xludf.DUMMYFUNCTION("""COMPUTED_VALUE"""),"Link")</f>
        <v>Link</v>
      </c>
      <c r="O108" s="18" t="str">
        <f>IFERROR(__xludf.DUMMYFUNCTION("""COMPUTED_VALUE"""),"Completed")</f>
        <v>Completed</v>
      </c>
      <c r="P108" s="1" t="str">
        <f>IFERROR(__xludf.DUMMYFUNCTION("""COMPUTED_VALUE"""),"")</f>
        <v/>
      </c>
      <c r="Q108" s="1" t="str">
        <f>IFERROR(__xludf.DUMMYFUNCTION("""COMPUTED_VALUE"""),"")</f>
        <v/>
      </c>
      <c r="R108" s="1" t="str">
        <f>IFERROR(__xludf.DUMMYFUNCTION("""COMPUTED_VALUE"""),"")</f>
        <v/>
      </c>
      <c r="S108" s="1" t="str">
        <f>IFERROR(__xludf.DUMMYFUNCTION("""COMPUTED_VALUE"""),"")</f>
        <v/>
      </c>
      <c r="T108" s="1" t="str">
        <f>IFERROR(__xludf.DUMMYFUNCTION("""COMPUTED_VALUE"""),"")</f>
        <v/>
      </c>
      <c r="U108" s="1" t="str">
        <f>IFERROR(__xludf.DUMMYFUNCTION("""COMPUTED_VALUE"""),"")</f>
        <v/>
      </c>
      <c r="V108" s="1" t="str">
        <f>IFERROR(__xludf.DUMMYFUNCTION("""COMPUTED_VALUE"""),"")</f>
        <v/>
      </c>
      <c r="W108" s="1" t="str">
        <f>IFERROR(__xludf.DUMMYFUNCTION("""COMPUTED_VALUE"""),"")</f>
        <v/>
      </c>
      <c r="X108" s="1" t="str">
        <f>IFERROR(__xludf.DUMMYFUNCTION("""COMPUTED_VALUE"""),"")</f>
        <v/>
      </c>
      <c r="Y108" s="1" t="str">
        <f>IFERROR(__xludf.DUMMYFUNCTION("""COMPUTED_VALUE"""),"")</f>
        <v/>
      </c>
      <c r="Z108" s="1" t="str">
        <f>IFERROR(__xludf.DUMMYFUNCTION("""COMPUTED_VALUE"""),"")</f>
        <v/>
      </c>
      <c r="AA108" s="1" t="str">
        <f>IFERROR(__xludf.DUMMYFUNCTION("""COMPUTED_VALUE"""),"")</f>
        <v/>
      </c>
      <c r="AB108" s="1" t="str">
        <f>IFERROR(__xludf.DUMMYFUNCTION("""COMPUTED_VALUE"""),"")</f>
        <v/>
      </c>
      <c r="AC108" s="1"/>
      <c r="AD108" s="1"/>
      <c r="AE108" s="1"/>
      <c r="AF108" s="1"/>
      <c r="AG108" s="1"/>
      <c r="AH108" s="1"/>
      <c r="AI108" s="1"/>
      <c r="AJ108" s="1"/>
    </row>
    <row r="109">
      <c r="A109" s="7"/>
      <c r="B109" s="8"/>
      <c r="C109" s="9">
        <f>IFERROR(__xludf.DUMMYFUNCTION("""COMPUTED_VALUE"""),15013.0)</f>
        <v>15013</v>
      </c>
      <c r="D109" s="10" t="str">
        <f>IFERROR(__xludf.DUMMYFUNCTION("""COMPUTED_VALUE"""),"R01")</f>
        <v>R01</v>
      </c>
      <c r="E109" s="11" t="str">
        <f>IFERROR(__xludf.DUMMYFUNCTION("""COMPUTED_VALUE"""),"-12 Fitting, Straight")</f>
        <v>-12 Fitting, Straight</v>
      </c>
      <c r="F109" s="2" t="str">
        <f>IFERROR(__xludf.DUMMYFUNCTION("""COMPUTED_VALUE"""),"Systems")</f>
        <v>Systems</v>
      </c>
      <c r="G109" s="2" t="str">
        <f>IFERROR(__xludf.DUMMYFUNCTION("""COMPUTED_VALUE"""),"SolidWorks")</f>
        <v>SolidWorks</v>
      </c>
      <c r="H109" s="2" t="str">
        <f>IFERROR(__xludf.DUMMYFUNCTION("""COMPUTED_VALUE"""),"Marginal Stability")</f>
        <v>Marginal Stability</v>
      </c>
      <c r="I109" s="12" t="str">
        <f>IFERROR(__xludf.DUMMYFUNCTION("""COMPUTED_VALUE"""),"Fitting between LOx line and injector (Propulsion)")</f>
        <v>Fitting between LOx line and injector (Propulsion)</v>
      </c>
      <c r="J109" s="2" t="str">
        <f>IFERROR(__xludf.DUMMYFUNCTION("""COMPUTED_VALUE"""),"Stainless Steel")</f>
        <v>Stainless Steel</v>
      </c>
      <c r="K109" s="2" t="str">
        <f>IFERROR(__xludf.DUMMYFUNCTION("""COMPUTED_VALUE"""),"Imperial")</f>
        <v>Imperial</v>
      </c>
      <c r="L109" s="2" t="str">
        <f>IFERROR(__xludf.DUMMYFUNCTION("""COMPUTED_VALUE"""),"Nick Ahforth")</f>
        <v>Nick Ahforth</v>
      </c>
      <c r="M109" s="26" t="str">
        <f>IFERROR(__xludf.DUMMYFUNCTION("""COMPUTED_VALUE"""),"3/20/2021")</f>
        <v>3/20/2021</v>
      </c>
      <c r="N109" s="30" t="str">
        <f>IFERROR(__xludf.DUMMYFUNCTION("""COMPUTED_VALUE"""),"Link")</f>
        <v>Link</v>
      </c>
      <c r="O109" s="18" t="str">
        <f>IFERROR(__xludf.DUMMYFUNCTION("""COMPUTED_VALUE"""),"Completed")</f>
        <v>Completed</v>
      </c>
      <c r="P109" s="1" t="str">
        <f>IFERROR(__xludf.DUMMYFUNCTION("""COMPUTED_VALUE"""),"")</f>
        <v/>
      </c>
      <c r="Q109" s="1" t="str">
        <f>IFERROR(__xludf.DUMMYFUNCTION("""COMPUTED_VALUE"""),"")</f>
        <v/>
      </c>
      <c r="R109" s="1" t="str">
        <f>IFERROR(__xludf.DUMMYFUNCTION("""COMPUTED_VALUE"""),"")</f>
        <v/>
      </c>
      <c r="S109" s="1" t="str">
        <f>IFERROR(__xludf.DUMMYFUNCTION("""COMPUTED_VALUE"""),"")</f>
        <v/>
      </c>
      <c r="T109" s="1" t="str">
        <f>IFERROR(__xludf.DUMMYFUNCTION("""COMPUTED_VALUE"""),"")</f>
        <v/>
      </c>
      <c r="U109" s="1" t="str">
        <f>IFERROR(__xludf.DUMMYFUNCTION("""COMPUTED_VALUE"""),"")</f>
        <v/>
      </c>
      <c r="V109" s="1" t="str">
        <f>IFERROR(__xludf.DUMMYFUNCTION("""COMPUTED_VALUE"""),"")</f>
        <v/>
      </c>
      <c r="W109" s="1" t="str">
        <f>IFERROR(__xludf.DUMMYFUNCTION("""COMPUTED_VALUE"""),"")</f>
        <v/>
      </c>
      <c r="X109" s="1" t="str">
        <f>IFERROR(__xludf.DUMMYFUNCTION("""COMPUTED_VALUE"""),"")</f>
        <v/>
      </c>
      <c r="Y109" s="1" t="str">
        <f>IFERROR(__xludf.DUMMYFUNCTION("""COMPUTED_VALUE"""),"")</f>
        <v/>
      </c>
      <c r="Z109" s="1" t="str">
        <f>IFERROR(__xludf.DUMMYFUNCTION("""COMPUTED_VALUE"""),"")</f>
        <v/>
      </c>
      <c r="AA109" s="1" t="str">
        <f>IFERROR(__xludf.DUMMYFUNCTION("""COMPUTED_VALUE"""),"")</f>
        <v/>
      </c>
      <c r="AB109" s="1" t="str">
        <f>IFERROR(__xludf.DUMMYFUNCTION("""COMPUTED_VALUE"""),"")</f>
        <v/>
      </c>
      <c r="AC109" s="1"/>
      <c r="AD109" s="1"/>
      <c r="AE109" s="1"/>
      <c r="AF109" s="1"/>
      <c r="AG109" s="1"/>
      <c r="AH109" s="1"/>
      <c r="AI109" s="1"/>
      <c r="AJ109" s="1"/>
    </row>
    <row r="110">
      <c r="A110" s="7"/>
      <c r="B110" s="8"/>
      <c r="C110" s="9">
        <f>IFERROR(__xludf.DUMMYFUNCTION("""COMPUTED_VALUE"""),15014.0)</f>
        <v>15014</v>
      </c>
      <c r="D110" s="10" t="str">
        <f>IFERROR(__xludf.DUMMYFUNCTION("""COMPUTED_VALUE"""),"R01")</f>
        <v>R01</v>
      </c>
      <c r="E110" s="11" t="str">
        <f>IFERROR(__xludf.DUMMYFUNCTION("""COMPUTED_VALUE"""),"-12 Fitting, 90 degree")</f>
        <v>-12 Fitting, 90 degree</v>
      </c>
      <c r="F110" s="2" t="str">
        <f>IFERROR(__xludf.DUMMYFUNCTION("""COMPUTED_VALUE"""),"Systems")</f>
        <v>Systems</v>
      </c>
      <c r="G110" s="2" t="str">
        <f>IFERROR(__xludf.DUMMYFUNCTION("""COMPUTED_VALUE"""),"SolidWorks")</f>
        <v>SolidWorks</v>
      </c>
      <c r="H110" s="2" t="str">
        <f>IFERROR(__xludf.DUMMYFUNCTION("""COMPUTED_VALUE"""),"Marginal Stability")</f>
        <v>Marginal Stability</v>
      </c>
      <c r="I110" s="12" t="str">
        <f>IFERROR(__xludf.DUMMYFUNCTION("""COMPUTED_VALUE"""),"Fitting between RP1 line and TCA (Propulsion)")</f>
        <v>Fitting between RP1 line and TCA (Propulsion)</v>
      </c>
      <c r="J110" s="2" t="str">
        <f>IFERROR(__xludf.DUMMYFUNCTION("""COMPUTED_VALUE"""),"Stainless Steel")</f>
        <v>Stainless Steel</v>
      </c>
      <c r="K110" s="2" t="str">
        <f>IFERROR(__xludf.DUMMYFUNCTION("""COMPUTED_VALUE"""),"Imperial")</f>
        <v>Imperial</v>
      </c>
      <c r="L110" s="2" t="str">
        <f>IFERROR(__xludf.DUMMYFUNCTION("""COMPUTED_VALUE"""),"Nick Ahforth")</f>
        <v>Nick Ahforth</v>
      </c>
      <c r="M110" s="26" t="str">
        <f>IFERROR(__xludf.DUMMYFUNCTION("""COMPUTED_VALUE"""),"3/20/2022")</f>
        <v>3/20/2022</v>
      </c>
      <c r="N110" s="30" t="str">
        <f>IFERROR(__xludf.DUMMYFUNCTION("""COMPUTED_VALUE"""),"Link")</f>
        <v>Link</v>
      </c>
      <c r="O110" s="18" t="str">
        <f>IFERROR(__xludf.DUMMYFUNCTION("""COMPUTED_VALUE"""),"Completed")</f>
        <v>Completed</v>
      </c>
      <c r="P110" s="1" t="str">
        <f>IFERROR(__xludf.DUMMYFUNCTION("""COMPUTED_VALUE"""),"")</f>
        <v/>
      </c>
      <c r="Q110" s="1" t="str">
        <f>IFERROR(__xludf.DUMMYFUNCTION("""COMPUTED_VALUE"""),"")</f>
        <v/>
      </c>
      <c r="R110" s="1" t="str">
        <f>IFERROR(__xludf.DUMMYFUNCTION("""COMPUTED_VALUE"""),"")</f>
        <v/>
      </c>
      <c r="S110" s="1" t="str">
        <f>IFERROR(__xludf.DUMMYFUNCTION("""COMPUTED_VALUE"""),"")</f>
        <v/>
      </c>
      <c r="T110" s="1" t="str">
        <f>IFERROR(__xludf.DUMMYFUNCTION("""COMPUTED_VALUE"""),"")</f>
        <v/>
      </c>
      <c r="U110" s="1" t="str">
        <f>IFERROR(__xludf.DUMMYFUNCTION("""COMPUTED_VALUE"""),"")</f>
        <v/>
      </c>
      <c r="V110" s="1" t="str">
        <f>IFERROR(__xludf.DUMMYFUNCTION("""COMPUTED_VALUE"""),"")</f>
        <v/>
      </c>
      <c r="W110" s="1" t="str">
        <f>IFERROR(__xludf.DUMMYFUNCTION("""COMPUTED_VALUE"""),"")</f>
        <v/>
      </c>
      <c r="X110" s="1" t="str">
        <f>IFERROR(__xludf.DUMMYFUNCTION("""COMPUTED_VALUE"""),"")</f>
        <v/>
      </c>
      <c r="Y110" s="1" t="str">
        <f>IFERROR(__xludf.DUMMYFUNCTION("""COMPUTED_VALUE"""),"")</f>
        <v/>
      </c>
      <c r="Z110" s="1" t="str">
        <f>IFERROR(__xludf.DUMMYFUNCTION("""COMPUTED_VALUE"""),"")</f>
        <v/>
      </c>
      <c r="AA110" s="1" t="str">
        <f>IFERROR(__xludf.DUMMYFUNCTION("""COMPUTED_VALUE"""),"")</f>
        <v/>
      </c>
      <c r="AB110" s="1" t="str">
        <f>IFERROR(__xludf.DUMMYFUNCTION("""COMPUTED_VALUE"""),"")</f>
        <v/>
      </c>
      <c r="AC110" s="1"/>
      <c r="AD110" s="1"/>
      <c r="AE110" s="1"/>
      <c r="AF110" s="1"/>
      <c r="AG110" s="1"/>
      <c r="AH110" s="1"/>
      <c r="AI110" s="1"/>
      <c r="AJ110" s="1"/>
    </row>
    <row r="111">
      <c r="A111" s="7"/>
      <c r="B111" s="8"/>
      <c r="C111" s="9">
        <f>IFERROR(__xludf.DUMMYFUNCTION("""COMPUTED_VALUE"""),16001.0)</f>
        <v>16001</v>
      </c>
      <c r="D111" s="10" t="str">
        <f>IFERROR(__xludf.DUMMYFUNCTION("""COMPUTED_VALUE"""),"R03")</f>
        <v>R03</v>
      </c>
      <c r="E111" s="11" t="str">
        <f>IFERROR(__xludf.DUMMYFUNCTION("""COMPUTED_VALUE"""),"Threaded Rod")</f>
        <v>Threaded Rod</v>
      </c>
      <c r="F111" s="2" t="str">
        <f>IFERROR(__xludf.DUMMYFUNCTION("""COMPUTED_VALUE"""),"Structures/Systems/Avionics")</f>
        <v>Structures/Systems/Avionics</v>
      </c>
      <c r="G111" s="2" t="str">
        <f>IFERROR(__xludf.DUMMYFUNCTION("""COMPUTED_VALUE"""),"SolidWorks")</f>
        <v>SolidWorks</v>
      </c>
      <c r="H111" s="2" t="str">
        <f>IFERROR(__xludf.DUMMYFUNCTION("""COMPUTED_VALUE"""),"Marginal Stability")</f>
        <v>Marginal Stability</v>
      </c>
      <c r="I111" s="12" t="str">
        <f>IFERROR(__xludf.DUMMYFUNCTION("""COMPUTED_VALUE"""),"3/8"" Threaded rods for holding pressurant tank, avionics, recovery in place (currently not threaded due to processor limitations)")</f>
        <v>3/8" Threaded rods for holding pressurant tank, avionics, recovery in place (currently not threaded due to processor limitations)</v>
      </c>
      <c r="J111" s="2" t="str">
        <f>IFERROR(__xludf.DUMMYFUNCTION("""COMPUTED_VALUE"""),"Steel (?)")</f>
        <v>Steel (?)</v>
      </c>
      <c r="K111" s="2" t="str">
        <f>IFERROR(__xludf.DUMMYFUNCTION("""COMPUTED_VALUE"""),"Imperial")</f>
        <v>Imperial</v>
      </c>
      <c r="L111" s="2" t="str">
        <f>IFERROR(__xludf.DUMMYFUNCTION("""COMPUTED_VALUE"""),"Joshua Elmer")</f>
        <v>Joshua Elmer</v>
      </c>
      <c r="M111" s="26">
        <f>IFERROR(__xludf.DUMMYFUNCTION("""COMPUTED_VALUE"""),43313.0)</f>
        <v>43313</v>
      </c>
      <c r="N111" s="30" t="str">
        <f>IFERROR(__xludf.DUMMYFUNCTION("""COMPUTED_VALUE"""),"https://drive.google.com/open?id=1Hio-FWNOEpgrsXQwVHdLrf_2fXxrw55I")</f>
        <v>https://drive.google.com/open?id=1Hio-FWNOEpgrsXQwVHdLrf_2fXxrw55I</v>
      </c>
      <c r="O111" s="18" t="str">
        <f>IFERROR(__xludf.DUMMYFUNCTION("""COMPUTED_VALUE"""),"In Progress")</f>
        <v>In Progress</v>
      </c>
      <c r="P111" s="1" t="str">
        <f>IFERROR(__xludf.DUMMYFUNCTION("""COMPUTED_VALUE"""),"")</f>
        <v/>
      </c>
      <c r="Q111" s="1" t="str">
        <f>IFERROR(__xludf.DUMMYFUNCTION("""COMPUTED_VALUE"""),"")</f>
        <v/>
      </c>
      <c r="R111" s="1" t="str">
        <f>IFERROR(__xludf.DUMMYFUNCTION("""COMPUTED_VALUE"""),"")</f>
        <v/>
      </c>
      <c r="S111" s="1" t="str">
        <f>IFERROR(__xludf.DUMMYFUNCTION("""COMPUTED_VALUE"""),"")</f>
        <v/>
      </c>
      <c r="T111" s="1" t="str">
        <f>IFERROR(__xludf.DUMMYFUNCTION("""COMPUTED_VALUE"""),"")</f>
        <v/>
      </c>
      <c r="U111" s="1" t="str">
        <f>IFERROR(__xludf.DUMMYFUNCTION("""COMPUTED_VALUE"""),"")</f>
        <v/>
      </c>
      <c r="V111" s="1" t="str">
        <f>IFERROR(__xludf.DUMMYFUNCTION("""COMPUTED_VALUE"""),"")</f>
        <v/>
      </c>
      <c r="W111" s="1" t="str">
        <f>IFERROR(__xludf.DUMMYFUNCTION("""COMPUTED_VALUE"""),"")</f>
        <v/>
      </c>
      <c r="X111" s="1" t="str">
        <f>IFERROR(__xludf.DUMMYFUNCTION("""COMPUTED_VALUE"""),"")</f>
        <v/>
      </c>
      <c r="Y111" s="1" t="str">
        <f>IFERROR(__xludf.DUMMYFUNCTION("""COMPUTED_VALUE"""),"")</f>
        <v/>
      </c>
      <c r="Z111" s="1" t="str">
        <f>IFERROR(__xludf.DUMMYFUNCTION("""COMPUTED_VALUE"""),"")</f>
        <v/>
      </c>
      <c r="AA111" s="1" t="str">
        <f>IFERROR(__xludf.DUMMYFUNCTION("""COMPUTED_VALUE"""),"")</f>
        <v/>
      </c>
      <c r="AB111" s="1" t="str">
        <f>IFERROR(__xludf.DUMMYFUNCTION("""COMPUTED_VALUE"""),"")</f>
        <v/>
      </c>
      <c r="AC111" s="1"/>
      <c r="AD111" s="1"/>
      <c r="AE111" s="1"/>
      <c r="AF111" s="1"/>
      <c r="AG111" s="1"/>
      <c r="AH111" s="1"/>
      <c r="AI111" s="1"/>
      <c r="AJ111" s="1"/>
    </row>
    <row r="112">
      <c r="A112" s="7"/>
      <c r="B112" s="8"/>
      <c r="C112" s="9">
        <f>IFERROR(__xludf.DUMMYFUNCTION("""COMPUTED_VALUE"""),16002.0)</f>
        <v>16002</v>
      </c>
      <c r="D112" s="10" t="str">
        <f>IFERROR(__xludf.DUMMYFUNCTION("""COMPUTED_VALUE"""),"R01")</f>
        <v>R01</v>
      </c>
      <c r="E112" s="11" t="str">
        <f>IFERROR(__xludf.DUMMYFUNCTION("""COMPUTED_VALUE"""),"Brass Push-To-Connect 
Tube Fitting For Air")</f>
        <v>Brass Push-To-Connect 
Tube Fitting For Air</v>
      </c>
      <c r="F112" s="2" t="str">
        <f>IFERROR(__xludf.DUMMYFUNCTION("""COMPUTED_VALUE"""),"Structures/Systems
/Avionics")</f>
        <v>Structures/Systems
/Avionics</v>
      </c>
      <c r="G112" s="2" t="str">
        <f>IFERROR(__xludf.DUMMYFUNCTION("""COMPUTED_VALUE"""),"SolidWorks")</f>
        <v>SolidWorks</v>
      </c>
      <c r="H112" s="2" t="str">
        <f>IFERROR(__xludf.DUMMYFUNCTION("""COMPUTED_VALUE"""),"Marginal Stability")</f>
        <v>Marginal Stability</v>
      </c>
      <c r="I112" s="12" t="str">
        <f>IFERROR(__xludf.DUMMYFUNCTION("""COMPUTED_VALUE"""),"Tube fitting for 1/4"" OD tube to 1/8"" npt male connector, to connect air line to air cylinder for recovery actuator")</f>
        <v>Tube fitting for 1/4" OD tube to 1/8" npt male connector, to connect air line to air cylinder for recovery actuator</v>
      </c>
      <c r="J112" s="2" t="str">
        <f>IFERROR(__xludf.DUMMYFUNCTION("""COMPUTED_VALUE"""),"Brass")</f>
        <v>Brass</v>
      </c>
      <c r="K112" s="2" t="str">
        <f>IFERROR(__xludf.DUMMYFUNCTION("""COMPUTED_VALUE"""),"Imperial")</f>
        <v>Imperial</v>
      </c>
      <c r="L112" s="2" t="str">
        <f>IFERROR(__xludf.DUMMYFUNCTION("""COMPUTED_VALUE"""),"Norman Chen-Liaw")</f>
        <v>Norman Chen-Liaw</v>
      </c>
      <c r="M112" s="26">
        <f>IFERROR(__xludf.DUMMYFUNCTION("""COMPUTED_VALUE"""),43407.0)</f>
        <v>43407</v>
      </c>
      <c r="N112" s="30" t="str">
        <f>IFERROR(__xludf.DUMMYFUNCTION("""COMPUTED_VALUE"""),"https://drive.google.com/open?id=199f_FtQt7u5K5mbmOvCVGABwWBuKKi4y")</f>
        <v>https://drive.google.com/open?id=199f_FtQt7u5K5mbmOvCVGABwWBuKKi4y</v>
      </c>
      <c r="O112" s="18" t="str">
        <f>IFERROR(__xludf.DUMMYFUNCTION("""COMPUTED_VALUE"""),"Completed, 
Part imported from 
McMaster Carr")</f>
        <v>Completed, 
Part imported from 
McMaster Carr</v>
      </c>
      <c r="P112" s="50" t="str">
        <f>IFERROR(__xludf.DUMMYFUNCTION("""COMPUTED_VALUE"""),"https://www.mcmaster.com/5779k108")</f>
        <v>https://www.mcmaster.com/5779k108</v>
      </c>
      <c r="Q112" s="1" t="str">
        <f>IFERROR(__xludf.DUMMYFUNCTION("""COMPUTED_VALUE"""),"")</f>
        <v/>
      </c>
      <c r="R112" s="1" t="str">
        <f>IFERROR(__xludf.DUMMYFUNCTION("""COMPUTED_VALUE"""),"")</f>
        <v/>
      </c>
      <c r="S112" s="1" t="str">
        <f>IFERROR(__xludf.DUMMYFUNCTION("""COMPUTED_VALUE"""),"")</f>
        <v/>
      </c>
      <c r="T112" s="1" t="str">
        <f>IFERROR(__xludf.DUMMYFUNCTION("""COMPUTED_VALUE"""),"")</f>
        <v/>
      </c>
      <c r="U112" s="1" t="str">
        <f>IFERROR(__xludf.DUMMYFUNCTION("""COMPUTED_VALUE"""),"")</f>
        <v/>
      </c>
      <c r="V112" s="1" t="str">
        <f>IFERROR(__xludf.DUMMYFUNCTION("""COMPUTED_VALUE"""),"")</f>
        <v/>
      </c>
      <c r="W112" s="1" t="str">
        <f>IFERROR(__xludf.DUMMYFUNCTION("""COMPUTED_VALUE"""),"")</f>
        <v/>
      </c>
      <c r="X112" s="1" t="str">
        <f>IFERROR(__xludf.DUMMYFUNCTION("""COMPUTED_VALUE"""),"")</f>
        <v/>
      </c>
      <c r="Y112" s="1" t="str">
        <f>IFERROR(__xludf.DUMMYFUNCTION("""COMPUTED_VALUE"""),"")</f>
        <v/>
      </c>
      <c r="Z112" s="1" t="str">
        <f>IFERROR(__xludf.DUMMYFUNCTION("""COMPUTED_VALUE"""),"")</f>
        <v/>
      </c>
      <c r="AA112" s="1" t="str">
        <f>IFERROR(__xludf.DUMMYFUNCTION("""COMPUTED_VALUE"""),"")</f>
        <v/>
      </c>
      <c r="AB112" s="1" t="str">
        <f>IFERROR(__xludf.DUMMYFUNCTION("""COMPUTED_VALUE"""),"")</f>
        <v/>
      </c>
      <c r="AC112" s="1"/>
      <c r="AD112" s="1"/>
      <c r="AE112" s="1"/>
      <c r="AF112" s="1"/>
      <c r="AG112" s="1"/>
      <c r="AH112" s="1"/>
      <c r="AI112" s="1"/>
      <c r="AJ112" s="1"/>
    </row>
    <row r="113">
      <c r="A113" s="7"/>
      <c r="B113" s="8"/>
      <c r="C113" s="9">
        <f>IFERROR(__xludf.DUMMYFUNCTION("""COMPUTED_VALUE"""),16003.0)</f>
        <v>16003</v>
      </c>
      <c r="D113" s="28" t="str">
        <f>IFERROR(__xludf.DUMMYFUNCTION("""COMPUTED_VALUE"""),"R01")</f>
        <v>R01</v>
      </c>
      <c r="E113" s="11" t="str">
        <f>IFERROR(__xludf.DUMMYFUNCTION("""COMPUTED_VALUE"""),"Sure-Seal Stainless 
Steel Solenoid Valve")</f>
        <v>Sure-Seal Stainless 
Steel Solenoid Valve</v>
      </c>
      <c r="F113" s="2" t="str">
        <f>IFERROR(__xludf.DUMMYFUNCTION("""COMPUTED_VALUE"""),"Structures/Systems/Avionics")</f>
        <v>Structures/Systems/Avionics</v>
      </c>
      <c r="G113" s="2" t="str">
        <f>IFERROR(__xludf.DUMMYFUNCTION("""COMPUTED_VALUE"""),"SolidWorks")</f>
        <v>SolidWorks</v>
      </c>
      <c r="H113" s="2" t="str">
        <f>IFERROR(__xludf.DUMMYFUNCTION("""COMPUTED_VALUE"""),"Marginal Stability")</f>
        <v>Marginal Stability</v>
      </c>
      <c r="I113" s="12" t="str">
        <f>IFERROR(__xludf.DUMMYFUNCTION("""COMPUTED_VALUE"""),"Solenoid valve for recovery actuator, 24vDC")</f>
        <v>Solenoid valve for recovery actuator, 24vDC</v>
      </c>
      <c r="J113" s="2" t="str">
        <f>IFERROR(__xludf.DUMMYFUNCTION("""COMPUTED_VALUE"""),"Stainless Steel")</f>
        <v>Stainless Steel</v>
      </c>
      <c r="K113" s="2" t="str">
        <f>IFERROR(__xludf.DUMMYFUNCTION("""COMPUTED_VALUE"""),"Imperial")</f>
        <v>Imperial</v>
      </c>
      <c r="L113" s="2" t="str">
        <f>IFERROR(__xludf.DUMMYFUNCTION("""COMPUTED_VALUE"""),"Norman Chen-Liaw")</f>
        <v>Norman Chen-Liaw</v>
      </c>
      <c r="M113" s="26">
        <f>IFERROR(__xludf.DUMMYFUNCTION("""COMPUTED_VALUE"""),43407.0)</f>
        <v>43407</v>
      </c>
      <c r="N113" s="30" t="str">
        <f>IFERROR(__xludf.DUMMYFUNCTION("""COMPUTED_VALUE"""),"https://drive.google.com/open?id=1Bn6tG0ubFy7fYhXO_6GBBQZDLKhqTVxI")</f>
        <v>https://drive.google.com/open?id=1Bn6tG0ubFy7fYhXO_6GBBQZDLKhqTVxI</v>
      </c>
      <c r="O113" s="18" t="str">
        <f>IFERROR(__xludf.DUMMYFUNCTION("""COMPUTED_VALUE"""),"Completed, 
Part imported from 
McMaster Carr")</f>
        <v>Completed, 
Part imported from 
McMaster Carr</v>
      </c>
      <c r="P113" s="50" t="str">
        <f>IFERROR(__xludf.DUMMYFUNCTION("""COMPUTED_VALUE"""),"https://www.mcmaster.com/4639k743
Search for part ""4639K743""")</f>
        <v>https://www.mcmaster.com/4639k743
Search for part "4639K743"</v>
      </c>
      <c r="Q113" s="1" t="str">
        <f>IFERROR(__xludf.DUMMYFUNCTION("""COMPUTED_VALUE"""),"")</f>
        <v/>
      </c>
      <c r="R113" s="1" t="str">
        <f>IFERROR(__xludf.DUMMYFUNCTION("""COMPUTED_VALUE"""),"")</f>
        <v/>
      </c>
      <c r="S113" s="1" t="str">
        <f>IFERROR(__xludf.DUMMYFUNCTION("""COMPUTED_VALUE"""),"")</f>
        <v/>
      </c>
      <c r="T113" s="1" t="str">
        <f>IFERROR(__xludf.DUMMYFUNCTION("""COMPUTED_VALUE"""),"")</f>
        <v/>
      </c>
      <c r="U113" s="1" t="str">
        <f>IFERROR(__xludf.DUMMYFUNCTION("""COMPUTED_VALUE"""),"")</f>
        <v/>
      </c>
      <c r="V113" s="1" t="str">
        <f>IFERROR(__xludf.DUMMYFUNCTION("""COMPUTED_VALUE"""),"")</f>
        <v/>
      </c>
      <c r="W113" s="1" t="str">
        <f>IFERROR(__xludf.DUMMYFUNCTION("""COMPUTED_VALUE"""),"")</f>
        <v/>
      </c>
      <c r="X113" s="1" t="str">
        <f>IFERROR(__xludf.DUMMYFUNCTION("""COMPUTED_VALUE"""),"")</f>
        <v/>
      </c>
      <c r="Y113" s="1" t="str">
        <f>IFERROR(__xludf.DUMMYFUNCTION("""COMPUTED_VALUE"""),"")</f>
        <v/>
      </c>
      <c r="Z113" s="1" t="str">
        <f>IFERROR(__xludf.DUMMYFUNCTION("""COMPUTED_VALUE"""),"")</f>
        <v/>
      </c>
      <c r="AA113" s="1" t="str">
        <f>IFERROR(__xludf.DUMMYFUNCTION("""COMPUTED_VALUE"""),"")</f>
        <v/>
      </c>
      <c r="AB113" s="1" t="str">
        <f>IFERROR(__xludf.DUMMYFUNCTION("""COMPUTED_VALUE"""),"")</f>
        <v/>
      </c>
      <c r="AC113" s="1"/>
      <c r="AD113" s="1"/>
      <c r="AE113" s="1"/>
      <c r="AF113" s="1"/>
      <c r="AG113" s="1"/>
      <c r="AH113" s="1"/>
      <c r="AI113" s="1"/>
      <c r="AJ113" s="1"/>
    </row>
    <row r="114">
      <c r="A114" s="7"/>
      <c r="B114" s="8"/>
      <c r="C114" s="9">
        <f>IFERROR(__xludf.DUMMYFUNCTION("""COMPUTED_VALUE"""),16004.0)</f>
        <v>16004</v>
      </c>
      <c r="D114" s="28" t="str">
        <f>IFERROR(__xludf.DUMMYFUNCTION("""COMPUTED_VALUE"""),"R01")</f>
        <v>R01</v>
      </c>
      <c r="E114" s="11" t="str">
        <f>IFERROR(__xludf.DUMMYFUNCTION("""COMPUTED_VALUE"""),"Air Regulator with 
Built-In Pressure 
Gauge")</f>
        <v>Air Regulator with 
Built-In Pressure 
Gauge</v>
      </c>
      <c r="F114" s="2" t="str">
        <f>IFERROR(__xludf.DUMMYFUNCTION("""COMPUTED_VALUE"""),"Structures/Systems
/Avionics")</f>
        <v>Structures/Systems
/Avionics</v>
      </c>
      <c r="G114" s="2" t="str">
        <f>IFERROR(__xludf.DUMMYFUNCTION("""COMPUTED_VALUE"""),"SolidWorks")</f>
        <v>SolidWorks</v>
      </c>
      <c r="H114" s="2" t="str">
        <f>IFERROR(__xludf.DUMMYFUNCTION("""COMPUTED_VALUE"""),"Marginal Stability")</f>
        <v>Marginal Stability</v>
      </c>
      <c r="I114" s="12" t="str">
        <f>IFERROR(__xludf.DUMMYFUNCTION("""COMPUTED_VALUE"""),"1/8"" npt threaded air regulator with pressure relief valve")</f>
        <v>1/8" npt threaded air regulator with pressure relief valve</v>
      </c>
      <c r="J114" s="2" t="str">
        <f>IFERROR(__xludf.DUMMYFUNCTION("""COMPUTED_VALUE"""),"Zinc")</f>
        <v>Zinc</v>
      </c>
      <c r="K114" s="2" t="str">
        <f>IFERROR(__xludf.DUMMYFUNCTION("""COMPUTED_VALUE"""),"Imperial")</f>
        <v>Imperial</v>
      </c>
      <c r="L114" s="2" t="str">
        <f>IFERROR(__xludf.DUMMYFUNCTION("""COMPUTED_VALUE"""),"Norman Chen-Liaw")</f>
        <v>Norman Chen-Liaw</v>
      </c>
      <c r="M114" s="26">
        <f>IFERROR(__xludf.DUMMYFUNCTION("""COMPUTED_VALUE"""),43407.0)</f>
        <v>43407</v>
      </c>
      <c r="N114" s="30" t="str">
        <f>IFERROR(__xludf.DUMMYFUNCTION("""COMPUTED_VALUE"""),"https://drive.google.com/open?id=1ihusJ-DiZreISb5vISAlrhDE_gQDHvD4")</f>
        <v>https://drive.google.com/open?id=1ihusJ-DiZreISb5vISAlrhDE_gQDHvD4</v>
      </c>
      <c r="O114" s="18" t="str">
        <f>IFERROR(__xludf.DUMMYFUNCTION("""COMPUTED_VALUE"""),"Completed, 
Part imported from 
McMaster Carr")</f>
        <v>Completed, 
Part imported from 
McMaster Carr</v>
      </c>
      <c r="P114" s="50" t="str">
        <f>IFERROR(__xludf.DUMMYFUNCTION("""COMPUTED_VALUE"""),"https://www.mcmaster.com/8812k51")</f>
        <v>https://www.mcmaster.com/8812k51</v>
      </c>
      <c r="Q114" s="1" t="str">
        <f>IFERROR(__xludf.DUMMYFUNCTION("""COMPUTED_VALUE"""),"")</f>
        <v/>
      </c>
      <c r="R114" s="1" t="str">
        <f>IFERROR(__xludf.DUMMYFUNCTION("""COMPUTED_VALUE"""),"")</f>
        <v/>
      </c>
      <c r="S114" s="1" t="str">
        <f>IFERROR(__xludf.DUMMYFUNCTION("""COMPUTED_VALUE"""),"")</f>
        <v/>
      </c>
      <c r="T114" s="1" t="str">
        <f>IFERROR(__xludf.DUMMYFUNCTION("""COMPUTED_VALUE"""),"")</f>
        <v/>
      </c>
      <c r="U114" s="1" t="str">
        <f>IFERROR(__xludf.DUMMYFUNCTION("""COMPUTED_VALUE"""),"")</f>
        <v/>
      </c>
      <c r="V114" s="1" t="str">
        <f>IFERROR(__xludf.DUMMYFUNCTION("""COMPUTED_VALUE"""),"")</f>
        <v/>
      </c>
      <c r="W114" s="1" t="str">
        <f>IFERROR(__xludf.DUMMYFUNCTION("""COMPUTED_VALUE"""),"")</f>
        <v/>
      </c>
      <c r="X114" s="1" t="str">
        <f>IFERROR(__xludf.DUMMYFUNCTION("""COMPUTED_VALUE"""),"")</f>
        <v/>
      </c>
      <c r="Y114" s="1" t="str">
        <f>IFERROR(__xludf.DUMMYFUNCTION("""COMPUTED_VALUE"""),"")</f>
        <v/>
      </c>
      <c r="Z114" s="1" t="str">
        <f>IFERROR(__xludf.DUMMYFUNCTION("""COMPUTED_VALUE"""),"")</f>
        <v/>
      </c>
      <c r="AA114" s="1" t="str">
        <f>IFERROR(__xludf.DUMMYFUNCTION("""COMPUTED_VALUE"""),"")</f>
        <v/>
      </c>
      <c r="AB114" s="1" t="str">
        <f>IFERROR(__xludf.DUMMYFUNCTION("""COMPUTED_VALUE"""),"")</f>
        <v/>
      </c>
      <c r="AC114" s="1"/>
      <c r="AD114" s="1"/>
      <c r="AE114" s="1"/>
      <c r="AF114" s="1"/>
      <c r="AG114" s="1"/>
      <c r="AH114" s="1"/>
      <c r="AI114" s="1"/>
      <c r="AJ114" s="1"/>
    </row>
    <row r="115">
      <c r="A115" s="7"/>
      <c r="B115" s="8"/>
      <c r="C115" s="9">
        <f>IFERROR(__xludf.DUMMYFUNCTION("""COMPUTED_VALUE"""),16005.0)</f>
        <v>16005</v>
      </c>
      <c r="D115" s="28" t="str">
        <f>IFERROR(__xludf.DUMMYFUNCTION("""COMPUTED_VALUE"""),"R01")</f>
        <v>R01</v>
      </c>
      <c r="E115" s="11" t="str">
        <f>IFERROR(__xludf.DUMMYFUNCTION("""COMPUTED_VALUE"""),"Threaded Rod")</f>
        <v>Threaded Rod</v>
      </c>
      <c r="F115" s="2" t="str">
        <f>IFERROR(__xludf.DUMMYFUNCTION("""COMPUTED_VALUE"""),"Structures/Systems
/Avionics")</f>
        <v>Structures/Systems
/Avionics</v>
      </c>
      <c r="G115" s="2" t="str">
        <f>IFERROR(__xludf.DUMMYFUNCTION("""COMPUTED_VALUE"""),"SolidWorks")</f>
        <v>SolidWorks</v>
      </c>
      <c r="H115" s="2" t="str">
        <f>IFERROR(__xludf.DUMMYFUNCTION("""COMPUTED_VALUE"""),"Marginal Stability")</f>
        <v>Marginal Stability</v>
      </c>
      <c r="I115" s="12" t="str">
        <f>IFERROR(__xludf.DUMMYFUNCTION("""COMPUTED_VALUE"""),"1/4""-20 Thread Size, 2-1/2"" Long, for mounting Recovery Pressure Tank")</f>
        <v>1/4"-20 Thread Size, 2-1/2" Long, for mounting Recovery Pressure Tank</v>
      </c>
      <c r="J115" s="2" t="str">
        <f>IFERROR(__xludf.DUMMYFUNCTION("""COMPUTED_VALUE"""),"Steel ")</f>
        <v>Steel </v>
      </c>
      <c r="K115" s="2" t="str">
        <f>IFERROR(__xludf.DUMMYFUNCTION("""COMPUTED_VALUE"""),"Imperial")</f>
        <v>Imperial</v>
      </c>
      <c r="L115" s="2" t="str">
        <f>IFERROR(__xludf.DUMMYFUNCTION("""COMPUTED_VALUE"""),"Andrew Bilan")</f>
        <v>Andrew Bilan</v>
      </c>
      <c r="M115" s="26">
        <f>IFERROR(__xludf.DUMMYFUNCTION("""COMPUTED_VALUE"""),43414.0)</f>
        <v>43414</v>
      </c>
      <c r="N115" s="2" t="str">
        <f>IFERROR(__xludf.DUMMYFUNCTION("""COMPUTED_VALUE"""),"")</f>
        <v/>
      </c>
      <c r="O115" s="18" t="str">
        <f>IFERROR(__xludf.DUMMYFUNCTION("""COMPUTED_VALUE"""),"Completed, 
Part imported from 
McMaster Carr")</f>
        <v>Completed, 
Part imported from 
McMaster Carr</v>
      </c>
      <c r="P115" s="50" t="str">
        <f>IFERROR(__xludf.DUMMYFUNCTION("""COMPUTED_VALUE"""),"https://www.mcmaster.com/98750a021")</f>
        <v>https://www.mcmaster.com/98750a021</v>
      </c>
      <c r="Q115" s="1" t="str">
        <f>IFERROR(__xludf.DUMMYFUNCTION("""COMPUTED_VALUE"""),"")</f>
        <v/>
      </c>
      <c r="R115" s="1" t="str">
        <f>IFERROR(__xludf.DUMMYFUNCTION("""COMPUTED_VALUE"""),"")</f>
        <v/>
      </c>
      <c r="S115" s="1" t="str">
        <f>IFERROR(__xludf.DUMMYFUNCTION("""COMPUTED_VALUE"""),"")</f>
        <v/>
      </c>
      <c r="T115" s="1" t="str">
        <f>IFERROR(__xludf.DUMMYFUNCTION("""COMPUTED_VALUE"""),"")</f>
        <v/>
      </c>
      <c r="U115" s="1" t="str">
        <f>IFERROR(__xludf.DUMMYFUNCTION("""COMPUTED_VALUE"""),"")</f>
        <v/>
      </c>
      <c r="V115" s="1" t="str">
        <f>IFERROR(__xludf.DUMMYFUNCTION("""COMPUTED_VALUE"""),"")</f>
        <v/>
      </c>
      <c r="W115" s="1" t="str">
        <f>IFERROR(__xludf.DUMMYFUNCTION("""COMPUTED_VALUE"""),"")</f>
        <v/>
      </c>
      <c r="X115" s="1" t="str">
        <f>IFERROR(__xludf.DUMMYFUNCTION("""COMPUTED_VALUE"""),"")</f>
        <v/>
      </c>
      <c r="Y115" s="1" t="str">
        <f>IFERROR(__xludf.DUMMYFUNCTION("""COMPUTED_VALUE"""),"")</f>
        <v/>
      </c>
      <c r="Z115" s="1" t="str">
        <f>IFERROR(__xludf.DUMMYFUNCTION("""COMPUTED_VALUE"""),"")</f>
        <v/>
      </c>
      <c r="AA115" s="1" t="str">
        <f>IFERROR(__xludf.DUMMYFUNCTION("""COMPUTED_VALUE"""),"")</f>
        <v/>
      </c>
      <c r="AB115" s="1" t="str">
        <f>IFERROR(__xludf.DUMMYFUNCTION("""COMPUTED_VALUE"""),"")</f>
        <v/>
      </c>
      <c r="AC115" s="1"/>
      <c r="AD115" s="1"/>
      <c r="AE115" s="1"/>
      <c r="AF115" s="1"/>
      <c r="AG115" s="1"/>
      <c r="AH115" s="1"/>
      <c r="AI115" s="1"/>
      <c r="AJ115" s="1"/>
    </row>
    <row r="116">
      <c r="A116" s="7"/>
      <c r="B116" s="8"/>
      <c r="C116" s="9">
        <f>IFERROR(__xludf.DUMMYFUNCTION("""COMPUTED_VALUE"""),16006.0)</f>
        <v>16006</v>
      </c>
      <c r="D116" s="28" t="str">
        <f>IFERROR(__xludf.DUMMYFUNCTION("""COMPUTED_VALUE"""),"R01")</f>
        <v>R01</v>
      </c>
      <c r="E116" s="11" t="str">
        <f>IFERROR(__xludf.DUMMYFUNCTION("""COMPUTED_VALUE"""),"Nylon-Insert Locknut")</f>
        <v>Nylon-Insert Locknut</v>
      </c>
      <c r="F116" s="2" t="str">
        <f>IFERROR(__xludf.DUMMYFUNCTION("""COMPUTED_VALUE"""),"Structures/Systems
/Avionics")</f>
        <v>Structures/Systems
/Avionics</v>
      </c>
      <c r="G116" s="2" t="str">
        <f>IFERROR(__xludf.DUMMYFUNCTION("""COMPUTED_VALUE"""),"SolidWorks")</f>
        <v>SolidWorks</v>
      </c>
      <c r="H116" s="2" t="str">
        <f>IFERROR(__xludf.DUMMYFUNCTION("""COMPUTED_VALUE"""),"Marginal Stability")</f>
        <v>Marginal Stability</v>
      </c>
      <c r="I116" s="12" t="str">
        <f>IFERROR(__xludf.DUMMYFUNCTION("""COMPUTED_VALUE"""),"Grade 8, Zinc Yellow-Chromate Plated, 1/4""-20 Thread Size, for mounting Recovery Pressure Tank")</f>
        <v>Grade 8, Zinc Yellow-Chromate Plated, 1/4"-20 Thread Size, for mounting Recovery Pressure Tank</v>
      </c>
      <c r="J116" s="2" t="str">
        <f>IFERROR(__xludf.DUMMYFUNCTION("""COMPUTED_VALUE"""),"Steel ")</f>
        <v>Steel </v>
      </c>
      <c r="K116" s="2" t="str">
        <f>IFERROR(__xludf.DUMMYFUNCTION("""COMPUTED_VALUE"""),"Imperial")</f>
        <v>Imperial</v>
      </c>
      <c r="L116" s="2" t="str">
        <f>IFERROR(__xludf.DUMMYFUNCTION("""COMPUTED_VALUE"""),"Andrew Bilan")</f>
        <v>Andrew Bilan</v>
      </c>
      <c r="M116" s="26">
        <f>IFERROR(__xludf.DUMMYFUNCTION("""COMPUTED_VALUE"""),43414.0)</f>
        <v>43414</v>
      </c>
      <c r="N116" s="2" t="str">
        <f>IFERROR(__xludf.DUMMYFUNCTION("""COMPUTED_VALUE"""),"")</f>
        <v/>
      </c>
      <c r="O116" s="18" t="str">
        <f>IFERROR(__xludf.DUMMYFUNCTION("""COMPUTED_VALUE"""),"Completed, 
Part imported from 
McMaster Carr")</f>
        <v>Completed, 
Part imported from 
McMaster Carr</v>
      </c>
      <c r="P116" s="50" t="str">
        <f>IFERROR(__xludf.DUMMYFUNCTION("""COMPUTED_VALUE"""),"https://www.mcmaster.com/97135a210")</f>
        <v>https://www.mcmaster.com/97135a210</v>
      </c>
      <c r="Q116" s="1" t="str">
        <f>IFERROR(__xludf.DUMMYFUNCTION("""COMPUTED_VALUE"""),"")</f>
        <v/>
      </c>
      <c r="R116" s="1" t="str">
        <f>IFERROR(__xludf.DUMMYFUNCTION("""COMPUTED_VALUE"""),"")</f>
        <v/>
      </c>
      <c r="S116" s="1" t="str">
        <f>IFERROR(__xludf.DUMMYFUNCTION("""COMPUTED_VALUE"""),"")</f>
        <v/>
      </c>
      <c r="T116" s="1" t="str">
        <f>IFERROR(__xludf.DUMMYFUNCTION("""COMPUTED_VALUE"""),"")</f>
        <v/>
      </c>
      <c r="U116" s="1" t="str">
        <f>IFERROR(__xludf.DUMMYFUNCTION("""COMPUTED_VALUE"""),"")</f>
        <v/>
      </c>
      <c r="V116" s="1" t="str">
        <f>IFERROR(__xludf.DUMMYFUNCTION("""COMPUTED_VALUE"""),"")</f>
        <v/>
      </c>
      <c r="W116" s="1" t="str">
        <f>IFERROR(__xludf.DUMMYFUNCTION("""COMPUTED_VALUE"""),"")</f>
        <v/>
      </c>
      <c r="X116" s="1" t="str">
        <f>IFERROR(__xludf.DUMMYFUNCTION("""COMPUTED_VALUE"""),"")</f>
        <v/>
      </c>
      <c r="Y116" s="1" t="str">
        <f>IFERROR(__xludf.DUMMYFUNCTION("""COMPUTED_VALUE"""),"")</f>
        <v/>
      </c>
      <c r="Z116" s="1" t="str">
        <f>IFERROR(__xludf.DUMMYFUNCTION("""COMPUTED_VALUE"""),"")</f>
        <v/>
      </c>
      <c r="AA116" s="1" t="str">
        <f>IFERROR(__xludf.DUMMYFUNCTION("""COMPUTED_VALUE"""),"")</f>
        <v/>
      </c>
      <c r="AB116" s="1" t="str">
        <f>IFERROR(__xludf.DUMMYFUNCTION("""COMPUTED_VALUE"""),"")</f>
        <v/>
      </c>
      <c r="AC116" s="1"/>
      <c r="AD116" s="1"/>
      <c r="AE116" s="1"/>
      <c r="AF116" s="1"/>
      <c r="AG116" s="1"/>
      <c r="AH116" s="1"/>
      <c r="AI116" s="1"/>
      <c r="AJ116" s="1"/>
    </row>
    <row r="117">
      <c r="A117" s="7"/>
      <c r="B117" s="8"/>
      <c r="C117" s="9">
        <f>IFERROR(__xludf.DUMMYFUNCTION("""COMPUTED_VALUE"""),16007.0)</f>
        <v>16007</v>
      </c>
      <c r="D117" s="28" t="str">
        <f>IFERROR(__xludf.DUMMYFUNCTION("""COMPUTED_VALUE"""),"R01")</f>
        <v>R01</v>
      </c>
      <c r="E117" s="11" t="str">
        <f>IFERROR(__xludf.DUMMYFUNCTION("""COMPUTED_VALUE"""),"Round Body Air Cylinder")</f>
        <v>Round Body Air Cylinder</v>
      </c>
      <c r="F117" s="2" t="str">
        <f>IFERROR(__xludf.DUMMYFUNCTION("""COMPUTED_VALUE"""),"Structures/Systems
/Avionics")</f>
        <v>Structures/Systems
/Avionics</v>
      </c>
      <c r="G117" s="2" t="str">
        <f>IFERROR(__xludf.DUMMYFUNCTION("""COMPUTED_VALUE"""),"SolidWorks")</f>
        <v>SolidWorks</v>
      </c>
      <c r="H117" s="2" t="str">
        <f>IFERROR(__xludf.DUMMYFUNCTION("""COMPUTED_VALUE"""),"Marginal Stability")</f>
        <v>Marginal Stability</v>
      </c>
      <c r="I117" s="12" t="str">
        <f>IFERROR(__xludf.DUMMYFUNCTION("""COMPUTED_VALUE"""),"Single-Acting, Push Style, 1-1/16"" Bore, 1/2"" Stroke, for Recovery System")</f>
        <v>Single-Acting, Push Style, 1-1/16" Bore, 1/2" Stroke, for Recovery System</v>
      </c>
      <c r="J117" s="2" t="str">
        <f>IFERROR(__xludf.DUMMYFUNCTION("""COMPUTED_VALUE"""),"Stainless Steel")</f>
        <v>Stainless Steel</v>
      </c>
      <c r="K117" s="2" t="str">
        <f>IFERROR(__xludf.DUMMYFUNCTION("""COMPUTED_VALUE"""),"Imperial")</f>
        <v>Imperial</v>
      </c>
      <c r="L117" s="2" t="str">
        <f>IFERROR(__xludf.DUMMYFUNCTION("""COMPUTED_VALUE"""),"Andrew Bilan")</f>
        <v>Andrew Bilan</v>
      </c>
      <c r="M117" s="26">
        <f>IFERROR(__xludf.DUMMYFUNCTION("""COMPUTED_VALUE"""),43414.0)</f>
        <v>43414</v>
      </c>
      <c r="N117" s="2" t="str">
        <f>IFERROR(__xludf.DUMMYFUNCTION("""COMPUTED_VALUE"""),"")</f>
        <v/>
      </c>
      <c r="O117" s="18" t="str">
        <f>IFERROR(__xludf.DUMMYFUNCTION("""COMPUTED_VALUE"""),"Completed, 
Part imported from 
McMaster Carr")</f>
        <v>Completed, 
Part imported from 
McMaster Carr</v>
      </c>
      <c r="P117" s="50" t="str">
        <f>IFERROR(__xludf.DUMMYFUNCTION("""COMPUTED_VALUE"""),"https://www.mcmaster.com/6498k062")</f>
        <v>https://www.mcmaster.com/6498k062</v>
      </c>
      <c r="Q117" s="1" t="str">
        <f>IFERROR(__xludf.DUMMYFUNCTION("""COMPUTED_VALUE"""),"")</f>
        <v/>
      </c>
      <c r="R117" s="1" t="str">
        <f>IFERROR(__xludf.DUMMYFUNCTION("""COMPUTED_VALUE"""),"")</f>
        <v/>
      </c>
      <c r="S117" s="1" t="str">
        <f>IFERROR(__xludf.DUMMYFUNCTION("""COMPUTED_VALUE"""),"")</f>
        <v/>
      </c>
      <c r="T117" s="1" t="str">
        <f>IFERROR(__xludf.DUMMYFUNCTION("""COMPUTED_VALUE"""),"")</f>
        <v/>
      </c>
      <c r="U117" s="1" t="str">
        <f>IFERROR(__xludf.DUMMYFUNCTION("""COMPUTED_VALUE"""),"")</f>
        <v/>
      </c>
      <c r="V117" s="1" t="str">
        <f>IFERROR(__xludf.DUMMYFUNCTION("""COMPUTED_VALUE"""),"")</f>
        <v/>
      </c>
      <c r="W117" s="1" t="str">
        <f>IFERROR(__xludf.DUMMYFUNCTION("""COMPUTED_VALUE"""),"")</f>
        <v/>
      </c>
      <c r="X117" s="1" t="str">
        <f>IFERROR(__xludf.DUMMYFUNCTION("""COMPUTED_VALUE"""),"")</f>
        <v/>
      </c>
      <c r="Y117" s="1" t="str">
        <f>IFERROR(__xludf.DUMMYFUNCTION("""COMPUTED_VALUE"""),"")</f>
        <v/>
      </c>
      <c r="Z117" s="1" t="str">
        <f>IFERROR(__xludf.DUMMYFUNCTION("""COMPUTED_VALUE"""),"")</f>
        <v/>
      </c>
      <c r="AA117" s="1" t="str">
        <f>IFERROR(__xludf.DUMMYFUNCTION("""COMPUTED_VALUE"""),"")</f>
        <v/>
      </c>
      <c r="AB117" s="1" t="str">
        <f>IFERROR(__xludf.DUMMYFUNCTION("""COMPUTED_VALUE"""),"")</f>
        <v/>
      </c>
      <c r="AC117" s="1"/>
      <c r="AD117" s="1"/>
      <c r="AE117" s="1"/>
      <c r="AF117" s="1"/>
      <c r="AG117" s="1"/>
      <c r="AH117" s="1"/>
      <c r="AI117" s="1"/>
      <c r="AJ117" s="1"/>
    </row>
    <row r="118">
      <c r="A118" s="7"/>
      <c r="B118" s="8"/>
      <c r="C118" s="9">
        <f>IFERROR(__xludf.DUMMYFUNCTION("""COMPUTED_VALUE"""),16008.0)</f>
        <v>16008</v>
      </c>
      <c r="D118" s="28" t="str">
        <f>IFERROR(__xludf.DUMMYFUNCTION("""COMPUTED_VALUE"""),"R01")</f>
        <v>R01</v>
      </c>
      <c r="E118" s="11" t="str">
        <f>IFERROR(__xludf.DUMMYFUNCTION("""COMPUTED_VALUE"""),"Push-To-Connect Tube
Fitting for Air, Straight 
Adapter")</f>
        <v>Push-To-Connect Tube
Fitting for Air, Straight 
Adapter</v>
      </c>
      <c r="F118" s="2" t="str">
        <f>IFERROR(__xludf.DUMMYFUNCTION("""COMPUTED_VALUE"""),"Structures/Systems
/Avionics")</f>
        <v>Structures/Systems
/Avionics</v>
      </c>
      <c r="G118" s="2" t="str">
        <f>IFERROR(__xludf.DUMMYFUNCTION("""COMPUTED_VALUE"""),"SolidWorks")</f>
        <v>SolidWorks</v>
      </c>
      <c r="H118" s="2" t="str">
        <f>IFERROR(__xludf.DUMMYFUNCTION("""COMPUTED_VALUE"""),"Marginal Stability")</f>
        <v>Marginal Stability</v>
      </c>
      <c r="I118" s="12" t="str">
        <f>IFERROR(__xludf.DUMMYFUNCTION("""COMPUTED_VALUE"""),"Straight Adapter, 1/2"" Stem OD, for 1/4"" Tube OD for Recovery System Plumbing")</f>
        <v>Straight Adapter, 1/2" Stem OD, for 1/4" Tube OD for Recovery System Plumbing</v>
      </c>
      <c r="J118" s="2" t="str">
        <f>IFERROR(__xludf.DUMMYFUNCTION("""COMPUTED_VALUE"""),"Nylon Plastic")</f>
        <v>Nylon Plastic</v>
      </c>
      <c r="K118" s="2" t="str">
        <f>IFERROR(__xludf.DUMMYFUNCTION("""COMPUTED_VALUE"""),"Imperial")</f>
        <v>Imperial</v>
      </c>
      <c r="L118" s="2" t="str">
        <f>IFERROR(__xludf.DUMMYFUNCTION("""COMPUTED_VALUE"""),"Andrew Bilan")</f>
        <v>Andrew Bilan</v>
      </c>
      <c r="M118" s="26">
        <f>IFERROR(__xludf.DUMMYFUNCTION("""COMPUTED_VALUE"""),43414.0)</f>
        <v>43414</v>
      </c>
      <c r="N118" s="2" t="str">
        <f>IFERROR(__xludf.DUMMYFUNCTION("""COMPUTED_VALUE"""),"")</f>
        <v/>
      </c>
      <c r="O118" s="18" t="str">
        <f>IFERROR(__xludf.DUMMYFUNCTION("""COMPUTED_VALUE"""),"Completed, 
Part imported from 
McMaster Carr")</f>
        <v>Completed, 
Part imported from 
McMaster Carr</v>
      </c>
      <c r="P118" s="50" t="str">
        <f>IFERROR(__xludf.DUMMYFUNCTION("""COMPUTED_VALUE"""),"https://www.mcmaster.com/5779k719")</f>
        <v>https://www.mcmaster.com/5779k719</v>
      </c>
      <c r="Q118" s="1" t="str">
        <f>IFERROR(__xludf.DUMMYFUNCTION("""COMPUTED_VALUE"""),"")</f>
        <v/>
      </c>
      <c r="R118" s="1" t="str">
        <f>IFERROR(__xludf.DUMMYFUNCTION("""COMPUTED_VALUE"""),"")</f>
        <v/>
      </c>
      <c r="S118" s="1" t="str">
        <f>IFERROR(__xludf.DUMMYFUNCTION("""COMPUTED_VALUE"""),"")</f>
        <v/>
      </c>
      <c r="T118" s="1" t="str">
        <f>IFERROR(__xludf.DUMMYFUNCTION("""COMPUTED_VALUE"""),"")</f>
        <v/>
      </c>
      <c r="U118" s="1" t="str">
        <f>IFERROR(__xludf.DUMMYFUNCTION("""COMPUTED_VALUE"""),"")</f>
        <v/>
      </c>
      <c r="V118" s="1" t="str">
        <f>IFERROR(__xludf.DUMMYFUNCTION("""COMPUTED_VALUE"""),"")</f>
        <v/>
      </c>
      <c r="W118" s="1" t="str">
        <f>IFERROR(__xludf.DUMMYFUNCTION("""COMPUTED_VALUE"""),"")</f>
        <v/>
      </c>
      <c r="X118" s="1" t="str">
        <f>IFERROR(__xludf.DUMMYFUNCTION("""COMPUTED_VALUE"""),"")</f>
        <v/>
      </c>
      <c r="Y118" s="1" t="str">
        <f>IFERROR(__xludf.DUMMYFUNCTION("""COMPUTED_VALUE"""),"")</f>
        <v/>
      </c>
      <c r="Z118" s="1" t="str">
        <f>IFERROR(__xludf.DUMMYFUNCTION("""COMPUTED_VALUE"""),"")</f>
        <v/>
      </c>
      <c r="AA118" s="1" t="str">
        <f>IFERROR(__xludf.DUMMYFUNCTION("""COMPUTED_VALUE"""),"")</f>
        <v/>
      </c>
      <c r="AB118" s="1" t="str">
        <f>IFERROR(__xludf.DUMMYFUNCTION("""COMPUTED_VALUE"""),"")</f>
        <v/>
      </c>
      <c r="AC118" s="1"/>
      <c r="AD118" s="1"/>
      <c r="AE118" s="1"/>
      <c r="AF118" s="1"/>
      <c r="AG118" s="1"/>
      <c r="AH118" s="1"/>
      <c r="AI118" s="1"/>
      <c r="AJ118" s="1"/>
    </row>
    <row r="119">
      <c r="A119" s="7"/>
      <c r="B119" s="8"/>
      <c r="C119" s="9">
        <f>IFERROR(__xludf.DUMMYFUNCTION("""COMPUTED_VALUE"""),16009.0)</f>
        <v>16009</v>
      </c>
      <c r="D119" s="28" t="str">
        <f>IFERROR(__xludf.DUMMYFUNCTION("""COMPUTED_VALUE"""),"R01")</f>
        <v>R01</v>
      </c>
      <c r="E119" s="11" t="str">
        <f>IFERROR(__xludf.DUMMYFUNCTION("""COMPUTED_VALUE"""),"Push-To-Connect Tube
Fitting for Air, 90 Degree
Swivel")</f>
        <v>Push-To-Connect Tube
Fitting for Air, 90 Degree
Swivel</v>
      </c>
      <c r="F119" s="2" t="str">
        <f>IFERROR(__xludf.DUMMYFUNCTION("""COMPUTED_VALUE"""),"Structures/Systems
/Avionics")</f>
        <v>Structures/Systems
/Avionics</v>
      </c>
      <c r="G119" s="2" t="str">
        <f>IFERROR(__xludf.DUMMYFUNCTION("""COMPUTED_VALUE"""),"SolidWorks")</f>
        <v>SolidWorks</v>
      </c>
      <c r="H119" s="2" t="str">
        <f>IFERROR(__xludf.DUMMYFUNCTION("""COMPUTED_VALUE"""),"Marginal Stability")</f>
        <v>Marginal Stability</v>
      </c>
      <c r="I119" s="12" t="str">
        <f>IFERROR(__xludf.DUMMYFUNCTION("""COMPUTED_VALUE"""),"90 Degree Swivel Elbow, 12 mm Tube OD x 1/2 BSPP Female for Recovery System Plumbing")</f>
        <v>90 Degree Swivel Elbow, 12 mm Tube OD x 1/2 BSPP Female for Recovery System Plumbing</v>
      </c>
      <c r="J119" s="2" t="str">
        <f>IFERROR(__xludf.DUMMYFUNCTION("""COMPUTED_VALUE"""),"Nylon Plastic")</f>
        <v>Nylon Plastic</v>
      </c>
      <c r="K119" s="2" t="str">
        <f>IFERROR(__xludf.DUMMYFUNCTION("""COMPUTED_VALUE"""),"Imperial")</f>
        <v>Imperial</v>
      </c>
      <c r="L119" s="2" t="str">
        <f>IFERROR(__xludf.DUMMYFUNCTION("""COMPUTED_VALUE"""),"Andrew Bilan")</f>
        <v>Andrew Bilan</v>
      </c>
      <c r="M119" s="26">
        <f>IFERROR(__xludf.DUMMYFUNCTION("""COMPUTED_VALUE"""),43414.0)</f>
        <v>43414</v>
      </c>
      <c r="N119" s="2" t="str">
        <f>IFERROR(__xludf.DUMMYFUNCTION("""COMPUTED_VALUE"""),"")</f>
        <v/>
      </c>
      <c r="O119" s="18" t="str">
        <f>IFERROR(__xludf.DUMMYFUNCTION("""COMPUTED_VALUE"""),"Completed, 
Part imported from 
McMaster Carr")</f>
        <v>Completed, 
Part imported from 
McMaster Carr</v>
      </c>
      <c r="P119" s="50" t="str">
        <f>IFERROR(__xludf.DUMMYFUNCTION("""COMPUTED_VALUE"""),"https://www.mcmaster.com/5225k893")</f>
        <v>https://www.mcmaster.com/5225k893</v>
      </c>
      <c r="Q119" s="1" t="str">
        <f>IFERROR(__xludf.DUMMYFUNCTION("""COMPUTED_VALUE"""),"")</f>
        <v/>
      </c>
      <c r="R119" s="1" t="str">
        <f>IFERROR(__xludf.DUMMYFUNCTION("""COMPUTED_VALUE"""),"")</f>
        <v/>
      </c>
      <c r="S119" s="1" t="str">
        <f>IFERROR(__xludf.DUMMYFUNCTION("""COMPUTED_VALUE"""),"")</f>
        <v/>
      </c>
      <c r="T119" s="1" t="str">
        <f>IFERROR(__xludf.DUMMYFUNCTION("""COMPUTED_VALUE"""),"")</f>
        <v/>
      </c>
      <c r="U119" s="1" t="str">
        <f>IFERROR(__xludf.DUMMYFUNCTION("""COMPUTED_VALUE"""),"")</f>
        <v/>
      </c>
      <c r="V119" s="1" t="str">
        <f>IFERROR(__xludf.DUMMYFUNCTION("""COMPUTED_VALUE"""),"")</f>
        <v/>
      </c>
      <c r="W119" s="1" t="str">
        <f>IFERROR(__xludf.DUMMYFUNCTION("""COMPUTED_VALUE"""),"")</f>
        <v/>
      </c>
      <c r="X119" s="1" t="str">
        <f>IFERROR(__xludf.DUMMYFUNCTION("""COMPUTED_VALUE"""),"")</f>
        <v/>
      </c>
      <c r="Y119" s="1" t="str">
        <f>IFERROR(__xludf.DUMMYFUNCTION("""COMPUTED_VALUE"""),"")</f>
        <v/>
      </c>
      <c r="Z119" s="1" t="str">
        <f>IFERROR(__xludf.DUMMYFUNCTION("""COMPUTED_VALUE"""),"")</f>
        <v/>
      </c>
      <c r="AA119" s="1" t="str">
        <f>IFERROR(__xludf.DUMMYFUNCTION("""COMPUTED_VALUE"""),"")</f>
        <v/>
      </c>
      <c r="AB119" s="1" t="str">
        <f>IFERROR(__xludf.DUMMYFUNCTION("""COMPUTED_VALUE"""),"")</f>
        <v/>
      </c>
      <c r="AC119" s="1"/>
      <c r="AD119" s="1"/>
      <c r="AE119" s="1"/>
      <c r="AF119" s="1"/>
      <c r="AG119" s="1"/>
      <c r="AH119" s="1"/>
      <c r="AI119" s="1"/>
      <c r="AJ119" s="1"/>
    </row>
    <row r="120">
      <c r="A120" s="7"/>
      <c r="B120" s="8"/>
      <c r="C120" s="9">
        <f>IFERROR(__xludf.DUMMYFUNCTION("""COMPUTED_VALUE"""),16010.0)</f>
        <v>16010</v>
      </c>
      <c r="D120" s="28" t="str">
        <f>IFERROR(__xludf.DUMMYFUNCTION("""COMPUTED_VALUE"""),"R01")</f>
        <v>R01</v>
      </c>
      <c r="E120" s="11" t="str">
        <f>IFERROR(__xludf.DUMMYFUNCTION("""COMPUTED_VALUE"""),"On/Off Valve for
Recovery Pressure
Tank")</f>
        <v>On/Off Valve for
Recovery Pressure
Tank</v>
      </c>
      <c r="F120" s="2" t="str">
        <f>IFERROR(__xludf.DUMMYFUNCTION("""COMPUTED_VALUE"""),"Structures/Systems
/Avionics")</f>
        <v>Structures/Systems
/Avionics</v>
      </c>
      <c r="G120" s="2" t="str">
        <f>IFERROR(__xludf.DUMMYFUNCTION("""COMPUTED_VALUE"""),"SolidWorks")</f>
        <v>SolidWorks</v>
      </c>
      <c r="H120" s="2" t="str">
        <f>IFERROR(__xludf.DUMMYFUNCTION("""COMPUTED_VALUE"""),"Marginal Stability")</f>
        <v>Marginal Stability</v>
      </c>
      <c r="I120" s="12" t="str">
        <f>IFERROR(__xludf.DUMMYFUNCTION("""COMPUTED_VALUE"""),"On/Off Valve
for Recovery
Pressure Tank
")</f>
        <v>On/Off Valve
for Recovery
Pressure Tank
</v>
      </c>
      <c r="J120" s="2" t="str">
        <f>IFERROR(__xludf.DUMMYFUNCTION("""COMPUTED_VALUE"""),"Brass")</f>
        <v>Brass</v>
      </c>
      <c r="K120" s="2" t="str">
        <f>IFERROR(__xludf.DUMMYFUNCTION("""COMPUTED_VALUE"""),"Imperial")</f>
        <v>Imperial</v>
      </c>
      <c r="L120" s="2" t="str">
        <f>IFERROR(__xludf.DUMMYFUNCTION("""COMPUTED_VALUE"""),"Andrew Bilan")</f>
        <v>Andrew Bilan</v>
      </c>
      <c r="M120" s="26">
        <f>IFERROR(__xludf.DUMMYFUNCTION("""COMPUTED_VALUE"""),43414.0)</f>
        <v>43414</v>
      </c>
      <c r="N120" s="2" t="str">
        <f>IFERROR(__xludf.DUMMYFUNCTION("""COMPUTED_VALUE"""),"")</f>
        <v/>
      </c>
      <c r="O120" s="18" t="str">
        <f>IFERROR(__xludf.DUMMYFUNCTION("""COMPUTED_VALUE"""),"Completed, 
Part imported from 
GrabCAD")</f>
        <v>Completed, 
Part imported from 
GrabCAD</v>
      </c>
      <c r="P120" s="50" t="str">
        <f>IFERROR(__xludf.DUMMYFUNCTION("""COMPUTED_VALUE"""),"https://grabcad.com/library/9oz-paintball-co2-tank-1")</f>
        <v>https://grabcad.com/library/9oz-paintball-co2-tank-1</v>
      </c>
      <c r="Q120" s="1" t="str">
        <f>IFERROR(__xludf.DUMMYFUNCTION("""COMPUTED_VALUE"""),"")</f>
        <v/>
      </c>
      <c r="R120" s="1" t="str">
        <f>IFERROR(__xludf.DUMMYFUNCTION("""COMPUTED_VALUE"""),"")</f>
        <v/>
      </c>
      <c r="S120" s="1" t="str">
        <f>IFERROR(__xludf.DUMMYFUNCTION("""COMPUTED_VALUE"""),"")</f>
        <v/>
      </c>
      <c r="T120" s="1" t="str">
        <f>IFERROR(__xludf.DUMMYFUNCTION("""COMPUTED_VALUE"""),"")</f>
        <v/>
      </c>
      <c r="U120" s="1" t="str">
        <f>IFERROR(__xludf.DUMMYFUNCTION("""COMPUTED_VALUE"""),"")</f>
        <v/>
      </c>
      <c r="V120" s="1" t="str">
        <f>IFERROR(__xludf.DUMMYFUNCTION("""COMPUTED_VALUE"""),"")</f>
        <v/>
      </c>
      <c r="W120" s="1" t="str">
        <f>IFERROR(__xludf.DUMMYFUNCTION("""COMPUTED_VALUE"""),"")</f>
        <v/>
      </c>
      <c r="X120" s="1" t="str">
        <f>IFERROR(__xludf.DUMMYFUNCTION("""COMPUTED_VALUE"""),"")</f>
        <v/>
      </c>
      <c r="Y120" s="1" t="str">
        <f>IFERROR(__xludf.DUMMYFUNCTION("""COMPUTED_VALUE"""),"")</f>
        <v/>
      </c>
      <c r="Z120" s="1" t="str">
        <f>IFERROR(__xludf.DUMMYFUNCTION("""COMPUTED_VALUE"""),"")</f>
        <v/>
      </c>
      <c r="AA120" s="1" t="str">
        <f>IFERROR(__xludf.DUMMYFUNCTION("""COMPUTED_VALUE"""),"")</f>
        <v/>
      </c>
      <c r="AB120" s="1" t="str">
        <f>IFERROR(__xludf.DUMMYFUNCTION("""COMPUTED_VALUE"""),"")</f>
        <v/>
      </c>
      <c r="AC120" s="1"/>
      <c r="AD120" s="1"/>
      <c r="AE120" s="1"/>
      <c r="AF120" s="1"/>
      <c r="AG120" s="1"/>
      <c r="AH120" s="1"/>
      <c r="AI120" s="1"/>
      <c r="AJ120" s="1"/>
    </row>
    <row r="121">
      <c r="A121" s="7"/>
      <c r="B121" s="8"/>
      <c r="C121" s="9">
        <f>IFERROR(__xludf.DUMMYFUNCTION("""COMPUTED_VALUE"""),16011.0)</f>
        <v>16011</v>
      </c>
      <c r="D121" s="28" t="str">
        <f>IFERROR(__xludf.DUMMYFUNCTION("""COMPUTED_VALUE"""),"R02")</f>
        <v>R02</v>
      </c>
      <c r="E121" s="11" t="str">
        <f>IFERROR(__xludf.DUMMYFUNCTION("""COMPUTED_VALUE"""),"1/4""-20 x 1.5 Bolt")</f>
        <v>1/4"-20 x 1.5 Bolt</v>
      </c>
      <c r="F121" s="2" t="str">
        <f>IFERROR(__xludf.DUMMYFUNCTION("""COMPUTED_VALUE"""),"Propulsion")</f>
        <v>Propulsion</v>
      </c>
      <c r="G121" s="2" t="str">
        <f>IFERROR(__xludf.DUMMYFUNCTION("""COMPUTED_VALUE"""),"SolidWorks")</f>
        <v>SolidWorks</v>
      </c>
      <c r="H121" s="2" t="str">
        <f>IFERROR(__xludf.DUMMYFUNCTION("""COMPUTED_VALUE"""),"Marginal Stability")</f>
        <v>Marginal Stability</v>
      </c>
      <c r="I121" s="12" t="str">
        <f>IFERROR(__xludf.DUMMYFUNCTION("""COMPUTED_VALUE"""),"TCA to Injector")</f>
        <v>TCA to Injector</v>
      </c>
      <c r="J121" s="2" t="str">
        <f>IFERROR(__xludf.DUMMYFUNCTION("""COMPUTED_VALUE"""),"Zinc Yellow-Chromate Plated Steel")</f>
        <v>Zinc Yellow-Chromate Plated Steel</v>
      </c>
      <c r="K121" s="2" t="str">
        <f>IFERROR(__xludf.DUMMYFUNCTION("""COMPUTED_VALUE"""),"Imperial")</f>
        <v>Imperial</v>
      </c>
      <c r="L121" s="2" t="str">
        <f>IFERROR(__xludf.DUMMYFUNCTION("""COMPUTED_VALUE"""),"Nick Ashforth")</f>
        <v>Nick Ashforth</v>
      </c>
      <c r="M121" s="26">
        <f>IFERROR(__xludf.DUMMYFUNCTION("""COMPUTED_VALUE"""),43544.0)</f>
        <v>43544</v>
      </c>
      <c r="N121" s="30" t="str">
        <f>IFERROR(__xludf.DUMMYFUNCTION("""COMPUTED_VALUE"""),"Link")</f>
        <v>Link</v>
      </c>
      <c r="O121" s="18" t="str">
        <f>IFERROR(__xludf.DUMMYFUNCTION("""COMPUTED_VALUE"""),"Completed, 
Part imported from 
McMaster Carr")</f>
        <v>Completed, 
Part imported from 
McMaster Carr</v>
      </c>
      <c r="P121" s="50" t="str">
        <f>IFERROR(__xludf.DUMMYFUNCTION("""COMPUTED_VALUE"""),"Link")</f>
        <v>Link</v>
      </c>
      <c r="Q121" s="1" t="str">
        <f>IFERROR(__xludf.DUMMYFUNCTION("""COMPUTED_VALUE"""),"")</f>
        <v/>
      </c>
      <c r="R121" s="1" t="str">
        <f>IFERROR(__xludf.DUMMYFUNCTION("""COMPUTED_VALUE"""),"")</f>
        <v/>
      </c>
      <c r="S121" s="1" t="str">
        <f>IFERROR(__xludf.DUMMYFUNCTION("""COMPUTED_VALUE"""),"")</f>
        <v/>
      </c>
      <c r="T121" s="1" t="str">
        <f>IFERROR(__xludf.DUMMYFUNCTION("""COMPUTED_VALUE"""),"")</f>
        <v/>
      </c>
      <c r="U121" s="1" t="str">
        <f>IFERROR(__xludf.DUMMYFUNCTION("""COMPUTED_VALUE"""),"")</f>
        <v/>
      </c>
      <c r="V121" s="1" t="str">
        <f>IFERROR(__xludf.DUMMYFUNCTION("""COMPUTED_VALUE"""),"")</f>
        <v/>
      </c>
      <c r="W121" s="1" t="str">
        <f>IFERROR(__xludf.DUMMYFUNCTION("""COMPUTED_VALUE"""),"")</f>
        <v/>
      </c>
      <c r="X121" s="1" t="str">
        <f>IFERROR(__xludf.DUMMYFUNCTION("""COMPUTED_VALUE"""),"")</f>
        <v/>
      </c>
      <c r="Y121" s="1" t="str">
        <f>IFERROR(__xludf.DUMMYFUNCTION("""COMPUTED_VALUE"""),"")</f>
        <v/>
      </c>
      <c r="Z121" s="1" t="str">
        <f>IFERROR(__xludf.DUMMYFUNCTION("""COMPUTED_VALUE"""),"")</f>
        <v/>
      </c>
      <c r="AA121" s="1" t="str">
        <f>IFERROR(__xludf.DUMMYFUNCTION("""COMPUTED_VALUE"""),"")</f>
        <v/>
      </c>
      <c r="AB121" s="1" t="str">
        <f>IFERROR(__xludf.DUMMYFUNCTION("""COMPUTED_VALUE"""),"")</f>
        <v/>
      </c>
      <c r="AC121" s="1"/>
      <c r="AD121" s="1"/>
      <c r="AE121" s="1"/>
      <c r="AF121" s="1"/>
      <c r="AG121" s="1"/>
      <c r="AH121" s="1"/>
      <c r="AI121" s="1"/>
      <c r="AJ121" s="1"/>
    </row>
    <row r="122">
      <c r="A122" s="7"/>
      <c r="B122" s="8"/>
      <c r="C122" s="9">
        <f>IFERROR(__xludf.DUMMYFUNCTION("""COMPUTED_VALUE"""),16012.0)</f>
        <v>16012</v>
      </c>
      <c r="D122" s="28" t="str">
        <f>IFERROR(__xludf.DUMMYFUNCTION("""COMPUTED_VALUE"""),"R03")</f>
        <v>R03</v>
      </c>
      <c r="E122" s="11" t="str">
        <f>IFERROR(__xludf.DUMMYFUNCTION("""COMPUTED_VALUE"""),"1/4""-20 x 2.0 Bolt")</f>
        <v>1/4"-20 x 2.0 Bolt</v>
      </c>
      <c r="F122" s="2" t="str">
        <f>IFERROR(__xludf.DUMMYFUNCTION("""COMPUTED_VALUE"""),"Propulsion")</f>
        <v>Propulsion</v>
      </c>
      <c r="G122" s="2" t="str">
        <f>IFERROR(__xludf.DUMMYFUNCTION("""COMPUTED_VALUE"""),"SolidWorks")</f>
        <v>SolidWorks</v>
      </c>
      <c r="H122" s="2" t="str">
        <f>IFERROR(__xludf.DUMMYFUNCTION("""COMPUTED_VALUE"""),"Marginal Stability")</f>
        <v>Marginal Stability</v>
      </c>
      <c r="I122" s="12" t="str">
        <f>IFERROR(__xludf.DUMMYFUNCTION("""COMPUTED_VALUE"""),"TCA/Injector to Thrust Mount")</f>
        <v>TCA/Injector to Thrust Mount</v>
      </c>
      <c r="J122" s="2" t="str">
        <f>IFERROR(__xludf.DUMMYFUNCTION("""COMPUTED_VALUE"""),"Zinc Yellow-Chromate Plated Steel")</f>
        <v>Zinc Yellow-Chromate Plated Steel</v>
      </c>
      <c r="K122" s="2" t="str">
        <f>IFERROR(__xludf.DUMMYFUNCTION("""COMPUTED_VALUE"""),"Imperial")</f>
        <v>Imperial</v>
      </c>
      <c r="L122" s="2" t="str">
        <f>IFERROR(__xludf.DUMMYFUNCTION("""COMPUTED_VALUE"""),"Nick Ashforth")</f>
        <v>Nick Ashforth</v>
      </c>
      <c r="M122" s="26">
        <f>IFERROR(__xludf.DUMMYFUNCTION("""COMPUTED_VALUE"""),43545.0)</f>
        <v>43545</v>
      </c>
      <c r="N122" s="30" t="str">
        <f>IFERROR(__xludf.DUMMYFUNCTION("""COMPUTED_VALUE"""),"Link")</f>
        <v>Link</v>
      </c>
      <c r="O122" s="18" t="str">
        <f>IFERROR(__xludf.DUMMYFUNCTION("""COMPUTED_VALUE"""),"Completed, 
Part imported from 
McMaster Carr")</f>
        <v>Completed, 
Part imported from 
McMaster Carr</v>
      </c>
      <c r="P122" s="50" t="str">
        <f>IFERROR(__xludf.DUMMYFUNCTION("""COMPUTED_VALUE"""),"Link")</f>
        <v>Link</v>
      </c>
      <c r="Q122" s="1" t="str">
        <f>IFERROR(__xludf.DUMMYFUNCTION("""COMPUTED_VALUE"""),"")</f>
        <v/>
      </c>
      <c r="R122" s="1" t="str">
        <f>IFERROR(__xludf.DUMMYFUNCTION("""COMPUTED_VALUE"""),"")</f>
        <v/>
      </c>
      <c r="S122" s="1" t="str">
        <f>IFERROR(__xludf.DUMMYFUNCTION("""COMPUTED_VALUE"""),"")</f>
        <v/>
      </c>
      <c r="T122" s="1" t="str">
        <f>IFERROR(__xludf.DUMMYFUNCTION("""COMPUTED_VALUE"""),"")</f>
        <v/>
      </c>
      <c r="U122" s="1" t="str">
        <f>IFERROR(__xludf.DUMMYFUNCTION("""COMPUTED_VALUE"""),"")</f>
        <v/>
      </c>
      <c r="V122" s="1" t="str">
        <f>IFERROR(__xludf.DUMMYFUNCTION("""COMPUTED_VALUE"""),"")</f>
        <v/>
      </c>
      <c r="W122" s="1" t="str">
        <f>IFERROR(__xludf.DUMMYFUNCTION("""COMPUTED_VALUE"""),"")</f>
        <v/>
      </c>
      <c r="X122" s="1" t="str">
        <f>IFERROR(__xludf.DUMMYFUNCTION("""COMPUTED_VALUE"""),"")</f>
        <v/>
      </c>
      <c r="Y122" s="1" t="str">
        <f>IFERROR(__xludf.DUMMYFUNCTION("""COMPUTED_VALUE"""),"")</f>
        <v/>
      </c>
      <c r="Z122" s="1" t="str">
        <f>IFERROR(__xludf.DUMMYFUNCTION("""COMPUTED_VALUE"""),"")</f>
        <v/>
      </c>
      <c r="AA122" s="1" t="str">
        <f>IFERROR(__xludf.DUMMYFUNCTION("""COMPUTED_VALUE"""),"")</f>
        <v/>
      </c>
      <c r="AB122" s="1" t="str">
        <f>IFERROR(__xludf.DUMMYFUNCTION("""COMPUTED_VALUE"""),"")</f>
        <v/>
      </c>
      <c r="AC122" s="1"/>
      <c r="AD122" s="1"/>
      <c r="AE122" s="1"/>
      <c r="AF122" s="1"/>
      <c r="AG122" s="1"/>
      <c r="AH122" s="1"/>
      <c r="AI122" s="1"/>
      <c r="AJ122" s="1"/>
    </row>
    <row r="123">
      <c r="A123" s="7"/>
      <c r="B123" s="8"/>
      <c r="C123" s="9">
        <f>IFERROR(__xludf.DUMMYFUNCTION("""COMPUTED_VALUE"""),16013.0)</f>
        <v>16013</v>
      </c>
      <c r="D123" s="28" t="str">
        <f>IFERROR(__xludf.DUMMYFUNCTION("""COMPUTED_VALUE"""),"R04")</f>
        <v>R04</v>
      </c>
      <c r="E123" s="11" t="str">
        <f>IFERROR(__xludf.DUMMYFUNCTION("""COMPUTED_VALUE"""),"1/4""-20 Nut")</f>
        <v>1/4"-20 Nut</v>
      </c>
      <c r="F123" s="2" t="str">
        <f>IFERROR(__xludf.DUMMYFUNCTION("""COMPUTED_VALUE"""),"Propulsion")</f>
        <v>Propulsion</v>
      </c>
      <c r="G123" s="2" t="str">
        <f>IFERROR(__xludf.DUMMYFUNCTION("""COMPUTED_VALUE"""),"SolidWorks")</f>
        <v>SolidWorks</v>
      </c>
      <c r="H123" s="2" t="str">
        <f>IFERROR(__xludf.DUMMYFUNCTION("""COMPUTED_VALUE"""),"Marginal Stability")</f>
        <v>Marginal Stability</v>
      </c>
      <c r="I123" s="12" t="str">
        <f>IFERROR(__xludf.DUMMYFUNCTION("""COMPUTED_VALUE"""),"TCA to Injector to Thrust Mount")</f>
        <v>TCA to Injector to Thrust Mount</v>
      </c>
      <c r="J123" s="2" t="str">
        <f>IFERROR(__xludf.DUMMYFUNCTION("""COMPUTED_VALUE"""),"Zinc Yellow-Chromate Plated Steel")</f>
        <v>Zinc Yellow-Chromate Plated Steel</v>
      </c>
      <c r="K123" s="2" t="str">
        <f>IFERROR(__xludf.DUMMYFUNCTION("""COMPUTED_VALUE"""),"Imperial")</f>
        <v>Imperial</v>
      </c>
      <c r="L123" s="2" t="str">
        <f>IFERROR(__xludf.DUMMYFUNCTION("""COMPUTED_VALUE"""),"Nick Ashforth")</f>
        <v>Nick Ashforth</v>
      </c>
      <c r="M123" s="26">
        <f>IFERROR(__xludf.DUMMYFUNCTION("""COMPUTED_VALUE"""),43546.0)</f>
        <v>43546</v>
      </c>
      <c r="N123" s="30" t="str">
        <f>IFERROR(__xludf.DUMMYFUNCTION("""COMPUTED_VALUE"""),"Link")</f>
        <v>Link</v>
      </c>
      <c r="O123" s="18" t="str">
        <f>IFERROR(__xludf.DUMMYFUNCTION("""COMPUTED_VALUE"""),"Completed, 
Part imported from 
McMaster Carr")</f>
        <v>Completed, 
Part imported from 
McMaster Carr</v>
      </c>
      <c r="P123" s="50" t="str">
        <f>IFERROR(__xludf.DUMMYFUNCTION("""COMPUTED_VALUE"""),"Link")</f>
        <v>Link</v>
      </c>
      <c r="Q123" s="1" t="str">
        <f>IFERROR(__xludf.DUMMYFUNCTION("""COMPUTED_VALUE"""),"")</f>
        <v/>
      </c>
      <c r="R123" s="1" t="str">
        <f>IFERROR(__xludf.DUMMYFUNCTION("""COMPUTED_VALUE"""),"")</f>
        <v/>
      </c>
      <c r="S123" s="1" t="str">
        <f>IFERROR(__xludf.DUMMYFUNCTION("""COMPUTED_VALUE"""),"")</f>
        <v/>
      </c>
      <c r="T123" s="1" t="str">
        <f>IFERROR(__xludf.DUMMYFUNCTION("""COMPUTED_VALUE"""),"")</f>
        <v/>
      </c>
      <c r="U123" s="1" t="str">
        <f>IFERROR(__xludf.DUMMYFUNCTION("""COMPUTED_VALUE"""),"")</f>
        <v/>
      </c>
      <c r="V123" s="1" t="str">
        <f>IFERROR(__xludf.DUMMYFUNCTION("""COMPUTED_VALUE"""),"")</f>
        <v/>
      </c>
      <c r="W123" s="1" t="str">
        <f>IFERROR(__xludf.DUMMYFUNCTION("""COMPUTED_VALUE"""),"")</f>
        <v/>
      </c>
      <c r="X123" s="1" t="str">
        <f>IFERROR(__xludf.DUMMYFUNCTION("""COMPUTED_VALUE"""),"")</f>
        <v/>
      </c>
      <c r="Y123" s="1" t="str">
        <f>IFERROR(__xludf.DUMMYFUNCTION("""COMPUTED_VALUE"""),"")</f>
        <v/>
      </c>
      <c r="Z123" s="1" t="str">
        <f>IFERROR(__xludf.DUMMYFUNCTION("""COMPUTED_VALUE"""),"")</f>
        <v/>
      </c>
      <c r="AA123" s="1" t="str">
        <f>IFERROR(__xludf.DUMMYFUNCTION("""COMPUTED_VALUE"""),"")</f>
        <v/>
      </c>
      <c r="AB123" s="1" t="str">
        <f>IFERROR(__xludf.DUMMYFUNCTION("""COMPUTED_VALUE"""),"")</f>
        <v/>
      </c>
      <c r="AC123" s="1"/>
      <c r="AD123" s="1"/>
      <c r="AE123" s="1"/>
      <c r="AF123" s="1"/>
      <c r="AG123" s="1"/>
      <c r="AH123" s="1"/>
      <c r="AI123" s="1"/>
      <c r="AJ123" s="1"/>
    </row>
    <row r="124">
      <c r="A124" s="7"/>
      <c r="B124" s="8"/>
      <c r="C124" s="13"/>
      <c r="D124" s="28"/>
      <c r="E124" s="11"/>
      <c r="F124" s="2"/>
      <c r="G124" s="2"/>
      <c r="H124" s="2"/>
      <c r="I124" s="12"/>
      <c r="J124" s="2"/>
      <c r="K124" s="2"/>
      <c r="L124" s="2"/>
      <c r="M124" s="26"/>
      <c r="N124" s="2"/>
      <c r="O124" s="18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>
      <c r="A125" s="7"/>
      <c r="B125" s="8"/>
      <c r="C125" s="13"/>
      <c r="D125" s="28"/>
      <c r="E125" s="11"/>
      <c r="F125" s="2"/>
      <c r="G125" s="2"/>
      <c r="H125" s="2"/>
      <c r="I125" s="12"/>
      <c r="J125" s="2"/>
      <c r="K125" s="2"/>
      <c r="L125" s="2"/>
      <c r="M125" s="26"/>
      <c r="N125" s="2"/>
      <c r="O125" s="18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>
      <c r="A126" s="7"/>
      <c r="B126" s="8"/>
      <c r="C126" s="13"/>
      <c r="D126" s="28"/>
      <c r="E126" s="11"/>
      <c r="F126" s="2"/>
      <c r="G126" s="2"/>
      <c r="H126" s="2"/>
      <c r="I126" s="12"/>
      <c r="J126" s="2"/>
      <c r="K126" s="2"/>
      <c r="L126" s="2"/>
      <c r="M126" s="26"/>
      <c r="N126" s="2"/>
      <c r="O126" s="18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>
      <c r="A127" s="7"/>
      <c r="B127" s="8"/>
      <c r="C127" s="13"/>
      <c r="D127" s="28"/>
      <c r="E127" s="11"/>
      <c r="F127" s="2"/>
      <c r="G127" s="2"/>
      <c r="H127" s="2"/>
      <c r="I127" s="12"/>
      <c r="J127" s="2"/>
      <c r="K127" s="2"/>
      <c r="L127" s="2"/>
      <c r="M127" s="26"/>
      <c r="N127" s="2"/>
      <c r="O127" s="18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>
      <c r="A128" s="7"/>
      <c r="B128" s="8"/>
      <c r="C128" s="13"/>
      <c r="D128" s="28"/>
      <c r="E128" s="11"/>
      <c r="F128" s="2"/>
      <c r="G128" s="2"/>
      <c r="H128" s="2"/>
      <c r="I128" s="12"/>
      <c r="J128" s="2"/>
      <c r="K128" s="2"/>
      <c r="L128" s="2"/>
      <c r="M128" s="26"/>
      <c r="N128" s="2"/>
      <c r="O128" s="18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>
      <c r="A129" s="7"/>
      <c r="B129" s="8"/>
      <c r="C129" s="13"/>
      <c r="D129" s="10"/>
      <c r="E129" s="11"/>
      <c r="F129" s="2"/>
      <c r="G129" s="2"/>
      <c r="H129" s="2"/>
      <c r="I129" s="12"/>
      <c r="J129" s="2"/>
      <c r="K129" s="2"/>
      <c r="L129" s="2"/>
      <c r="M129" s="26"/>
      <c r="N129" s="18"/>
      <c r="O129" s="18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>
      <c r="A130" s="7"/>
      <c r="B130" s="8"/>
      <c r="C130" s="13"/>
      <c r="D130" s="10"/>
      <c r="E130" s="11"/>
      <c r="F130" s="2"/>
      <c r="G130" s="2"/>
      <c r="H130" s="2"/>
      <c r="I130" s="25"/>
      <c r="J130" s="2"/>
      <c r="K130" s="2"/>
      <c r="L130" s="2"/>
      <c r="M130" s="26"/>
      <c r="N130" s="18"/>
      <c r="O130" s="18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>
      <c r="A131" s="7"/>
      <c r="B131" s="8"/>
      <c r="C131" s="13"/>
      <c r="D131" s="28"/>
      <c r="E131" s="29"/>
      <c r="F131" s="18"/>
      <c r="G131" s="18"/>
      <c r="H131" s="18"/>
      <c r="I131" s="25"/>
      <c r="J131" s="18"/>
      <c r="K131" s="18"/>
      <c r="L131" s="18"/>
      <c r="M131" s="18"/>
      <c r="N131" s="18"/>
      <c r="O131" s="18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>
      <c r="A132" s="7"/>
      <c r="B132" s="8"/>
      <c r="C132" s="13"/>
      <c r="D132" s="28"/>
      <c r="E132" s="29"/>
      <c r="F132" s="18"/>
      <c r="G132" s="18"/>
      <c r="H132" s="18"/>
      <c r="I132" s="25"/>
      <c r="J132" s="18"/>
      <c r="K132" s="18"/>
      <c r="L132" s="18"/>
      <c r="M132" s="18"/>
      <c r="N132" s="18"/>
      <c r="O132" s="18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>
      <c r="A133" s="7"/>
      <c r="B133" s="8"/>
      <c r="C133" s="13"/>
      <c r="D133" s="10"/>
      <c r="E133" s="11"/>
      <c r="F133" s="18"/>
      <c r="G133" s="2"/>
      <c r="H133" s="2"/>
      <c r="I133" s="12"/>
      <c r="J133" s="2"/>
      <c r="K133" s="2"/>
      <c r="L133" s="2"/>
      <c r="M133" s="21"/>
      <c r="N133" s="2"/>
      <c r="O133" s="18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>
      <c r="A134" s="7"/>
      <c r="B134" s="8"/>
      <c r="C134" s="13"/>
      <c r="D134" s="10"/>
      <c r="E134" s="11"/>
      <c r="F134" s="18"/>
      <c r="G134" s="2"/>
      <c r="H134" s="2"/>
      <c r="I134" s="12"/>
      <c r="J134" s="2"/>
      <c r="K134" s="2"/>
      <c r="L134" s="2"/>
      <c r="M134" s="41"/>
      <c r="N134" s="2"/>
      <c r="O134" s="18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>
      <c r="A135" s="7"/>
      <c r="B135" s="8"/>
      <c r="C135" s="13"/>
      <c r="D135" s="28"/>
      <c r="E135" s="11"/>
      <c r="F135" s="18"/>
      <c r="G135" s="2"/>
      <c r="H135" s="2"/>
      <c r="I135" s="12"/>
      <c r="J135" s="2"/>
      <c r="K135" s="2"/>
      <c r="L135" s="2"/>
      <c r="M135" s="21"/>
      <c r="N135" s="2"/>
      <c r="O135" s="18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>
      <c r="A136" s="7"/>
      <c r="B136" s="8"/>
      <c r="C136" s="13"/>
      <c r="D136" s="28"/>
      <c r="E136" s="11"/>
      <c r="F136" s="18"/>
      <c r="G136" s="2"/>
      <c r="H136" s="2"/>
      <c r="I136" s="12"/>
      <c r="J136" s="18"/>
      <c r="K136" s="2"/>
      <c r="L136" s="2"/>
      <c r="M136" s="21"/>
      <c r="N136" s="2"/>
      <c r="O136" s="18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>
      <c r="A137" s="7"/>
      <c r="B137" s="8"/>
      <c r="C137" s="13"/>
      <c r="D137" s="28"/>
      <c r="E137" s="11"/>
      <c r="F137" s="18"/>
      <c r="G137" s="2"/>
      <c r="H137" s="2"/>
      <c r="I137" s="12"/>
      <c r="J137" s="2"/>
      <c r="K137" s="2"/>
      <c r="L137" s="2"/>
      <c r="M137" s="21"/>
      <c r="N137" s="2"/>
      <c r="O137" s="18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>
      <c r="A138" s="7"/>
      <c r="B138" s="8"/>
      <c r="C138" s="13"/>
      <c r="D138" s="28"/>
      <c r="E138" s="11"/>
      <c r="F138" s="18"/>
      <c r="G138" s="2"/>
      <c r="H138" s="2"/>
      <c r="I138" s="12"/>
      <c r="J138" s="2"/>
      <c r="K138" s="2"/>
      <c r="L138" s="2"/>
      <c r="M138" s="21"/>
      <c r="N138" s="2"/>
      <c r="O138" s="18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>
      <c r="A139" s="7"/>
      <c r="B139" s="8"/>
      <c r="C139" s="13"/>
      <c r="D139" s="28"/>
      <c r="E139" s="11"/>
      <c r="F139" s="18"/>
      <c r="G139" s="2"/>
      <c r="H139" s="2"/>
      <c r="I139" s="12"/>
      <c r="J139" s="18"/>
      <c r="K139" s="2"/>
      <c r="L139" s="2"/>
      <c r="M139" s="21"/>
      <c r="N139" s="2"/>
      <c r="O139" s="18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>
      <c r="A140" s="7"/>
      <c r="B140" s="8"/>
      <c r="C140" s="13"/>
      <c r="D140" s="28"/>
      <c r="E140" s="11"/>
      <c r="F140" s="18"/>
      <c r="G140" s="2"/>
      <c r="H140" s="2"/>
      <c r="I140" s="12"/>
      <c r="J140" s="2"/>
      <c r="K140" s="2"/>
      <c r="L140" s="2"/>
      <c r="M140" s="21"/>
      <c r="N140" s="2"/>
      <c r="O140" s="18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>
      <c r="A141" s="7"/>
      <c r="B141" s="8"/>
      <c r="C141" s="13"/>
      <c r="D141" s="28"/>
      <c r="E141" s="11"/>
      <c r="F141" s="18"/>
      <c r="G141" s="2"/>
      <c r="H141" s="2"/>
      <c r="I141" s="12"/>
      <c r="J141" s="2"/>
      <c r="K141" s="2"/>
      <c r="L141" s="2"/>
      <c r="M141" s="21"/>
      <c r="N141" s="2"/>
      <c r="O141" s="18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>
      <c r="A142" s="7"/>
      <c r="B142" s="8"/>
      <c r="C142" s="13"/>
      <c r="D142" s="28"/>
      <c r="E142" s="11"/>
      <c r="F142" s="18"/>
      <c r="G142" s="2"/>
      <c r="H142" s="2"/>
      <c r="I142" s="12"/>
      <c r="J142" s="2"/>
      <c r="K142" s="2"/>
      <c r="L142" s="2"/>
      <c r="M142" s="21"/>
      <c r="N142" s="2"/>
      <c r="O142" s="18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>
      <c r="A143" s="7"/>
      <c r="B143" s="8"/>
      <c r="C143" s="13"/>
      <c r="D143" s="28"/>
      <c r="E143" s="11"/>
      <c r="F143" s="18"/>
      <c r="G143" s="2"/>
      <c r="H143" s="2"/>
      <c r="I143" s="12"/>
      <c r="J143" s="2"/>
      <c r="K143" s="2"/>
      <c r="L143" s="2"/>
      <c r="M143" s="21"/>
      <c r="N143" s="2"/>
      <c r="O143" s="18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>
      <c r="A144" s="7"/>
      <c r="B144" s="8"/>
      <c r="C144" s="13"/>
      <c r="D144" s="28"/>
      <c r="E144" s="11"/>
      <c r="F144" s="18"/>
      <c r="G144" s="2"/>
      <c r="H144" s="2"/>
      <c r="I144" s="12"/>
      <c r="J144" s="18"/>
      <c r="K144" s="2"/>
      <c r="L144" s="2"/>
      <c r="M144" s="21"/>
      <c r="N144" s="2"/>
      <c r="O144" s="18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>
      <c r="A145" s="7"/>
      <c r="B145" s="8"/>
      <c r="C145" s="13"/>
      <c r="D145" s="28"/>
      <c r="E145" s="11"/>
      <c r="F145" s="18"/>
      <c r="G145" s="2"/>
      <c r="H145" s="2"/>
      <c r="I145" s="12"/>
      <c r="J145" s="2"/>
      <c r="K145" s="2"/>
      <c r="L145" s="2"/>
      <c r="M145" s="21"/>
      <c r="N145" s="2"/>
      <c r="O145" s="18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>
      <c r="A146" s="7"/>
      <c r="B146" s="8"/>
      <c r="C146" s="13"/>
      <c r="D146" s="28"/>
      <c r="E146" s="11"/>
      <c r="F146" s="18"/>
      <c r="G146" s="2"/>
      <c r="H146" s="2"/>
      <c r="I146" s="12"/>
      <c r="J146" s="2"/>
      <c r="K146" s="2"/>
      <c r="L146" s="2"/>
      <c r="M146" s="21"/>
      <c r="N146" s="12"/>
      <c r="O146" s="18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>
      <c r="A147" s="7"/>
      <c r="B147" s="8"/>
      <c r="C147" s="13"/>
      <c r="D147" s="28"/>
      <c r="E147" s="11"/>
      <c r="F147" s="18"/>
      <c r="G147" s="2"/>
      <c r="H147" s="2"/>
      <c r="I147" s="12"/>
      <c r="J147" s="2"/>
      <c r="K147" s="2"/>
      <c r="L147" s="2"/>
      <c r="M147" s="21"/>
      <c r="N147" s="12"/>
      <c r="O147" s="18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>
      <c r="A148" s="7"/>
      <c r="B148" s="8"/>
      <c r="C148" s="13"/>
      <c r="D148" s="28"/>
      <c r="E148" s="23"/>
      <c r="F148" s="18"/>
      <c r="G148" s="2"/>
      <c r="H148" s="2"/>
      <c r="I148" s="12"/>
      <c r="J148" s="2"/>
      <c r="K148" s="2"/>
      <c r="L148" s="2"/>
      <c r="M148" s="21"/>
      <c r="N148" s="12"/>
      <c r="O148" s="18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>
      <c r="A149" s="7"/>
      <c r="B149" s="8"/>
      <c r="C149" s="13"/>
      <c r="D149" s="28"/>
      <c r="E149" s="11"/>
      <c r="F149" s="18"/>
      <c r="G149" s="2"/>
      <c r="H149" s="2"/>
      <c r="I149" s="12"/>
      <c r="J149" s="2"/>
      <c r="K149" s="2"/>
      <c r="L149" s="2"/>
      <c r="M149" s="21"/>
      <c r="N149" s="12"/>
      <c r="O149" s="18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>
      <c r="A150" s="7"/>
      <c r="B150" s="8"/>
      <c r="C150" s="13"/>
      <c r="D150" s="28"/>
      <c r="E150" s="11"/>
      <c r="F150" s="18"/>
      <c r="G150" s="2"/>
      <c r="H150" s="2"/>
      <c r="I150" s="12"/>
      <c r="J150" s="2"/>
      <c r="K150" s="2"/>
      <c r="L150" s="2"/>
      <c r="M150" s="21"/>
      <c r="N150" s="12"/>
      <c r="O150" s="18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>
      <c r="A151" s="7"/>
      <c r="B151" s="8"/>
      <c r="C151" s="13"/>
      <c r="D151" s="28"/>
      <c r="E151" s="11"/>
      <c r="F151" s="18"/>
      <c r="G151" s="2"/>
      <c r="H151" s="2"/>
      <c r="I151" s="12"/>
      <c r="J151" s="2"/>
      <c r="K151" s="2"/>
      <c r="L151" s="2"/>
      <c r="M151" s="21"/>
      <c r="N151" s="12"/>
      <c r="O151" s="18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>
      <c r="A152" s="7"/>
      <c r="B152" s="8"/>
      <c r="C152" s="13"/>
      <c r="D152" s="28"/>
      <c r="E152" s="11"/>
      <c r="F152" s="18"/>
      <c r="G152" s="2"/>
      <c r="H152" s="2"/>
      <c r="I152" s="12"/>
      <c r="J152" s="2"/>
      <c r="K152" s="2"/>
      <c r="L152" s="2"/>
      <c r="M152" s="21"/>
      <c r="N152" s="12"/>
      <c r="O152" s="18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>
      <c r="A153" s="7"/>
      <c r="B153" s="8"/>
      <c r="C153" s="13"/>
      <c r="D153" s="28"/>
      <c r="E153" s="11"/>
      <c r="F153" s="18"/>
      <c r="G153" s="2"/>
      <c r="H153" s="2"/>
      <c r="I153" s="12"/>
      <c r="J153" s="2"/>
      <c r="K153" s="2"/>
      <c r="L153" s="2"/>
      <c r="M153" s="21"/>
      <c r="N153" s="12"/>
      <c r="O153" s="18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>
      <c r="A154" s="7"/>
      <c r="B154" s="8"/>
      <c r="C154" s="13"/>
      <c r="D154" s="28"/>
      <c r="E154" s="11"/>
      <c r="F154" s="18"/>
      <c r="G154" s="2"/>
      <c r="H154" s="2"/>
      <c r="I154" s="12"/>
      <c r="J154" s="2"/>
      <c r="K154" s="2"/>
      <c r="L154" s="2"/>
      <c r="M154" s="21"/>
      <c r="N154" s="12"/>
      <c r="O154" s="18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>
      <c r="A155" s="7"/>
      <c r="B155" s="8"/>
      <c r="C155" s="13"/>
      <c r="D155" s="28"/>
      <c r="E155" s="11"/>
      <c r="F155" s="18"/>
      <c r="G155" s="2"/>
      <c r="H155" s="2"/>
      <c r="I155" s="12"/>
      <c r="J155" s="2"/>
      <c r="K155" s="2"/>
      <c r="L155" s="2"/>
      <c r="M155" s="21"/>
      <c r="N155" s="12"/>
      <c r="O155" s="18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>
      <c r="A156" s="7"/>
      <c r="B156" s="8"/>
      <c r="C156" s="13"/>
      <c r="D156" s="28"/>
      <c r="E156" s="11"/>
      <c r="F156" s="18"/>
      <c r="G156" s="2"/>
      <c r="H156" s="2"/>
      <c r="I156" s="12"/>
      <c r="J156" s="2"/>
      <c r="K156" s="2"/>
      <c r="L156" s="2"/>
      <c r="M156" s="21"/>
      <c r="N156" s="12"/>
      <c r="O156" s="18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>
      <c r="A157" s="7"/>
      <c r="B157" s="8"/>
      <c r="C157" s="13"/>
      <c r="D157" s="28"/>
      <c r="E157" s="11"/>
      <c r="F157" s="18"/>
      <c r="G157" s="2"/>
      <c r="H157" s="2"/>
      <c r="I157" s="12"/>
      <c r="J157" s="2"/>
      <c r="K157" s="2"/>
      <c r="L157" s="2"/>
      <c r="M157" s="21"/>
      <c r="N157" s="12"/>
      <c r="O157" s="18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>
      <c r="A158" s="7"/>
      <c r="B158" s="8"/>
      <c r="C158" s="13"/>
      <c r="D158" s="28"/>
      <c r="E158" s="11"/>
      <c r="F158" s="18"/>
      <c r="G158" s="2"/>
      <c r="H158" s="2"/>
      <c r="I158" s="12"/>
      <c r="J158" s="2"/>
      <c r="K158" s="2"/>
      <c r="L158" s="2"/>
      <c r="M158" s="21"/>
      <c r="N158" s="12"/>
      <c r="O158" s="18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>
      <c r="A159" s="7"/>
      <c r="B159" s="8"/>
      <c r="C159" s="13"/>
      <c r="D159" s="28"/>
      <c r="E159" s="11"/>
      <c r="F159" s="18"/>
      <c r="G159" s="2"/>
      <c r="H159" s="2"/>
      <c r="I159" s="12"/>
      <c r="J159" s="2"/>
      <c r="K159" s="2"/>
      <c r="L159" s="2"/>
      <c r="M159" s="21"/>
      <c r="N159" s="12"/>
      <c r="O159" s="18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>
      <c r="A160" s="7"/>
      <c r="B160" s="8"/>
      <c r="C160" s="13"/>
      <c r="D160" s="28"/>
      <c r="E160" s="23"/>
      <c r="F160" s="18"/>
      <c r="G160" s="2"/>
      <c r="H160" s="2"/>
      <c r="I160" s="12"/>
      <c r="J160" s="2"/>
      <c r="K160" s="2"/>
      <c r="L160" s="2"/>
      <c r="M160" s="21"/>
      <c r="N160" s="2"/>
      <c r="O160" s="18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>
      <c r="A161" s="7"/>
      <c r="B161" s="8"/>
      <c r="C161" s="13"/>
      <c r="D161" s="28"/>
      <c r="E161" s="11"/>
      <c r="F161" s="18"/>
      <c r="G161" s="2"/>
      <c r="H161" s="2"/>
      <c r="I161" s="12"/>
      <c r="J161" s="2"/>
      <c r="K161" s="2"/>
      <c r="L161" s="2"/>
      <c r="M161" s="21"/>
      <c r="N161" s="2"/>
      <c r="O161" s="18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>
      <c r="A162" s="7"/>
      <c r="B162" s="8"/>
      <c r="C162" s="13"/>
      <c r="D162" s="28"/>
      <c r="E162" s="11"/>
      <c r="F162" s="18"/>
      <c r="G162" s="2"/>
      <c r="H162" s="2"/>
      <c r="I162" s="12"/>
      <c r="J162" s="2"/>
      <c r="K162" s="2"/>
      <c r="L162" s="2"/>
      <c r="M162" s="21"/>
      <c r="N162" s="2"/>
      <c r="O162" s="18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>
      <c r="A163" s="7"/>
      <c r="B163" s="8"/>
      <c r="C163" s="13"/>
      <c r="D163" s="28"/>
      <c r="E163" s="11"/>
      <c r="F163" s="18"/>
      <c r="G163" s="2"/>
      <c r="H163" s="2"/>
      <c r="I163" s="12"/>
      <c r="J163" s="2"/>
      <c r="K163" s="2"/>
      <c r="L163" s="2"/>
      <c r="M163" s="21"/>
      <c r="N163" s="2"/>
      <c r="O163" s="18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>
      <c r="A164" s="7"/>
      <c r="B164" s="8"/>
      <c r="C164" s="13"/>
      <c r="D164" s="28"/>
      <c r="E164" s="11"/>
      <c r="F164" s="18"/>
      <c r="G164" s="2"/>
      <c r="H164" s="2"/>
      <c r="I164" s="12"/>
      <c r="J164" s="2"/>
      <c r="K164" s="2"/>
      <c r="L164" s="2"/>
      <c r="M164" s="21"/>
      <c r="N164" s="2"/>
      <c r="O164" s="18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>
      <c r="A165" s="7"/>
      <c r="B165" s="8"/>
      <c r="C165" s="13"/>
      <c r="D165" s="28"/>
      <c r="E165" s="11"/>
      <c r="F165" s="18"/>
      <c r="G165" s="18"/>
      <c r="H165" s="18"/>
      <c r="I165" s="25"/>
      <c r="J165" s="18"/>
      <c r="K165" s="18"/>
      <c r="L165" s="18"/>
      <c r="M165" s="18"/>
      <c r="N165" s="18"/>
      <c r="O165" s="18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>
      <c r="A166" s="7"/>
      <c r="B166" s="8"/>
      <c r="C166" s="13"/>
      <c r="D166" s="28"/>
      <c r="E166" s="11"/>
      <c r="F166" s="18"/>
      <c r="G166" s="18"/>
      <c r="H166" s="18"/>
      <c r="I166" s="25"/>
      <c r="J166" s="18"/>
      <c r="K166" s="18"/>
      <c r="L166" s="18"/>
      <c r="M166" s="18"/>
      <c r="N166" s="18"/>
      <c r="O166" s="18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>
      <c r="A167" s="7"/>
      <c r="B167" s="8"/>
      <c r="C167" s="13"/>
      <c r="D167" s="10"/>
      <c r="E167" s="11"/>
      <c r="F167" s="2"/>
      <c r="G167" s="2"/>
      <c r="H167" s="2"/>
      <c r="I167" s="12"/>
      <c r="J167" s="2"/>
      <c r="K167" s="2"/>
      <c r="L167" s="2"/>
      <c r="M167" s="26"/>
      <c r="N167" s="18"/>
      <c r="O167" s="18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>
      <c r="A168" s="7"/>
      <c r="B168" s="8"/>
      <c r="C168" s="13"/>
      <c r="D168" s="28"/>
      <c r="E168" s="29"/>
      <c r="F168" s="18"/>
      <c r="G168" s="18"/>
      <c r="H168" s="18"/>
      <c r="I168" s="25"/>
      <c r="J168" s="18"/>
      <c r="K168" s="18"/>
      <c r="L168" s="18"/>
      <c r="M168" s="18"/>
      <c r="N168" s="18"/>
      <c r="O168" s="18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>
      <c r="A169" s="7"/>
      <c r="B169" s="8"/>
      <c r="C169" s="13"/>
      <c r="D169" s="28"/>
      <c r="E169" s="29"/>
      <c r="F169" s="18"/>
      <c r="G169" s="18"/>
      <c r="H169" s="18"/>
      <c r="I169" s="25"/>
      <c r="J169" s="18"/>
      <c r="K169" s="18"/>
      <c r="L169" s="18"/>
      <c r="M169" s="18"/>
      <c r="N169" s="18"/>
      <c r="O169" s="18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>
      <c r="A170" s="7"/>
      <c r="B170" s="8"/>
      <c r="C170" s="13"/>
      <c r="D170" s="28"/>
      <c r="E170" s="29"/>
      <c r="F170" s="18"/>
      <c r="G170" s="18"/>
      <c r="H170" s="18"/>
      <c r="I170" s="25"/>
      <c r="J170" s="18"/>
      <c r="K170" s="18"/>
      <c r="L170" s="18"/>
      <c r="M170" s="18"/>
      <c r="N170" s="18"/>
      <c r="O170" s="18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>
      <c r="A171" s="7"/>
      <c r="B171" s="8"/>
      <c r="C171" s="13"/>
      <c r="D171" s="28"/>
      <c r="E171" s="29"/>
      <c r="F171" s="18"/>
      <c r="G171" s="18"/>
      <c r="H171" s="18"/>
      <c r="I171" s="25"/>
      <c r="J171" s="18"/>
      <c r="K171" s="18"/>
      <c r="L171" s="18"/>
      <c r="M171" s="18"/>
      <c r="N171" s="18"/>
      <c r="O171" s="18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>
      <c r="A172" s="7"/>
      <c r="B172" s="8"/>
      <c r="C172" s="13"/>
      <c r="D172" s="28"/>
      <c r="E172" s="29"/>
      <c r="F172" s="18"/>
      <c r="G172" s="18"/>
      <c r="H172" s="18"/>
      <c r="I172" s="25"/>
      <c r="J172" s="18"/>
      <c r="K172" s="18"/>
      <c r="L172" s="18"/>
      <c r="M172" s="18"/>
      <c r="N172" s="18"/>
      <c r="O172" s="18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>
      <c r="A173" s="7"/>
      <c r="B173" s="8"/>
      <c r="C173" s="13"/>
      <c r="D173" s="28"/>
      <c r="E173" s="29"/>
      <c r="F173" s="18"/>
      <c r="G173" s="18"/>
      <c r="H173" s="18"/>
      <c r="I173" s="25"/>
      <c r="J173" s="18"/>
      <c r="K173" s="18"/>
      <c r="L173" s="18"/>
      <c r="M173" s="18"/>
      <c r="N173" s="18"/>
      <c r="O173" s="18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>
      <c r="A174" s="7"/>
      <c r="B174" s="8"/>
      <c r="C174" s="13"/>
      <c r="D174" s="28"/>
      <c r="E174" s="29"/>
      <c r="F174" s="18"/>
      <c r="G174" s="18"/>
      <c r="H174" s="18"/>
      <c r="I174" s="25"/>
      <c r="J174" s="18"/>
      <c r="K174" s="18"/>
      <c r="L174" s="18"/>
      <c r="M174" s="18"/>
      <c r="N174" s="18"/>
      <c r="O174" s="18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>
      <c r="A175" s="7"/>
      <c r="B175" s="8"/>
      <c r="C175" s="13"/>
      <c r="D175" s="28"/>
      <c r="E175" s="29"/>
      <c r="F175" s="18"/>
      <c r="G175" s="18"/>
      <c r="H175" s="18"/>
      <c r="I175" s="25"/>
      <c r="J175" s="18"/>
      <c r="K175" s="18"/>
      <c r="L175" s="18"/>
      <c r="M175" s="18"/>
      <c r="N175" s="18"/>
      <c r="O175" s="18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>
      <c r="A176" s="7"/>
      <c r="B176" s="8"/>
      <c r="C176" s="13"/>
      <c r="D176" s="28"/>
      <c r="E176" s="29"/>
      <c r="F176" s="18"/>
      <c r="G176" s="18"/>
      <c r="H176" s="18"/>
      <c r="I176" s="25"/>
      <c r="J176" s="18"/>
      <c r="K176" s="18"/>
      <c r="L176" s="18"/>
      <c r="M176" s="18"/>
      <c r="N176" s="18"/>
      <c r="O176" s="18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>
      <c r="A177" s="7"/>
      <c r="B177" s="8"/>
      <c r="C177" s="13"/>
      <c r="D177" s="28"/>
      <c r="E177" s="29"/>
      <c r="F177" s="18"/>
      <c r="G177" s="18"/>
      <c r="H177" s="18"/>
      <c r="I177" s="25"/>
      <c r="J177" s="18"/>
      <c r="K177" s="18"/>
      <c r="L177" s="18"/>
      <c r="M177" s="18"/>
      <c r="N177" s="18"/>
      <c r="O177" s="18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>
      <c r="A178" s="7"/>
      <c r="B178" s="8"/>
      <c r="C178" s="13"/>
      <c r="D178" s="28"/>
      <c r="E178" s="29"/>
      <c r="F178" s="18"/>
      <c r="G178" s="18"/>
      <c r="H178" s="18"/>
      <c r="I178" s="25"/>
      <c r="J178" s="18"/>
      <c r="K178" s="18"/>
      <c r="L178" s="18"/>
      <c r="M178" s="18"/>
      <c r="N178" s="18"/>
      <c r="O178" s="18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>
      <c r="A179" s="7"/>
      <c r="B179" s="8"/>
      <c r="C179" s="13"/>
      <c r="D179" s="28"/>
      <c r="E179" s="29"/>
      <c r="F179" s="18"/>
      <c r="G179" s="18"/>
      <c r="H179" s="18"/>
      <c r="I179" s="25"/>
      <c r="J179" s="18"/>
      <c r="K179" s="18"/>
      <c r="L179" s="18"/>
      <c r="M179" s="18"/>
      <c r="N179" s="18"/>
      <c r="O179" s="18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>
      <c r="A180" s="7"/>
      <c r="B180" s="8"/>
      <c r="C180" s="13"/>
      <c r="D180" s="28"/>
      <c r="E180" s="29"/>
      <c r="F180" s="18"/>
      <c r="G180" s="18"/>
      <c r="H180" s="18"/>
      <c r="I180" s="25"/>
      <c r="J180" s="18"/>
      <c r="K180" s="18"/>
      <c r="L180" s="18"/>
      <c r="M180" s="18"/>
      <c r="N180" s="18"/>
      <c r="O180" s="18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>
      <c r="A181" s="7"/>
      <c r="B181" s="8"/>
      <c r="C181" s="13"/>
      <c r="D181" s="28"/>
      <c r="E181" s="29"/>
      <c r="F181" s="18"/>
      <c r="G181" s="18"/>
      <c r="H181" s="18"/>
      <c r="I181" s="25"/>
      <c r="J181" s="18"/>
      <c r="K181" s="18"/>
      <c r="L181" s="18"/>
      <c r="M181" s="18"/>
      <c r="N181" s="18"/>
      <c r="O181" s="18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>
      <c r="A182" s="7"/>
      <c r="B182" s="8"/>
      <c r="C182" s="13"/>
      <c r="D182" s="28"/>
      <c r="E182" s="29"/>
      <c r="F182" s="18"/>
      <c r="G182" s="18"/>
      <c r="H182" s="18"/>
      <c r="I182" s="25"/>
      <c r="J182" s="18"/>
      <c r="K182" s="18"/>
      <c r="L182" s="18"/>
      <c r="M182" s="18"/>
      <c r="N182" s="18"/>
      <c r="O182" s="18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>
      <c r="A183" s="7"/>
      <c r="B183" s="8"/>
      <c r="C183" s="13"/>
      <c r="D183" s="28"/>
      <c r="E183" s="29"/>
      <c r="F183" s="18"/>
      <c r="G183" s="18"/>
      <c r="H183" s="18"/>
      <c r="I183" s="25"/>
      <c r="J183" s="18"/>
      <c r="K183" s="18"/>
      <c r="L183" s="18"/>
      <c r="M183" s="18"/>
      <c r="N183" s="18"/>
      <c r="O183" s="18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>
      <c r="A184" s="7"/>
      <c r="B184" s="8"/>
      <c r="C184" s="13"/>
      <c r="D184" s="28"/>
      <c r="E184" s="29"/>
      <c r="F184" s="18"/>
      <c r="G184" s="18"/>
      <c r="H184" s="18"/>
      <c r="I184" s="25"/>
      <c r="J184" s="18"/>
      <c r="K184" s="18"/>
      <c r="L184" s="18"/>
      <c r="M184" s="18"/>
      <c r="N184" s="18"/>
      <c r="O184" s="18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>
      <c r="A185" s="7"/>
      <c r="B185" s="8"/>
      <c r="C185" s="13"/>
      <c r="D185" s="28"/>
      <c r="E185" s="29"/>
      <c r="F185" s="18"/>
      <c r="G185" s="18"/>
      <c r="H185" s="18"/>
      <c r="I185" s="25"/>
      <c r="J185" s="18"/>
      <c r="K185" s="18"/>
      <c r="L185" s="18"/>
      <c r="M185" s="18"/>
      <c r="N185" s="18"/>
      <c r="O185" s="18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>
      <c r="A186" s="7"/>
      <c r="B186" s="8"/>
      <c r="C186" s="13"/>
      <c r="D186" s="28"/>
      <c r="E186" s="29"/>
      <c r="F186" s="18"/>
      <c r="G186" s="18"/>
      <c r="H186" s="18"/>
      <c r="I186" s="25"/>
      <c r="J186" s="18"/>
      <c r="K186" s="18"/>
      <c r="L186" s="18"/>
      <c r="M186" s="18"/>
      <c r="N186" s="18"/>
      <c r="O186" s="18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>
      <c r="A187" s="7"/>
      <c r="B187" s="8"/>
      <c r="C187" s="13"/>
      <c r="D187" s="28"/>
      <c r="E187" s="29"/>
      <c r="F187" s="18"/>
      <c r="G187" s="18"/>
      <c r="H187" s="18"/>
      <c r="I187" s="25"/>
      <c r="J187" s="18"/>
      <c r="K187" s="18"/>
      <c r="L187" s="18"/>
      <c r="M187" s="18"/>
      <c r="N187" s="18"/>
      <c r="O187" s="18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>
      <c r="A188" s="7"/>
      <c r="B188" s="8"/>
      <c r="C188" s="13"/>
      <c r="D188" s="28"/>
      <c r="E188" s="29"/>
      <c r="F188" s="18"/>
      <c r="G188" s="18"/>
      <c r="H188" s="18"/>
      <c r="I188" s="25"/>
      <c r="J188" s="18"/>
      <c r="K188" s="18"/>
      <c r="L188" s="18"/>
      <c r="M188" s="18"/>
      <c r="N188" s="18"/>
      <c r="O188" s="18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>
      <c r="A189" s="7"/>
      <c r="B189" s="8"/>
      <c r="C189" s="13"/>
      <c r="D189" s="28"/>
      <c r="E189" s="29"/>
      <c r="F189" s="18"/>
      <c r="G189" s="18"/>
      <c r="H189" s="18"/>
      <c r="I189" s="25"/>
      <c r="J189" s="18"/>
      <c r="K189" s="18"/>
      <c r="L189" s="18"/>
      <c r="M189" s="18"/>
      <c r="N189" s="18"/>
      <c r="O189" s="18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>
      <c r="A190" s="7"/>
      <c r="B190" s="8"/>
      <c r="C190" s="13"/>
      <c r="D190" s="28"/>
      <c r="E190" s="29"/>
      <c r="F190" s="18"/>
      <c r="G190" s="18"/>
      <c r="H190" s="18"/>
      <c r="I190" s="25"/>
      <c r="J190" s="18"/>
      <c r="K190" s="18"/>
      <c r="L190" s="18"/>
      <c r="M190" s="18"/>
      <c r="N190" s="18"/>
      <c r="O190" s="18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>
      <c r="A191" s="7"/>
      <c r="B191" s="8"/>
      <c r="C191" s="13"/>
      <c r="D191" s="28"/>
      <c r="E191" s="29"/>
      <c r="F191" s="18"/>
      <c r="G191" s="18"/>
      <c r="H191" s="18"/>
      <c r="I191" s="25"/>
      <c r="J191" s="18"/>
      <c r="K191" s="18"/>
      <c r="L191" s="18"/>
      <c r="M191" s="18"/>
      <c r="N191" s="18"/>
      <c r="O191" s="18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>
      <c r="A192" s="7"/>
      <c r="B192" s="8"/>
      <c r="C192" s="13"/>
      <c r="D192" s="28"/>
      <c r="E192" s="29"/>
      <c r="F192" s="18"/>
      <c r="G192" s="18"/>
      <c r="H192" s="18"/>
      <c r="I192" s="25"/>
      <c r="J192" s="18"/>
      <c r="K192" s="18"/>
      <c r="L192" s="18"/>
      <c r="M192" s="18"/>
      <c r="N192" s="18"/>
      <c r="O192" s="18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>
      <c r="A193" s="7"/>
      <c r="B193" s="8"/>
      <c r="C193" s="13"/>
      <c r="D193" s="28"/>
      <c r="E193" s="29"/>
      <c r="F193" s="18"/>
      <c r="G193" s="18"/>
      <c r="H193" s="18"/>
      <c r="I193" s="25"/>
      <c r="J193" s="18"/>
      <c r="K193" s="18"/>
      <c r="L193" s="18"/>
      <c r="M193" s="18"/>
      <c r="N193" s="18"/>
      <c r="O193" s="18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>
      <c r="A194" s="7"/>
      <c r="B194" s="8"/>
      <c r="C194" s="13"/>
      <c r="D194" s="28"/>
      <c r="E194" s="29"/>
      <c r="F194" s="18"/>
      <c r="G194" s="18"/>
      <c r="H194" s="18"/>
      <c r="I194" s="25"/>
      <c r="J194" s="18"/>
      <c r="K194" s="18"/>
      <c r="L194" s="18"/>
      <c r="M194" s="18"/>
      <c r="N194" s="18"/>
      <c r="O194" s="18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>
      <c r="A195" s="7"/>
      <c r="B195" s="8"/>
      <c r="C195" s="13"/>
      <c r="D195" s="28"/>
      <c r="E195" s="29"/>
      <c r="F195" s="18"/>
      <c r="G195" s="18"/>
      <c r="H195" s="18"/>
      <c r="I195" s="25"/>
      <c r="J195" s="18"/>
      <c r="K195" s="18"/>
      <c r="L195" s="18"/>
      <c r="M195" s="18"/>
      <c r="N195" s="18"/>
      <c r="O195" s="18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>
      <c r="A196" s="7"/>
      <c r="B196" s="8"/>
      <c r="C196" s="13"/>
      <c r="D196" s="28"/>
      <c r="E196" s="29"/>
      <c r="F196" s="18"/>
      <c r="G196" s="18"/>
      <c r="H196" s="18"/>
      <c r="I196" s="25"/>
      <c r="J196" s="18"/>
      <c r="K196" s="18"/>
      <c r="L196" s="18"/>
      <c r="M196" s="18"/>
      <c r="N196" s="18"/>
      <c r="O196" s="18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>
      <c r="A197" s="7"/>
      <c r="B197" s="8"/>
      <c r="C197" s="13"/>
      <c r="D197" s="28"/>
      <c r="E197" s="29"/>
      <c r="F197" s="18"/>
      <c r="G197" s="18"/>
      <c r="H197" s="18"/>
      <c r="I197" s="25"/>
      <c r="J197" s="18"/>
      <c r="K197" s="18"/>
      <c r="L197" s="18"/>
      <c r="M197" s="18"/>
      <c r="N197" s="18"/>
      <c r="O197" s="18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>
      <c r="A198" s="7"/>
      <c r="B198" s="8"/>
      <c r="C198" s="13"/>
      <c r="D198" s="10"/>
      <c r="E198" s="11"/>
      <c r="F198" s="2"/>
      <c r="G198" s="2"/>
      <c r="H198" s="2"/>
      <c r="I198" s="25"/>
      <c r="J198" s="2"/>
      <c r="K198" s="2"/>
      <c r="L198" s="2"/>
      <c r="M198" s="26"/>
      <c r="N198" s="18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>
      <c r="A199" s="7"/>
      <c r="B199" s="8"/>
      <c r="C199" s="13"/>
      <c r="D199" s="10"/>
      <c r="E199" s="11"/>
      <c r="F199" s="2"/>
      <c r="G199" s="2"/>
      <c r="H199" s="2"/>
      <c r="I199" s="25"/>
      <c r="J199" s="2"/>
      <c r="K199" s="2"/>
      <c r="L199" s="2"/>
      <c r="M199" s="26"/>
      <c r="N199" s="18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>
      <c r="A200" s="7"/>
      <c r="B200" s="8"/>
      <c r="C200" s="13"/>
      <c r="D200" s="10"/>
      <c r="E200" s="11"/>
      <c r="F200" s="2"/>
      <c r="G200" s="2"/>
      <c r="H200" s="2"/>
      <c r="I200" s="25"/>
      <c r="J200" s="2"/>
      <c r="K200" s="2"/>
      <c r="L200" s="2"/>
      <c r="M200" s="26"/>
      <c r="N200" s="18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>
      <c r="A201" s="7"/>
      <c r="B201" s="8"/>
      <c r="C201" s="13"/>
      <c r="D201" s="10"/>
      <c r="E201" s="11"/>
      <c r="F201" s="2"/>
      <c r="G201" s="2"/>
      <c r="H201" s="2"/>
      <c r="I201" s="25"/>
      <c r="J201" s="2"/>
      <c r="K201" s="2"/>
      <c r="L201" s="2"/>
      <c r="M201" s="26"/>
      <c r="N201" s="18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>
      <c r="A202" s="7"/>
      <c r="B202" s="8"/>
      <c r="C202" s="13"/>
      <c r="D202" s="10"/>
      <c r="E202" s="11"/>
      <c r="F202" s="2"/>
      <c r="G202" s="2"/>
      <c r="H202" s="2"/>
      <c r="I202" s="25"/>
      <c r="J202" s="2"/>
      <c r="K202" s="2"/>
      <c r="L202" s="2"/>
      <c r="M202" s="26"/>
      <c r="N202" s="18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>
      <c r="A203" s="7"/>
      <c r="B203" s="8"/>
      <c r="C203" s="13"/>
      <c r="D203" s="10"/>
      <c r="E203" s="11"/>
      <c r="F203" s="2"/>
      <c r="G203" s="2"/>
      <c r="H203" s="2"/>
      <c r="I203" s="25"/>
      <c r="J203" s="2"/>
      <c r="K203" s="2"/>
      <c r="L203" s="2"/>
      <c r="M203" s="26"/>
      <c r="N203" s="18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>
      <c r="A204" s="7"/>
      <c r="B204" s="8"/>
      <c r="C204" s="13"/>
      <c r="D204" s="10"/>
      <c r="E204" s="11"/>
      <c r="F204" s="2"/>
      <c r="G204" s="2"/>
      <c r="H204" s="2"/>
      <c r="I204" s="25"/>
      <c r="J204" s="2"/>
      <c r="K204" s="2"/>
      <c r="L204" s="2"/>
      <c r="M204" s="26"/>
      <c r="N204" s="18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>
      <c r="A205" s="7"/>
      <c r="B205" s="8"/>
      <c r="C205" s="13"/>
      <c r="D205" s="10"/>
      <c r="E205" s="11"/>
      <c r="F205" s="2"/>
      <c r="G205" s="2"/>
      <c r="H205" s="2"/>
      <c r="I205" s="25"/>
      <c r="J205" s="2"/>
      <c r="K205" s="2"/>
      <c r="L205" s="2"/>
      <c r="M205" s="26"/>
      <c r="N205" s="18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>
      <c r="A206" s="7"/>
      <c r="B206" s="8"/>
      <c r="C206" s="13"/>
      <c r="D206" s="28"/>
      <c r="E206" s="29"/>
      <c r="F206" s="18"/>
      <c r="G206" s="18"/>
      <c r="H206" s="18"/>
      <c r="I206" s="25"/>
      <c r="J206" s="18"/>
      <c r="K206" s="18"/>
      <c r="L206" s="18"/>
      <c r="M206" s="18"/>
      <c r="N206" s="18"/>
      <c r="O206" s="18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>
      <c r="A207" s="7"/>
      <c r="B207" s="8"/>
      <c r="C207" s="13"/>
      <c r="D207" s="28"/>
      <c r="E207" s="29"/>
      <c r="F207" s="18"/>
      <c r="G207" s="18"/>
      <c r="H207" s="18"/>
      <c r="I207" s="25"/>
      <c r="J207" s="18"/>
      <c r="K207" s="18"/>
      <c r="L207" s="18"/>
      <c r="M207" s="18"/>
      <c r="N207" s="18"/>
      <c r="O207" s="18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>
      <c r="A208" s="7"/>
      <c r="B208" s="8"/>
      <c r="C208" s="13"/>
      <c r="D208" s="28"/>
      <c r="E208" s="29"/>
      <c r="F208" s="18"/>
      <c r="G208" s="18"/>
      <c r="H208" s="18"/>
      <c r="I208" s="25"/>
      <c r="J208" s="18"/>
      <c r="K208" s="18"/>
      <c r="L208" s="18"/>
      <c r="M208" s="18"/>
      <c r="N208" s="18"/>
      <c r="O208" s="18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>
      <c r="A209" s="7"/>
      <c r="B209" s="8"/>
      <c r="C209" s="13"/>
      <c r="D209" s="28"/>
      <c r="E209" s="29"/>
      <c r="F209" s="18"/>
      <c r="G209" s="18"/>
      <c r="H209" s="18"/>
      <c r="I209" s="25"/>
      <c r="J209" s="18"/>
      <c r="K209" s="18"/>
      <c r="L209" s="18"/>
      <c r="M209" s="18"/>
      <c r="N209" s="18"/>
      <c r="O209" s="18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>
      <c r="A210" s="7"/>
      <c r="B210" s="8"/>
      <c r="C210" s="13"/>
      <c r="D210" s="28"/>
      <c r="E210" s="29"/>
      <c r="F210" s="18"/>
      <c r="G210" s="18"/>
      <c r="H210" s="18"/>
      <c r="I210" s="25"/>
      <c r="J210" s="18"/>
      <c r="K210" s="18"/>
      <c r="L210" s="18"/>
      <c r="M210" s="18"/>
      <c r="N210" s="18"/>
      <c r="O210" s="18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>
      <c r="A211" s="7"/>
      <c r="B211" s="8"/>
      <c r="C211" s="13"/>
      <c r="D211" s="28"/>
      <c r="E211" s="29"/>
      <c r="F211" s="18"/>
      <c r="G211" s="18"/>
      <c r="H211" s="18"/>
      <c r="I211" s="25"/>
      <c r="J211" s="18"/>
      <c r="K211" s="18"/>
      <c r="L211" s="18"/>
      <c r="M211" s="18"/>
      <c r="N211" s="18"/>
      <c r="O211" s="18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>
      <c r="A212" s="7"/>
      <c r="B212" s="8"/>
      <c r="C212" s="13"/>
      <c r="D212" s="28"/>
      <c r="E212" s="29"/>
      <c r="F212" s="18"/>
      <c r="G212" s="18"/>
      <c r="H212" s="18"/>
      <c r="I212" s="25"/>
      <c r="J212" s="18"/>
      <c r="K212" s="18"/>
      <c r="L212" s="18"/>
      <c r="M212" s="18"/>
      <c r="N212" s="18"/>
      <c r="O212" s="18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>
      <c r="A213" s="7"/>
      <c r="B213" s="8"/>
      <c r="C213" s="13"/>
      <c r="D213" s="28"/>
      <c r="E213" s="29"/>
      <c r="F213" s="18"/>
      <c r="G213" s="18"/>
      <c r="H213" s="18"/>
      <c r="I213" s="25"/>
      <c r="J213" s="18"/>
      <c r="K213" s="18"/>
      <c r="L213" s="18"/>
      <c r="M213" s="18"/>
      <c r="N213" s="18"/>
      <c r="O213" s="18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>
      <c r="A214" s="7"/>
      <c r="B214" s="8"/>
      <c r="C214" s="13"/>
      <c r="D214" s="28"/>
      <c r="E214" s="29"/>
      <c r="F214" s="18"/>
      <c r="G214" s="18"/>
      <c r="H214" s="18"/>
      <c r="I214" s="25"/>
      <c r="J214" s="18"/>
      <c r="K214" s="18"/>
      <c r="L214" s="18"/>
      <c r="M214" s="18"/>
      <c r="N214" s="18"/>
      <c r="O214" s="18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>
      <c r="A215" s="7"/>
      <c r="B215" s="8"/>
      <c r="C215" s="13"/>
      <c r="D215" s="28"/>
      <c r="E215" s="29"/>
      <c r="F215" s="18"/>
      <c r="G215" s="18"/>
      <c r="H215" s="18"/>
      <c r="I215" s="25"/>
      <c r="J215" s="18"/>
      <c r="K215" s="18"/>
      <c r="L215" s="18"/>
      <c r="M215" s="18"/>
      <c r="N215" s="18"/>
      <c r="O215" s="18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>
      <c r="A216" s="7"/>
      <c r="B216" s="8"/>
      <c r="C216" s="13"/>
      <c r="D216" s="28"/>
      <c r="E216" s="29"/>
      <c r="F216" s="18"/>
      <c r="G216" s="18"/>
      <c r="H216" s="18"/>
      <c r="I216" s="25"/>
      <c r="J216" s="18"/>
      <c r="K216" s="18"/>
      <c r="L216" s="18"/>
      <c r="M216" s="18"/>
      <c r="N216" s="18"/>
      <c r="O216" s="18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>
      <c r="A217" s="7"/>
      <c r="B217" s="8"/>
      <c r="C217" s="13"/>
      <c r="D217" s="28"/>
      <c r="E217" s="29"/>
      <c r="F217" s="18"/>
      <c r="G217" s="18"/>
      <c r="H217" s="18"/>
      <c r="I217" s="25"/>
      <c r="J217" s="18"/>
      <c r="K217" s="18"/>
      <c r="L217" s="18"/>
      <c r="M217" s="18"/>
      <c r="N217" s="18"/>
      <c r="O217" s="18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>
      <c r="A218" s="7"/>
      <c r="B218" s="8"/>
      <c r="C218" s="13"/>
      <c r="D218" s="28"/>
      <c r="E218" s="29"/>
      <c r="F218" s="18"/>
      <c r="G218" s="18"/>
      <c r="H218" s="18"/>
      <c r="I218" s="25"/>
      <c r="J218" s="18"/>
      <c r="K218" s="18"/>
      <c r="L218" s="18"/>
      <c r="M218" s="18"/>
      <c r="N218" s="18"/>
      <c r="O218" s="18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>
      <c r="A219" s="7"/>
      <c r="B219" s="8"/>
      <c r="C219" s="13"/>
      <c r="D219" s="28"/>
      <c r="E219" s="29"/>
      <c r="F219" s="18"/>
      <c r="G219" s="18"/>
      <c r="H219" s="18"/>
      <c r="I219" s="25"/>
      <c r="J219" s="18"/>
      <c r="K219" s="18"/>
      <c r="L219" s="18"/>
      <c r="M219" s="18"/>
      <c r="N219" s="18"/>
      <c r="O219" s="18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>
      <c r="A220" s="7"/>
      <c r="B220" s="8"/>
      <c r="C220" s="13"/>
      <c r="D220" s="28"/>
      <c r="E220" s="29"/>
      <c r="F220" s="18"/>
      <c r="G220" s="18"/>
      <c r="H220" s="18"/>
      <c r="I220" s="25"/>
      <c r="J220" s="18"/>
      <c r="K220" s="18"/>
      <c r="L220" s="18"/>
      <c r="M220" s="18"/>
      <c r="N220" s="18"/>
      <c r="O220" s="18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>
      <c r="A221" s="7"/>
      <c r="B221" s="8"/>
      <c r="C221" s="13"/>
      <c r="D221" s="28"/>
      <c r="E221" s="29"/>
      <c r="F221" s="18"/>
      <c r="G221" s="18"/>
      <c r="H221" s="18"/>
      <c r="I221" s="25"/>
      <c r="J221" s="18"/>
      <c r="K221" s="18"/>
      <c r="L221" s="18"/>
      <c r="M221" s="18"/>
      <c r="N221" s="18"/>
      <c r="O221" s="18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>
      <c r="A222" s="7"/>
      <c r="B222" s="8"/>
      <c r="C222" s="13"/>
      <c r="D222" s="28"/>
      <c r="E222" s="29"/>
      <c r="F222" s="18"/>
      <c r="G222" s="18"/>
      <c r="H222" s="18"/>
      <c r="I222" s="25"/>
      <c r="J222" s="18"/>
      <c r="K222" s="18"/>
      <c r="L222" s="18"/>
      <c r="M222" s="18"/>
      <c r="N222" s="18"/>
      <c r="O222" s="18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>
      <c r="A223" s="7"/>
      <c r="B223" s="8"/>
      <c r="C223" s="13"/>
      <c r="D223" s="28"/>
      <c r="E223" s="29"/>
      <c r="F223" s="18"/>
      <c r="G223" s="18"/>
      <c r="H223" s="18"/>
      <c r="I223" s="25"/>
      <c r="J223" s="18"/>
      <c r="K223" s="18"/>
      <c r="L223" s="18"/>
      <c r="M223" s="18"/>
      <c r="N223" s="18"/>
      <c r="O223" s="18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>
      <c r="A224" s="7"/>
      <c r="B224" s="8"/>
      <c r="C224" s="13"/>
      <c r="D224" s="28"/>
      <c r="E224" s="29"/>
      <c r="F224" s="18"/>
      <c r="G224" s="18"/>
      <c r="H224" s="18"/>
      <c r="I224" s="25"/>
      <c r="J224" s="18"/>
      <c r="K224" s="18"/>
      <c r="L224" s="18"/>
      <c r="M224" s="18"/>
      <c r="N224" s="18"/>
      <c r="O224" s="18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>
      <c r="A225" s="7"/>
      <c r="B225" s="8"/>
      <c r="C225" s="13"/>
      <c r="D225" s="28"/>
      <c r="E225" s="29"/>
      <c r="F225" s="18"/>
      <c r="G225" s="18"/>
      <c r="H225" s="18"/>
      <c r="I225" s="25"/>
      <c r="J225" s="18"/>
      <c r="K225" s="18"/>
      <c r="L225" s="18"/>
      <c r="M225" s="18"/>
      <c r="N225" s="18"/>
      <c r="O225" s="18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>
      <c r="A226" s="7"/>
      <c r="B226" s="8"/>
      <c r="C226" s="13"/>
      <c r="D226" s="28"/>
      <c r="E226" s="29"/>
      <c r="F226" s="18"/>
      <c r="G226" s="18"/>
      <c r="H226" s="18"/>
      <c r="I226" s="25"/>
      <c r="J226" s="18"/>
      <c r="K226" s="18"/>
      <c r="L226" s="18"/>
      <c r="M226" s="18"/>
      <c r="N226" s="18"/>
      <c r="O226" s="18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>
      <c r="A227" s="7"/>
      <c r="B227" s="8"/>
      <c r="C227" s="13"/>
      <c r="D227" s="28"/>
      <c r="E227" s="29"/>
      <c r="F227" s="18"/>
      <c r="G227" s="18"/>
      <c r="H227" s="18"/>
      <c r="I227" s="25"/>
      <c r="J227" s="18"/>
      <c r="K227" s="18"/>
      <c r="L227" s="18"/>
      <c r="M227" s="18"/>
      <c r="N227" s="18"/>
      <c r="O227" s="18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>
      <c r="A228" s="7"/>
      <c r="B228" s="8"/>
      <c r="C228" s="13"/>
      <c r="D228" s="28"/>
      <c r="E228" s="29"/>
      <c r="F228" s="18"/>
      <c r="G228" s="18"/>
      <c r="H228" s="18"/>
      <c r="I228" s="25"/>
      <c r="J228" s="18"/>
      <c r="K228" s="18"/>
      <c r="L228" s="18"/>
      <c r="M228" s="18"/>
      <c r="N228" s="18"/>
      <c r="O228" s="18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>
      <c r="A229" s="7"/>
      <c r="B229" s="8"/>
      <c r="C229" s="13"/>
      <c r="D229" s="28"/>
      <c r="E229" s="29"/>
      <c r="F229" s="18"/>
      <c r="G229" s="18"/>
      <c r="H229" s="18"/>
      <c r="I229" s="25"/>
      <c r="J229" s="18"/>
      <c r="K229" s="18"/>
      <c r="L229" s="18"/>
      <c r="M229" s="18"/>
      <c r="N229" s="18"/>
      <c r="O229" s="18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>
      <c r="A230" s="7"/>
      <c r="B230" s="8"/>
      <c r="C230" s="13"/>
      <c r="D230" s="28"/>
      <c r="E230" s="29"/>
      <c r="F230" s="18"/>
      <c r="G230" s="18"/>
      <c r="H230" s="18"/>
      <c r="I230" s="25"/>
      <c r="J230" s="18"/>
      <c r="K230" s="18"/>
      <c r="L230" s="18"/>
      <c r="M230" s="18"/>
      <c r="N230" s="18"/>
      <c r="O230" s="18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>
      <c r="A231" s="7"/>
      <c r="B231" s="8"/>
      <c r="C231" s="13"/>
      <c r="D231" s="28"/>
      <c r="E231" s="29"/>
      <c r="F231" s="18"/>
      <c r="G231" s="18"/>
      <c r="H231" s="18"/>
      <c r="I231" s="25"/>
      <c r="J231" s="18"/>
      <c r="K231" s="18"/>
      <c r="L231" s="18"/>
      <c r="M231" s="18"/>
      <c r="N231" s="18"/>
      <c r="O231" s="18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>
      <c r="A232" s="7"/>
      <c r="B232" s="8"/>
      <c r="C232" s="13"/>
      <c r="D232" s="28"/>
      <c r="E232" s="29"/>
      <c r="F232" s="18"/>
      <c r="G232" s="18"/>
      <c r="H232" s="18"/>
      <c r="I232" s="25"/>
      <c r="J232" s="18"/>
      <c r="K232" s="18"/>
      <c r="L232" s="18"/>
      <c r="M232" s="18"/>
      <c r="N232" s="18"/>
      <c r="O232" s="18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>
      <c r="A233" s="7"/>
      <c r="B233" s="8"/>
      <c r="C233" s="13"/>
      <c r="D233" s="28"/>
      <c r="E233" s="29"/>
      <c r="F233" s="18"/>
      <c r="G233" s="18"/>
      <c r="H233" s="18"/>
      <c r="I233" s="25"/>
      <c r="J233" s="18"/>
      <c r="K233" s="18"/>
      <c r="L233" s="18"/>
      <c r="M233" s="18"/>
      <c r="N233" s="18"/>
      <c r="O233" s="18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>
      <c r="A234" s="7"/>
      <c r="B234" s="8"/>
      <c r="C234" s="13"/>
      <c r="D234" s="28"/>
      <c r="E234" s="29"/>
      <c r="F234" s="18"/>
      <c r="G234" s="18"/>
      <c r="H234" s="18"/>
      <c r="I234" s="25"/>
      <c r="J234" s="18"/>
      <c r="K234" s="18"/>
      <c r="L234" s="18"/>
      <c r="M234" s="18"/>
      <c r="N234" s="18"/>
      <c r="O234" s="18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>
      <c r="A235" s="7"/>
      <c r="B235" s="8"/>
      <c r="C235" s="13"/>
      <c r="D235" s="28"/>
      <c r="E235" s="29"/>
      <c r="F235" s="18"/>
      <c r="G235" s="18"/>
      <c r="H235" s="18"/>
      <c r="I235" s="25"/>
      <c r="J235" s="18"/>
      <c r="K235" s="18"/>
      <c r="L235" s="18"/>
      <c r="M235" s="18"/>
      <c r="N235" s="18"/>
      <c r="O235" s="18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>
      <c r="A236" s="7"/>
      <c r="B236" s="8"/>
      <c r="C236" s="13"/>
      <c r="D236" s="28"/>
      <c r="E236" s="29"/>
      <c r="F236" s="18"/>
      <c r="G236" s="18"/>
      <c r="H236" s="18"/>
      <c r="I236" s="25"/>
      <c r="J236" s="18"/>
      <c r="K236" s="18"/>
      <c r="L236" s="18"/>
      <c r="M236" s="18"/>
      <c r="N236" s="18"/>
      <c r="O236" s="18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>
      <c r="A237" s="7"/>
      <c r="B237" s="8"/>
      <c r="C237" s="13"/>
      <c r="D237" s="28"/>
      <c r="E237" s="29"/>
      <c r="F237" s="18"/>
      <c r="G237" s="18"/>
      <c r="H237" s="18"/>
      <c r="I237" s="25"/>
      <c r="J237" s="18"/>
      <c r="K237" s="18"/>
      <c r="L237" s="18"/>
      <c r="M237" s="18"/>
      <c r="N237" s="18"/>
      <c r="O237" s="18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>
      <c r="A238" s="7"/>
      <c r="B238" s="8"/>
      <c r="C238" s="13"/>
      <c r="D238" s="28"/>
      <c r="E238" s="29"/>
      <c r="F238" s="18"/>
      <c r="G238" s="18"/>
      <c r="H238" s="18"/>
      <c r="I238" s="25"/>
      <c r="J238" s="18"/>
      <c r="K238" s="18"/>
      <c r="L238" s="18"/>
      <c r="M238" s="18"/>
      <c r="N238" s="18"/>
      <c r="O238" s="18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>
      <c r="A239" s="7"/>
      <c r="B239" s="8"/>
      <c r="C239" s="13"/>
      <c r="D239" s="28"/>
      <c r="E239" s="29"/>
      <c r="F239" s="18"/>
      <c r="G239" s="18"/>
      <c r="H239" s="18"/>
      <c r="I239" s="25"/>
      <c r="J239" s="18"/>
      <c r="K239" s="18"/>
      <c r="L239" s="18"/>
      <c r="M239" s="18"/>
      <c r="N239" s="18"/>
      <c r="O239" s="18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>
      <c r="A240" s="7"/>
      <c r="B240" s="8"/>
      <c r="C240" s="13"/>
      <c r="D240" s="28"/>
      <c r="E240" s="29"/>
      <c r="F240" s="18"/>
      <c r="G240" s="18"/>
      <c r="H240" s="18"/>
      <c r="I240" s="25"/>
      <c r="J240" s="18"/>
      <c r="K240" s="18"/>
      <c r="L240" s="18"/>
      <c r="M240" s="18"/>
      <c r="N240" s="18"/>
      <c r="O240" s="18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>
      <c r="A241" s="7"/>
      <c r="B241" s="8"/>
      <c r="C241" s="13"/>
      <c r="D241" s="28"/>
      <c r="E241" s="29"/>
      <c r="F241" s="18"/>
      <c r="G241" s="18"/>
      <c r="H241" s="18"/>
      <c r="I241" s="25"/>
      <c r="J241" s="18"/>
      <c r="K241" s="18"/>
      <c r="L241" s="18"/>
      <c r="M241" s="18"/>
      <c r="N241" s="18"/>
      <c r="O241" s="18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>
      <c r="A242" s="7"/>
      <c r="B242" s="8"/>
      <c r="C242" s="13"/>
      <c r="D242" s="28"/>
      <c r="E242" s="29"/>
      <c r="F242" s="18"/>
      <c r="G242" s="18"/>
      <c r="H242" s="18"/>
      <c r="I242" s="25"/>
      <c r="J242" s="18"/>
      <c r="K242" s="18"/>
      <c r="L242" s="18"/>
      <c r="M242" s="18"/>
      <c r="N242" s="18"/>
      <c r="O242" s="18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>
      <c r="A243" s="7"/>
      <c r="B243" s="8"/>
      <c r="C243" s="13"/>
      <c r="D243" s="28"/>
      <c r="E243" s="29"/>
      <c r="F243" s="18"/>
      <c r="G243" s="18"/>
      <c r="H243" s="18"/>
      <c r="I243" s="25"/>
      <c r="J243" s="18"/>
      <c r="K243" s="18"/>
      <c r="L243" s="18"/>
      <c r="M243" s="18"/>
      <c r="N243" s="18"/>
      <c r="O243" s="18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>
      <c r="A244" s="7"/>
      <c r="B244" s="8"/>
      <c r="C244" s="13"/>
      <c r="D244" s="28"/>
      <c r="E244" s="29"/>
      <c r="F244" s="18"/>
      <c r="G244" s="18"/>
      <c r="H244" s="18"/>
      <c r="I244" s="25"/>
      <c r="J244" s="18"/>
      <c r="K244" s="18"/>
      <c r="L244" s="18"/>
      <c r="M244" s="18"/>
      <c r="N244" s="18"/>
      <c r="O244" s="18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>
      <c r="A245" s="7"/>
      <c r="B245" s="8"/>
      <c r="C245" s="13"/>
      <c r="D245" s="28"/>
      <c r="E245" s="29"/>
      <c r="F245" s="18"/>
      <c r="G245" s="18"/>
      <c r="H245" s="18"/>
      <c r="I245" s="25"/>
      <c r="J245" s="18"/>
      <c r="K245" s="18"/>
      <c r="L245" s="18"/>
      <c r="M245" s="18"/>
      <c r="N245" s="18"/>
      <c r="O245" s="18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>
      <c r="A246" s="7"/>
      <c r="B246" s="8"/>
      <c r="C246" s="13"/>
      <c r="D246" s="28"/>
      <c r="E246" s="29"/>
      <c r="F246" s="18"/>
      <c r="G246" s="18"/>
      <c r="H246" s="18"/>
      <c r="I246" s="25"/>
      <c r="J246" s="18"/>
      <c r="K246" s="18"/>
      <c r="L246" s="18"/>
      <c r="M246" s="18"/>
      <c r="N246" s="18"/>
      <c r="O246" s="18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>
      <c r="A247" s="7"/>
      <c r="B247" s="8"/>
      <c r="C247" s="13"/>
      <c r="D247" s="28"/>
      <c r="E247" s="29"/>
      <c r="F247" s="18"/>
      <c r="G247" s="18"/>
      <c r="H247" s="18"/>
      <c r="I247" s="25"/>
      <c r="J247" s="18"/>
      <c r="K247" s="18"/>
      <c r="L247" s="18"/>
      <c r="M247" s="18"/>
      <c r="N247" s="18"/>
      <c r="O247" s="18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>
      <c r="A248" s="7"/>
      <c r="B248" s="8"/>
      <c r="C248" s="13"/>
      <c r="D248" s="28"/>
      <c r="E248" s="29"/>
      <c r="F248" s="18"/>
      <c r="G248" s="18"/>
      <c r="H248" s="18"/>
      <c r="I248" s="25"/>
      <c r="J248" s="18"/>
      <c r="K248" s="18"/>
      <c r="L248" s="18"/>
      <c r="M248" s="18"/>
      <c r="N248" s="18"/>
      <c r="O248" s="18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>
      <c r="A249" s="1"/>
      <c r="B249" s="1"/>
      <c r="C249" s="18"/>
      <c r="D249" s="47"/>
      <c r="E249" s="18"/>
      <c r="F249" s="18"/>
      <c r="G249" s="18"/>
      <c r="H249" s="18"/>
      <c r="I249" s="25"/>
      <c r="J249" s="18"/>
      <c r="K249" s="18"/>
      <c r="L249" s="18"/>
      <c r="M249" s="18"/>
      <c r="N249" s="18"/>
      <c r="O249" s="18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>
      <c r="A250" s="1"/>
      <c r="B250" s="1"/>
      <c r="C250" s="18"/>
      <c r="D250" s="47"/>
      <c r="E250" s="18"/>
      <c r="F250" s="18"/>
      <c r="G250" s="18"/>
      <c r="H250" s="18"/>
      <c r="I250" s="25"/>
      <c r="J250" s="18"/>
      <c r="K250" s="18"/>
      <c r="L250" s="18"/>
      <c r="M250" s="18"/>
      <c r="N250" s="18"/>
      <c r="O250" s="18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>
      <c r="A251" s="1"/>
      <c r="B251" s="1"/>
      <c r="C251" s="18"/>
      <c r="D251" s="47"/>
      <c r="E251" s="18"/>
      <c r="F251" s="18"/>
      <c r="G251" s="18"/>
      <c r="H251" s="18"/>
      <c r="I251" s="25"/>
      <c r="J251" s="18"/>
      <c r="K251" s="18"/>
      <c r="L251" s="18"/>
      <c r="M251" s="18"/>
      <c r="N251" s="18"/>
      <c r="O251" s="18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>
      <c r="A252" s="1"/>
      <c r="B252" s="1"/>
      <c r="C252" s="18"/>
      <c r="D252" s="47"/>
      <c r="E252" s="18"/>
      <c r="F252" s="18"/>
      <c r="G252" s="18"/>
      <c r="H252" s="18"/>
      <c r="I252" s="25"/>
      <c r="J252" s="18"/>
      <c r="K252" s="18"/>
      <c r="L252" s="18"/>
      <c r="M252" s="18"/>
      <c r="N252" s="18"/>
      <c r="O252" s="18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>
      <c r="A253" s="1"/>
      <c r="B253" s="1"/>
      <c r="C253" s="18"/>
      <c r="D253" s="47"/>
      <c r="E253" s="18"/>
      <c r="F253" s="18"/>
      <c r="G253" s="18"/>
      <c r="H253" s="18"/>
      <c r="I253" s="25"/>
      <c r="J253" s="18"/>
      <c r="K253" s="18"/>
      <c r="L253" s="18"/>
      <c r="M253" s="18"/>
      <c r="N253" s="18"/>
      <c r="O253" s="18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>
      <c r="A254" s="1"/>
      <c r="B254" s="1"/>
      <c r="C254" s="18"/>
      <c r="D254" s="47"/>
      <c r="E254" s="18"/>
      <c r="F254" s="18"/>
      <c r="G254" s="18"/>
      <c r="H254" s="18"/>
      <c r="I254" s="25"/>
      <c r="J254" s="18"/>
      <c r="K254" s="18"/>
      <c r="L254" s="18"/>
      <c r="M254" s="18"/>
      <c r="N254" s="18"/>
      <c r="O254" s="18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>
      <c r="A255" s="1"/>
      <c r="B255" s="1"/>
      <c r="C255" s="18"/>
      <c r="D255" s="47"/>
      <c r="E255" s="18"/>
      <c r="F255" s="18"/>
      <c r="G255" s="18"/>
      <c r="H255" s="18"/>
      <c r="I255" s="25"/>
      <c r="J255" s="18"/>
      <c r="K255" s="18"/>
      <c r="L255" s="18"/>
      <c r="M255" s="18"/>
      <c r="N255" s="18"/>
      <c r="O255" s="18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>
      <c r="A256" s="1"/>
      <c r="B256" s="1"/>
      <c r="C256" s="18"/>
      <c r="D256" s="47"/>
      <c r="E256" s="18"/>
      <c r="F256" s="18"/>
      <c r="G256" s="18"/>
      <c r="H256" s="18"/>
      <c r="I256" s="25"/>
      <c r="J256" s="18"/>
      <c r="K256" s="18"/>
      <c r="L256" s="18"/>
      <c r="M256" s="18"/>
      <c r="N256" s="18"/>
      <c r="O256" s="18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>
      <c r="A257" s="1"/>
      <c r="B257" s="1"/>
      <c r="C257" s="18"/>
      <c r="D257" s="47"/>
      <c r="E257" s="18"/>
      <c r="F257" s="18"/>
      <c r="G257" s="18"/>
      <c r="H257" s="18"/>
      <c r="I257" s="25"/>
      <c r="J257" s="18"/>
      <c r="K257" s="18"/>
      <c r="L257" s="18"/>
      <c r="M257" s="18"/>
      <c r="N257" s="18"/>
      <c r="O257" s="18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>
      <c r="A258" s="1"/>
      <c r="B258" s="1"/>
      <c r="C258" s="18"/>
      <c r="D258" s="47"/>
      <c r="E258" s="18"/>
      <c r="F258" s="18"/>
      <c r="G258" s="18"/>
      <c r="H258" s="18"/>
      <c r="I258" s="25"/>
      <c r="J258" s="18"/>
      <c r="K258" s="18"/>
      <c r="L258" s="18"/>
      <c r="M258" s="18"/>
      <c r="N258" s="18"/>
      <c r="O258" s="18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>
      <c r="A259" s="1"/>
      <c r="B259" s="1"/>
      <c r="C259" s="18"/>
      <c r="D259" s="47"/>
      <c r="E259" s="18"/>
      <c r="F259" s="18"/>
      <c r="G259" s="18"/>
      <c r="H259" s="18"/>
      <c r="I259" s="25"/>
      <c r="J259" s="18"/>
      <c r="K259" s="18"/>
      <c r="L259" s="18"/>
      <c r="M259" s="18"/>
      <c r="N259" s="18"/>
      <c r="O259" s="18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>
      <c r="A260" s="1"/>
      <c r="B260" s="1"/>
      <c r="C260" s="18"/>
      <c r="D260" s="47"/>
      <c r="E260" s="18"/>
      <c r="F260" s="18"/>
      <c r="G260" s="18"/>
      <c r="H260" s="18"/>
      <c r="I260" s="25"/>
      <c r="J260" s="18"/>
      <c r="K260" s="18"/>
      <c r="L260" s="18"/>
      <c r="M260" s="18"/>
      <c r="N260" s="18"/>
      <c r="O260" s="18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>
      <c r="A261" s="1"/>
      <c r="B261" s="1"/>
      <c r="C261" s="18"/>
      <c r="D261" s="47"/>
      <c r="E261" s="18"/>
      <c r="F261" s="18"/>
      <c r="G261" s="18"/>
      <c r="H261" s="18"/>
      <c r="I261" s="25"/>
      <c r="J261" s="18"/>
      <c r="K261" s="18"/>
      <c r="L261" s="18"/>
      <c r="M261" s="18"/>
      <c r="N261" s="18"/>
      <c r="O261" s="18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>
      <c r="A262" s="1"/>
      <c r="B262" s="1"/>
      <c r="C262" s="18"/>
      <c r="D262" s="47"/>
      <c r="E262" s="18"/>
      <c r="F262" s="18"/>
      <c r="G262" s="18"/>
      <c r="H262" s="18"/>
      <c r="I262" s="25"/>
      <c r="J262" s="18"/>
      <c r="K262" s="18"/>
      <c r="L262" s="18"/>
      <c r="M262" s="18"/>
      <c r="N262" s="18"/>
      <c r="O262" s="18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>
      <c r="A263" s="1"/>
      <c r="B263" s="1"/>
      <c r="C263" s="18"/>
      <c r="D263" s="47"/>
      <c r="E263" s="18"/>
      <c r="F263" s="18"/>
      <c r="G263" s="18"/>
      <c r="H263" s="18"/>
      <c r="I263" s="25"/>
      <c r="J263" s="18"/>
      <c r="K263" s="18"/>
      <c r="L263" s="18"/>
      <c r="M263" s="18"/>
      <c r="N263" s="18"/>
      <c r="O263" s="18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>
      <c r="A264" s="1"/>
      <c r="B264" s="1"/>
      <c r="C264" s="18"/>
      <c r="D264" s="47"/>
      <c r="E264" s="18"/>
      <c r="F264" s="18"/>
      <c r="G264" s="18"/>
      <c r="H264" s="18"/>
      <c r="I264" s="25"/>
      <c r="J264" s="18"/>
      <c r="K264" s="18"/>
      <c r="L264" s="18"/>
      <c r="M264" s="18"/>
      <c r="N264" s="18"/>
      <c r="O264" s="18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>
      <c r="A265" s="1"/>
      <c r="B265" s="1"/>
      <c r="C265" s="18"/>
      <c r="D265" s="47"/>
      <c r="E265" s="18"/>
      <c r="F265" s="18"/>
      <c r="G265" s="18"/>
      <c r="H265" s="18"/>
      <c r="I265" s="25"/>
      <c r="J265" s="18"/>
      <c r="K265" s="18"/>
      <c r="L265" s="18"/>
      <c r="M265" s="18"/>
      <c r="N265" s="18"/>
      <c r="O265" s="18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>
      <c r="A266" s="1"/>
      <c r="B266" s="1"/>
      <c r="C266" s="18"/>
      <c r="D266" s="47"/>
      <c r="E266" s="18"/>
      <c r="F266" s="18"/>
      <c r="G266" s="18"/>
      <c r="H266" s="18"/>
      <c r="I266" s="25"/>
      <c r="J266" s="18"/>
      <c r="K266" s="18"/>
      <c r="L266" s="18"/>
      <c r="M266" s="18"/>
      <c r="N266" s="18"/>
      <c r="O266" s="18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>
      <c r="A267" s="1"/>
      <c r="B267" s="1"/>
      <c r="C267" s="18"/>
      <c r="D267" s="47"/>
      <c r="E267" s="18"/>
      <c r="F267" s="18"/>
      <c r="G267" s="18"/>
      <c r="H267" s="18"/>
      <c r="I267" s="25"/>
      <c r="J267" s="18"/>
      <c r="K267" s="18"/>
      <c r="L267" s="18"/>
      <c r="M267" s="18"/>
      <c r="N267" s="18"/>
      <c r="O267" s="18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>
      <c r="A268" s="1"/>
      <c r="B268" s="1"/>
      <c r="C268" s="18"/>
      <c r="D268" s="47"/>
      <c r="E268" s="18"/>
      <c r="F268" s="18"/>
      <c r="G268" s="18"/>
      <c r="H268" s="18"/>
      <c r="I268" s="25"/>
      <c r="J268" s="18"/>
      <c r="K268" s="18"/>
      <c r="L268" s="18"/>
      <c r="M268" s="18"/>
      <c r="N268" s="18"/>
      <c r="O268" s="18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>
      <c r="A269" s="1"/>
      <c r="B269" s="1"/>
      <c r="C269" s="18"/>
      <c r="D269" s="47"/>
      <c r="E269" s="18"/>
      <c r="F269" s="18"/>
      <c r="G269" s="18"/>
      <c r="H269" s="18"/>
      <c r="I269" s="25"/>
      <c r="J269" s="18"/>
      <c r="K269" s="18"/>
      <c r="L269" s="18"/>
      <c r="M269" s="18"/>
      <c r="N269" s="18"/>
      <c r="O269" s="18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>
      <c r="A270" s="1"/>
      <c r="B270" s="1"/>
      <c r="C270" s="18"/>
      <c r="D270" s="47"/>
      <c r="E270" s="18"/>
      <c r="F270" s="18"/>
      <c r="G270" s="18"/>
      <c r="H270" s="18"/>
      <c r="I270" s="25"/>
      <c r="J270" s="18"/>
      <c r="K270" s="18"/>
      <c r="L270" s="18"/>
      <c r="M270" s="18"/>
      <c r="N270" s="18"/>
      <c r="O270" s="18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>
      <c r="A271" s="1"/>
      <c r="B271" s="1"/>
      <c r="C271" s="18"/>
      <c r="D271" s="47"/>
      <c r="E271" s="18"/>
      <c r="F271" s="18"/>
      <c r="G271" s="18"/>
      <c r="H271" s="18"/>
      <c r="I271" s="25"/>
      <c r="J271" s="18"/>
      <c r="K271" s="18"/>
      <c r="L271" s="18"/>
      <c r="M271" s="18"/>
      <c r="N271" s="18"/>
      <c r="O271" s="18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>
      <c r="A272" s="1"/>
      <c r="B272" s="1"/>
      <c r="C272" s="18"/>
      <c r="D272" s="47"/>
      <c r="E272" s="18"/>
      <c r="F272" s="18"/>
      <c r="G272" s="18"/>
      <c r="H272" s="18"/>
      <c r="I272" s="25"/>
      <c r="J272" s="18"/>
      <c r="K272" s="18"/>
      <c r="L272" s="18"/>
      <c r="M272" s="18"/>
      <c r="N272" s="18"/>
      <c r="O272" s="18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>
      <c r="A273" s="1"/>
      <c r="B273" s="1"/>
      <c r="C273" s="18"/>
      <c r="D273" s="47"/>
      <c r="E273" s="18"/>
      <c r="F273" s="18"/>
      <c r="G273" s="18"/>
      <c r="H273" s="18"/>
      <c r="I273" s="25"/>
      <c r="J273" s="18"/>
      <c r="K273" s="18"/>
      <c r="L273" s="18"/>
      <c r="M273" s="18"/>
      <c r="N273" s="18"/>
      <c r="O273" s="18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>
      <c r="A274" s="1"/>
      <c r="B274" s="1"/>
      <c r="C274" s="18"/>
      <c r="D274" s="47"/>
      <c r="E274" s="18"/>
      <c r="F274" s="18"/>
      <c r="G274" s="18"/>
      <c r="H274" s="18"/>
      <c r="I274" s="25"/>
      <c r="J274" s="18"/>
      <c r="K274" s="18"/>
      <c r="L274" s="18"/>
      <c r="M274" s="18"/>
      <c r="N274" s="18"/>
      <c r="O274" s="18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>
      <c r="A275" s="1"/>
      <c r="B275" s="1"/>
      <c r="C275" s="18"/>
      <c r="D275" s="47"/>
      <c r="E275" s="18"/>
      <c r="F275" s="18"/>
      <c r="G275" s="18"/>
      <c r="H275" s="18"/>
      <c r="I275" s="25"/>
      <c r="J275" s="18"/>
      <c r="K275" s="18"/>
      <c r="L275" s="18"/>
      <c r="M275" s="18"/>
      <c r="N275" s="18"/>
      <c r="O275" s="18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>
      <c r="A276" s="1"/>
      <c r="B276" s="1"/>
      <c r="C276" s="18"/>
      <c r="D276" s="47"/>
      <c r="E276" s="18"/>
      <c r="F276" s="18"/>
      <c r="G276" s="18"/>
      <c r="H276" s="18"/>
      <c r="I276" s="25"/>
      <c r="J276" s="18"/>
      <c r="K276" s="18"/>
      <c r="L276" s="18"/>
      <c r="M276" s="18"/>
      <c r="N276" s="18"/>
      <c r="O276" s="18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>
      <c r="A277" s="1"/>
      <c r="B277" s="1"/>
      <c r="C277" s="18"/>
      <c r="D277" s="47"/>
      <c r="E277" s="18"/>
      <c r="F277" s="18"/>
      <c r="G277" s="18"/>
      <c r="H277" s="18"/>
      <c r="I277" s="25"/>
      <c r="J277" s="18"/>
      <c r="K277" s="18"/>
      <c r="L277" s="18"/>
      <c r="M277" s="18"/>
      <c r="N277" s="18"/>
      <c r="O277" s="18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>
      <c r="A278" s="1"/>
      <c r="B278" s="1"/>
      <c r="C278" s="18"/>
      <c r="D278" s="47"/>
      <c r="E278" s="18"/>
      <c r="F278" s="18"/>
      <c r="G278" s="18"/>
      <c r="H278" s="18"/>
      <c r="I278" s="25"/>
      <c r="J278" s="18"/>
      <c r="K278" s="18"/>
      <c r="L278" s="18"/>
      <c r="M278" s="18"/>
      <c r="N278" s="18"/>
      <c r="O278" s="18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>
      <c r="A279" s="1"/>
      <c r="B279" s="1"/>
      <c r="C279" s="18"/>
      <c r="D279" s="47"/>
      <c r="E279" s="18"/>
      <c r="F279" s="18"/>
      <c r="G279" s="18"/>
      <c r="H279" s="18"/>
      <c r="I279" s="25"/>
      <c r="J279" s="18"/>
      <c r="K279" s="18"/>
      <c r="L279" s="18"/>
      <c r="M279" s="18"/>
      <c r="N279" s="18"/>
      <c r="O279" s="18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>
      <c r="A280" s="1"/>
      <c r="B280" s="1"/>
      <c r="C280" s="18"/>
      <c r="D280" s="47"/>
      <c r="E280" s="18"/>
      <c r="F280" s="18"/>
      <c r="G280" s="18"/>
      <c r="H280" s="18"/>
      <c r="I280" s="25"/>
      <c r="J280" s="18"/>
      <c r="K280" s="18"/>
      <c r="L280" s="18"/>
      <c r="M280" s="18"/>
      <c r="N280" s="18"/>
      <c r="O280" s="18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>
      <c r="A281" s="1"/>
      <c r="B281" s="1"/>
      <c r="C281" s="18"/>
      <c r="D281" s="47"/>
      <c r="E281" s="18"/>
      <c r="F281" s="18"/>
      <c r="G281" s="18"/>
      <c r="H281" s="18"/>
      <c r="I281" s="25"/>
      <c r="J281" s="18"/>
      <c r="K281" s="18"/>
      <c r="L281" s="18"/>
      <c r="M281" s="18"/>
      <c r="N281" s="18"/>
      <c r="O281" s="18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>
      <c r="A282" s="1"/>
      <c r="B282" s="1"/>
      <c r="C282" s="18"/>
      <c r="D282" s="47"/>
      <c r="E282" s="18"/>
      <c r="F282" s="18"/>
      <c r="G282" s="18"/>
      <c r="H282" s="18"/>
      <c r="I282" s="25"/>
      <c r="J282" s="18"/>
      <c r="K282" s="18"/>
      <c r="L282" s="18"/>
      <c r="M282" s="18"/>
      <c r="N282" s="18"/>
      <c r="O282" s="18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>
      <c r="A283" s="1"/>
      <c r="B283" s="1"/>
      <c r="C283" s="18"/>
      <c r="D283" s="47"/>
      <c r="E283" s="18"/>
      <c r="F283" s="18"/>
      <c r="G283" s="18"/>
      <c r="H283" s="18"/>
      <c r="I283" s="25"/>
      <c r="J283" s="18"/>
      <c r="K283" s="18"/>
      <c r="L283" s="18"/>
      <c r="M283" s="18"/>
      <c r="N283" s="18"/>
      <c r="O283" s="18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>
      <c r="A284" s="1"/>
      <c r="B284" s="1"/>
      <c r="C284" s="18"/>
      <c r="D284" s="47"/>
      <c r="E284" s="18"/>
      <c r="F284" s="18"/>
      <c r="G284" s="18"/>
      <c r="H284" s="18"/>
      <c r="I284" s="25"/>
      <c r="J284" s="18"/>
      <c r="K284" s="18"/>
      <c r="L284" s="18"/>
      <c r="M284" s="18"/>
      <c r="N284" s="18"/>
      <c r="O284" s="18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>
      <c r="A285" s="1"/>
      <c r="B285" s="1"/>
      <c r="C285" s="18"/>
      <c r="D285" s="47"/>
      <c r="E285" s="18"/>
      <c r="F285" s="18"/>
      <c r="G285" s="18"/>
      <c r="H285" s="18"/>
      <c r="I285" s="25"/>
      <c r="J285" s="18"/>
      <c r="K285" s="18"/>
      <c r="L285" s="18"/>
      <c r="M285" s="18"/>
      <c r="N285" s="18"/>
      <c r="O285" s="18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>
      <c r="A286" s="1"/>
      <c r="B286" s="1"/>
      <c r="C286" s="18"/>
      <c r="D286" s="47"/>
      <c r="E286" s="18"/>
      <c r="F286" s="18"/>
      <c r="G286" s="18"/>
      <c r="H286" s="18"/>
      <c r="I286" s="25"/>
      <c r="J286" s="18"/>
      <c r="K286" s="18"/>
      <c r="L286" s="18"/>
      <c r="M286" s="18"/>
      <c r="N286" s="18"/>
      <c r="O286" s="18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>
      <c r="A287" s="1"/>
      <c r="B287" s="1"/>
      <c r="C287" s="18"/>
      <c r="D287" s="47"/>
      <c r="E287" s="18"/>
      <c r="F287" s="18"/>
      <c r="G287" s="18"/>
      <c r="H287" s="18"/>
      <c r="I287" s="25"/>
      <c r="J287" s="18"/>
      <c r="K287" s="18"/>
      <c r="L287" s="18"/>
      <c r="M287" s="18"/>
      <c r="N287" s="18"/>
      <c r="O287" s="18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>
      <c r="A288" s="1"/>
      <c r="B288" s="1"/>
      <c r="C288" s="18"/>
      <c r="D288" s="47"/>
      <c r="E288" s="18"/>
      <c r="F288" s="18"/>
      <c r="G288" s="18"/>
      <c r="H288" s="18"/>
      <c r="I288" s="25"/>
      <c r="J288" s="18"/>
      <c r="K288" s="18"/>
      <c r="L288" s="18"/>
      <c r="M288" s="18"/>
      <c r="N288" s="18"/>
      <c r="O288" s="18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>
      <c r="A289" s="1"/>
      <c r="B289" s="1"/>
      <c r="C289" s="18"/>
      <c r="D289" s="47"/>
      <c r="E289" s="18"/>
      <c r="F289" s="18"/>
      <c r="G289" s="18"/>
      <c r="H289" s="18"/>
      <c r="I289" s="25"/>
      <c r="J289" s="18"/>
      <c r="K289" s="18"/>
      <c r="L289" s="18"/>
      <c r="M289" s="18"/>
      <c r="N289" s="18"/>
      <c r="O289" s="18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>
      <c r="A290" s="1"/>
      <c r="B290" s="1"/>
      <c r="C290" s="18"/>
      <c r="D290" s="47"/>
      <c r="E290" s="18"/>
      <c r="F290" s="18"/>
      <c r="G290" s="18"/>
      <c r="H290" s="18"/>
      <c r="I290" s="25"/>
      <c r="J290" s="18"/>
      <c r="K290" s="18"/>
      <c r="L290" s="18"/>
      <c r="M290" s="18"/>
      <c r="N290" s="18"/>
      <c r="O290" s="18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>
      <c r="A291" s="1"/>
      <c r="B291" s="1"/>
      <c r="C291" s="18"/>
      <c r="D291" s="47"/>
      <c r="E291" s="18"/>
      <c r="F291" s="18"/>
      <c r="G291" s="18"/>
      <c r="H291" s="18"/>
      <c r="I291" s="25"/>
      <c r="J291" s="18"/>
      <c r="K291" s="18"/>
      <c r="L291" s="18"/>
      <c r="M291" s="18"/>
      <c r="N291" s="18"/>
      <c r="O291" s="18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>
      <c r="A292" s="1"/>
      <c r="B292" s="1"/>
      <c r="C292" s="18"/>
      <c r="D292" s="47"/>
      <c r="E292" s="18"/>
      <c r="F292" s="18"/>
      <c r="G292" s="18"/>
      <c r="H292" s="18"/>
      <c r="I292" s="25"/>
      <c r="J292" s="18"/>
      <c r="K292" s="18"/>
      <c r="L292" s="18"/>
      <c r="M292" s="18"/>
      <c r="N292" s="18"/>
      <c r="O292" s="18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>
      <c r="A293" s="1"/>
      <c r="B293" s="1"/>
      <c r="C293" s="18"/>
      <c r="D293" s="47"/>
      <c r="E293" s="18"/>
      <c r="F293" s="18"/>
      <c r="G293" s="18"/>
      <c r="H293" s="18"/>
      <c r="I293" s="25"/>
      <c r="J293" s="18"/>
      <c r="K293" s="18"/>
      <c r="L293" s="18"/>
      <c r="M293" s="18"/>
      <c r="N293" s="18"/>
      <c r="O293" s="18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>
      <c r="A294" s="1"/>
      <c r="B294" s="1"/>
      <c r="C294" s="18"/>
      <c r="D294" s="47"/>
      <c r="E294" s="18"/>
      <c r="F294" s="18"/>
      <c r="G294" s="18"/>
      <c r="H294" s="18"/>
      <c r="I294" s="25"/>
      <c r="J294" s="18"/>
      <c r="K294" s="18"/>
      <c r="L294" s="18"/>
      <c r="M294" s="18"/>
      <c r="N294" s="18"/>
      <c r="O294" s="18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>
      <c r="A295" s="1"/>
      <c r="B295" s="1"/>
      <c r="C295" s="18"/>
      <c r="D295" s="47"/>
      <c r="E295" s="18"/>
      <c r="F295" s="18"/>
      <c r="G295" s="18"/>
      <c r="H295" s="18"/>
      <c r="I295" s="25"/>
      <c r="J295" s="18"/>
      <c r="K295" s="18"/>
      <c r="L295" s="18"/>
      <c r="M295" s="18"/>
      <c r="N295" s="18"/>
      <c r="O295" s="18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>
      <c r="A296" s="1"/>
      <c r="B296" s="1"/>
      <c r="C296" s="18"/>
      <c r="D296" s="47"/>
      <c r="E296" s="18"/>
      <c r="F296" s="18"/>
      <c r="G296" s="18"/>
      <c r="H296" s="18"/>
      <c r="I296" s="25"/>
      <c r="J296" s="18"/>
      <c r="K296" s="18"/>
      <c r="L296" s="18"/>
      <c r="M296" s="18"/>
      <c r="N296" s="18"/>
      <c r="O296" s="18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>
      <c r="A297" s="1"/>
      <c r="B297" s="1"/>
      <c r="C297" s="18"/>
      <c r="D297" s="47"/>
      <c r="E297" s="18"/>
      <c r="F297" s="18"/>
      <c r="G297" s="18"/>
      <c r="H297" s="18"/>
      <c r="I297" s="25"/>
      <c r="J297" s="18"/>
      <c r="K297" s="18"/>
      <c r="L297" s="18"/>
      <c r="M297" s="18"/>
      <c r="N297" s="18"/>
      <c r="O297" s="18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>
      <c r="A298" s="1"/>
      <c r="B298" s="1"/>
      <c r="C298" s="18"/>
      <c r="D298" s="47"/>
      <c r="E298" s="18"/>
      <c r="F298" s="18"/>
      <c r="G298" s="18"/>
      <c r="H298" s="18"/>
      <c r="I298" s="25"/>
      <c r="J298" s="18"/>
      <c r="K298" s="18"/>
      <c r="L298" s="18"/>
      <c r="M298" s="18"/>
      <c r="N298" s="18"/>
      <c r="O298" s="18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>
      <c r="A299" s="1"/>
      <c r="B299" s="1"/>
      <c r="C299" s="18"/>
      <c r="D299" s="47"/>
      <c r="E299" s="18"/>
      <c r="F299" s="18"/>
      <c r="G299" s="18"/>
      <c r="H299" s="18"/>
      <c r="I299" s="25"/>
      <c r="J299" s="18"/>
      <c r="K299" s="18"/>
      <c r="L299" s="18"/>
      <c r="M299" s="18"/>
      <c r="N299" s="18"/>
      <c r="O299" s="18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>
      <c r="A300" s="1"/>
      <c r="B300" s="1"/>
      <c r="C300" s="18"/>
      <c r="D300" s="47"/>
      <c r="E300" s="18"/>
      <c r="F300" s="18"/>
      <c r="G300" s="18"/>
      <c r="H300" s="18"/>
      <c r="I300" s="25"/>
      <c r="J300" s="18"/>
      <c r="K300" s="18"/>
      <c r="L300" s="18"/>
      <c r="M300" s="18"/>
      <c r="N300" s="18"/>
      <c r="O300" s="18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>
      <c r="A301" s="1"/>
      <c r="B301" s="1"/>
      <c r="C301" s="18"/>
      <c r="D301" s="47"/>
      <c r="E301" s="18"/>
      <c r="F301" s="18"/>
      <c r="G301" s="18"/>
      <c r="H301" s="18"/>
      <c r="I301" s="25"/>
      <c r="J301" s="18"/>
      <c r="K301" s="18"/>
      <c r="L301" s="18"/>
      <c r="M301" s="18"/>
      <c r="N301" s="18"/>
      <c r="O301" s="18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>
      <c r="A302" s="1"/>
      <c r="B302" s="1"/>
      <c r="C302" s="18"/>
      <c r="D302" s="47"/>
      <c r="E302" s="18"/>
      <c r="F302" s="18"/>
      <c r="G302" s="18"/>
      <c r="H302" s="18"/>
      <c r="I302" s="25"/>
      <c r="J302" s="18"/>
      <c r="K302" s="18"/>
      <c r="L302" s="18"/>
      <c r="M302" s="18"/>
      <c r="N302" s="18"/>
      <c r="O302" s="18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>
      <c r="A303" s="1"/>
      <c r="B303" s="1"/>
      <c r="C303" s="18"/>
      <c r="D303" s="47"/>
      <c r="E303" s="18"/>
      <c r="F303" s="18"/>
      <c r="G303" s="18"/>
      <c r="H303" s="18"/>
      <c r="I303" s="25"/>
      <c r="J303" s="18"/>
      <c r="K303" s="18"/>
      <c r="L303" s="18"/>
      <c r="M303" s="18"/>
      <c r="N303" s="18"/>
      <c r="O303" s="18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>
      <c r="A304" s="1"/>
      <c r="B304" s="1"/>
      <c r="C304" s="18"/>
      <c r="D304" s="47"/>
      <c r="E304" s="18"/>
      <c r="F304" s="18"/>
      <c r="G304" s="18"/>
      <c r="H304" s="18"/>
      <c r="I304" s="25"/>
      <c r="J304" s="18"/>
      <c r="K304" s="18"/>
      <c r="L304" s="18"/>
      <c r="M304" s="18"/>
      <c r="N304" s="18"/>
      <c r="O304" s="18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>
      <c r="A305" s="1"/>
      <c r="B305" s="1"/>
      <c r="C305" s="18"/>
      <c r="D305" s="47"/>
      <c r="E305" s="18"/>
      <c r="F305" s="18"/>
      <c r="G305" s="18"/>
      <c r="H305" s="18"/>
      <c r="I305" s="25"/>
      <c r="J305" s="18"/>
      <c r="K305" s="18"/>
      <c r="L305" s="18"/>
      <c r="M305" s="18"/>
      <c r="N305" s="18"/>
      <c r="O305" s="18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>
      <c r="A306" s="1"/>
      <c r="B306" s="1"/>
      <c r="C306" s="18"/>
      <c r="D306" s="47"/>
      <c r="E306" s="18"/>
      <c r="F306" s="18"/>
      <c r="G306" s="18"/>
      <c r="H306" s="18"/>
      <c r="I306" s="25"/>
      <c r="J306" s="18"/>
      <c r="K306" s="18"/>
      <c r="L306" s="18"/>
      <c r="M306" s="18"/>
      <c r="N306" s="18"/>
      <c r="O306" s="18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>
      <c r="A307" s="1"/>
      <c r="B307" s="1"/>
      <c r="C307" s="18"/>
      <c r="D307" s="47"/>
      <c r="E307" s="18"/>
      <c r="F307" s="18"/>
      <c r="G307" s="18"/>
      <c r="H307" s="18"/>
      <c r="I307" s="25"/>
      <c r="J307" s="18"/>
      <c r="K307" s="18"/>
      <c r="L307" s="18"/>
      <c r="M307" s="18"/>
      <c r="N307" s="18"/>
      <c r="O307" s="18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>
      <c r="A308" s="1"/>
      <c r="B308" s="1"/>
      <c r="C308" s="18"/>
      <c r="D308" s="47"/>
      <c r="E308" s="18"/>
      <c r="F308" s="18"/>
      <c r="G308" s="18"/>
      <c r="H308" s="18"/>
      <c r="I308" s="25"/>
      <c r="J308" s="18"/>
      <c r="K308" s="18"/>
      <c r="L308" s="18"/>
      <c r="M308" s="18"/>
      <c r="N308" s="18"/>
      <c r="O308" s="18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>
      <c r="A309" s="1"/>
      <c r="B309" s="1"/>
      <c r="C309" s="18"/>
      <c r="D309" s="47"/>
      <c r="E309" s="18"/>
      <c r="F309" s="18"/>
      <c r="G309" s="18"/>
      <c r="H309" s="18"/>
      <c r="I309" s="25"/>
      <c r="J309" s="18"/>
      <c r="K309" s="18"/>
      <c r="L309" s="18"/>
      <c r="M309" s="18"/>
      <c r="N309" s="18"/>
      <c r="O309" s="18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>
      <c r="A310" s="1"/>
      <c r="B310" s="1"/>
      <c r="C310" s="18"/>
      <c r="D310" s="47"/>
      <c r="E310" s="18"/>
      <c r="F310" s="18"/>
      <c r="G310" s="18"/>
      <c r="H310" s="18"/>
      <c r="I310" s="25"/>
      <c r="J310" s="18"/>
      <c r="K310" s="18"/>
      <c r="L310" s="18"/>
      <c r="M310" s="18"/>
      <c r="N310" s="18"/>
      <c r="O310" s="18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>
      <c r="A311" s="1"/>
      <c r="B311" s="1"/>
      <c r="C311" s="18"/>
      <c r="D311" s="47"/>
      <c r="E311" s="18"/>
      <c r="F311" s="18"/>
      <c r="G311" s="18"/>
      <c r="H311" s="18"/>
      <c r="I311" s="25"/>
      <c r="J311" s="18"/>
      <c r="K311" s="18"/>
      <c r="L311" s="18"/>
      <c r="M311" s="18"/>
      <c r="N311" s="18"/>
      <c r="O311" s="18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>
      <c r="A312" s="1"/>
      <c r="B312" s="1"/>
      <c r="C312" s="18"/>
      <c r="D312" s="47"/>
      <c r="E312" s="18"/>
      <c r="F312" s="18"/>
      <c r="G312" s="18"/>
      <c r="H312" s="18"/>
      <c r="I312" s="25"/>
      <c r="J312" s="18"/>
      <c r="K312" s="18"/>
      <c r="L312" s="18"/>
      <c r="M312" s="18"/>
      <c r="N312" s="18"/>
      <c r="O312" s="18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>
      <c r="A313" s="1"/>
      <c r="B313" s="1"/>
      <c r="C313" s="18"/>
      <c r="D313" s="47"/>
      <c r="E313" s="18"/>
      <c r="F313" s="18"/>
      <c r="G313" s="18"/>
      <c r="H313" s="18"/>
      <c r="I313" s="25"/>
      <c r="J313" s="18"/>
      <c r="K313" s="18"/>
      <c r="L313" s="18"/>
      <c r="M313" s="18"/>
      <c r="N313" s="18"/>
      <c r="O313" s="18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>
      <c r="A314" s="1"/>
      <c r="B314" s="1"/>
      <c r="C314" s="18"/>
      <c r="D314" s="47"/>
      <c r="E314" s="18"/>
      <c r="F314" s="18"/>
      <c r="G314" s="18"/>
      <c r="H314" s="18"/>
      <c r="I314" s="25"/>
      <c r="J314" s="18"/>
      <c r="K314" s="18"/>
      <c r="L314" s="18"/>
      <c r="M314" s="18"/>
      <c r="N314" s="18"/>
      <c r="O314" s="18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>
      <c r="A315" s="1"/>
      <c r="B315" s="1"/>
      <c r="C315" s="18"/>
      <c r="D315" s="47"/>
      <c r="E315" s="18"/>
      <c r="F315" s="18"/>
      <c r="G315" s="18"/>
      <c r="H315" s="18"/>
      <c r="I315" s="25"/>
      <c r="J315" s="18"/>
      <c r="K315" s="18"/>
      <c r="L315" s="18"/>
      <c r="M315" s="18"/>
      <c r="N315" s="18"/>
      <c r="O315" s="18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>
      <c r="A316" s="1"/>
      <c r="B316" s="1"/>
      <c r="C316" s="18"/>
      <c r="D316" s="47"/>
      <c r="E316" s="18"/>
      <c r="F316" s="18"/>
      <c r="G316" s="18"/>
      <c r="H316" s="18"/>
      <c r="I316" s="25"/>
      <c r="J316" s="18"/>
      <c r="K316" s="18"/>
      <c r="L316" s="18"/>
      <c r="M316" s="18"/>
      <c r="N316" s="18"/>
      <c r="O316" s="18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>
      <c r="A317" s="1"/>
      <c r="B317" s="1"/>
      <c r="C317" s="18"/>
      <c r="D317" s="47"/>
      <c r="E317" s="18"/>
      <c r="F317" s="18"/>
      <c r="G317" s="18"/>
      <c r="H317" s="18"/>
      <c r="I317" s="25"/>
      <c r="J317" s="18"/>
      <c r="K317" s="18"/>
      <c r="L317" s="18"/>
      <c r="M317" s="18"/>
      <c r="N317" s="18"/>
      <c r="O317" s="18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>
      <c r="A318" s="1"/>
      <c r="B318" s="1"/>
      <c r="C318" s="18"/>
      <c r="D318" s="47"/>
      <c r="E318" s="18"/>
      <c r="F318" s="18"/>
      <c r="G318" s="18"/>
      <c r="H318" s="18"/>
      <c r="I318" s="25"/>
      <c r="J318" s="18"/>
      <c r="K318" s="18"/>
      <c r="L318" s="18"/>
      <c r="M318" s="18"/>
      <c r="N318" s="18"/>
      <c r="O318" s="18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>
      <c r="A319" s="1"/>
      <c r="B319" s="1"/>
      <c r="C319" s="18"/>
      <c r="D319" s="47"/>
      <c r="E319" s="18"/>
      <c r="F319" s="18"/>
      <c r="G319" s="18"/>
      <c r="H319" s="18"/>
      <c r="I319" s="25"/>
      <c r="J319" s="18"/>
      <c r="K319" s="18"/>
      <c r="L319" s="18"/>
      <c r="M319" s="18"/>
      <c r="N319" s="18"/>
      <c r="O319" s="18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>
      <c r="A320" s="1"/>
      <c r="B320" s="1"/>
      <c r="C320" s="18"/>
      <c r="D320" s="47"/>
      <c r="E320" s="18"/>
      <c r="F320" s="18"/>
      <c r="G320" s="18"/>
      <c r="H320" s="18"/>
      <c r="I320" s="25"/>
      <c r="J320" s="18"/>
      <c r="K320" s="18"/>
      <c r="L320" s="18"/>
      <c r="M320" s="18"/>
      <c r="N320" s="18"/>
      <c r="O320" s="18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>
      <c r="A321" s="1"/>
      <c r="B321" s="1"/>
      <c r="C321" s="18"/>
      <c r="D321" s="47"/>
      <c r="E321" s="18"/>
      <c r="F321" s="18"/>
      <c r="G321" s="18"/>
      <c r="H321" s="18"/>
      <c r="I321" s="25"/>
      <c r="J321" s="18"/>
      <c r="K321" s="18"/>
      <c r="L321" s="18"/>
      <c r="M321" s="18"/>
      <c r="N321" s="18"/>
      <c r="O321" s="18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>
      <c r="A322" s="1"/>
      <c r="B322" s="1"/>
      <c r="C322" s="18"/>
      <c r="D322" s="47"/>
      <c r="E322" s="18"/>
      <c r="F322" s="18"/>
      <c r="G322" s="18"/>
      <c r="H322" s="18"/>
      <c r="I322" s="25"/>
      <c r="J322" s="18"/>
      <c r="K322" s="18"/>
      <c r="L322" s="18"/>
      <c r="M322" s="18"/>
      <c r="N322" s="18"/>
      <c r="O322" s="18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>
      <c r="A323" s="1"/>
      <c r="B323" s="1"/>
      <c r="C323" s="18"/>
      <c r="D323" s="47"/>
      <c r="E323" s="18"/>
      <c r="F323" s="18"/>
      <c r="G323" s="18"/>
      <c r="H323" s="18"/>
      <c r="I323" s="25"/>
      <c r="J323" s="18"/>
      <c r="K323" s="18"/>
      <c r="L323" s="18"/>
      <c r="M323" s="18"/>
      <c r="N323" s="18"/>
      <c r="O323" s="18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>
      <c r="A324" s="1"/>
      <c r="B324" s="1"/>
      <c r="C324" s="18"/>
      <c r="D324" s="47"/>
      <c r="E324" s="18"/>
      <c r="F324" s="18"/>
      <c r="G324" s="18"/>
      <c r="H324" s="18"/>
      <c r="I324" s="25"/>
      <c r="J324" s="18"/>
      <c r="K324" s="18"/>
      <c r="L324" s="18"/>
      <c r="M324" s="18"/>
      <c r="N324" s="18"/>
      <c r="O324" s="18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>
      <c r="A325" s="1"/>
      <c r="B325" s="1"/>
      <c r="C325" s="18"/>
      <c r="D325" s="47"/>
      <c r="E325" s="18"/>
      <c r="F325" s="18"/>
      <c r="G325" s="18"/>
      <c r="H325" s="18"/>
      <c r="I325" s="25"/>
      <c r="J325" s="18"/>
      <c r="K325" s="18"/>
      <c r="L325" s="18"/>
      <c r="M325" s="18"/>
      <c r="N325" s="18"/>
      <c r="O325" s="18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>
      <c r="A326" s="1"/>
      <c r="B326" s="1"/>
      <c r="C326" s="18"/>
      <c r="D326" s="47"/>
      <c r="E326" s="18"/>
      <c r="F326" s="18"/>
      <c r="G326" s="18"/>
      <c r="H326" s="18"/>
      <c r="I326" s="25"/>
      <c r="J326" s="18"/>
      <c r="K326" s="18"/>
      <c r="L326" s="18"/>
      <c r="M326" s="18"/>
      <c r="N326" s="18"/>
      <c r="O326" s="18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>
      <c r="A327" s="1"/>
      <c r="B327" s="1"/>
      <c r="C327" s="18"/>
      <c r="D327" s="47"/>
      <c r="E327" s="18"/>
      <c r="F327" s="18"/>
      <c r="G327" s="18"/>
      <c r="H327" s="18"/>
      <c r="I327" s="25"/>
      <c r="J327" s="18"/>
      <c r="K327" s="18"/>
      <c r="L327" s="18"/>
      <c r="M327" s="18"/>
      <c r="N327" s="18"/>
      <c r="O327" s="18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>
      <c r="A328" s="1"/>
      <c r="B328" s="1"/>
      <c r="C328" s="18"/>
      <c r="D328" s="47"/>
      <c r="E328" s="18"/>
      <c r="F328" s="18"/>
      <c r="G328" s="18"/>
      <c r="H328" s="18"/>
      <c r="I328" s="25"/>
      <c r="J328" s="18"/>
      <c r="K328" s="18"/>
      <c r="L328" s="18"/>
      <c r="M328" s="18"/>
      <c r="N328" s="18"/>
      <c r="O328" s="18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>
      <c r="A329" s="1"/>
      <c r="B329" s="1"/>
      <c r="C329" s="18"/>
      <c r="D329" s="47"/>
      <c r="E329" s="18"/>
      <c r="F329" s="18"/>
      <c r="G329" s="18"/>
      <c r="H329" s="18"/>
      <c r="I329" s="25"/>
      <c r="J329" s="18"/>
      <c r="K329" s="18"/>
      <c r="L329" s="18"/>
      <c r="M329" s="18"/>
      <c r="N329" s="18"/>
      <c r="O329" s="18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>
      <c r="A330" s="1"/>
      <c r="B330" s="1"/>
      <c r="C330" s="18"/>
      <c r="D330" s="47"/>
      <c r="E330" s="18"/>
      <c r="F330" s="18"/>
      <c r="G330" s="18"/>
      <c r="H330" s="18"/>
      <c r="I330" s="25"/>
      <c r="J330" s="18"/>
      <c r="K330" s="18"/>
      <c r="L330" s="18"/>
      <c r="M330" s="18"/>
      <c r="N330" s="18"/>
      <c r="O330" s="18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>
      <c r="A331" s="1"/>
      <c r="B331" s="1"/>
      <c r="C331" s="18"/>
      <c r="D331" s="47"/>
      <c r="E331" s="18"/>
      <c r="F331" s="18"/>
      <c r="G331" s="18"/>
      <c r="H331" s="18"/>
      <c r="I331" s="25"/>
      <c r="J331" s="18"/>
      <c r="K331" s="18"/>
      <c r="L331" s="18"/>
      <c r="M331" s="18"/>
      <c r="N331" s="18"/>
      <c r="O331" s="18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>
      <c r="A332" s="1"/>
      <c r="B332" s="1"/>
      <c r="C332" s="18"/>
      <c r="D332" s="47"/>
      <c r="E332" s="18"/>
      <c r="F332" s="18"/>
      <c r="G332" s="18"/>
      <c r="H332" s="18"/>
      <c r="I332" s="25"/>
      <c r="J332" s="18"/>
      <c r="K332" s="18"/>
      <c r="L332" s="18"/>
      <c r="M332" s="18"/>
      <c r="N332" s="18"/>
      <c r="O332" s="18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>
      <c r="A333" s="1"/>
      <c r="B333" s="1"/>
      <c r="C333" s="18"/>
      <c r="D333" s="47"/>
      <c r="E333" s="18"/>
      <c r="F333" s="18"/>
      <c r="G333" s="18"/>
      <c r="H333" s="18"/>
      <c r="I333" s="25"/>
      <c r="J333" s="18"/>
      <c r="K333" s="18"/>
      <c r="L333" s="18"/>
      <c r="M333" s="18"/>
      <c r="N333" s="18"/>
      <c r="O333" s="18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>
      <c r="A334" s="1"/>
      <c r="B334" s="1"/>
      <c r="C334" s="18"/>
      <c r="D334" s="47"/>
      <c r="E334" s="18"/>
      <c r="F334" s="18"/>
      <c r="G334" s="18"/>
      <c r="H334" s="18"/>
      <c r="I334" s="25"/>
      <c r="J334" s="18"/>
      <c r="K334" s="18"/>
      <c r="L334" s="18"/>
      <c r="M334" s="18"/>
      <c r="N334" s="18"/>
      <c r="O334" s="18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>
      <c r="A335" s="1"/>
      <c r="B335" s="1"/>
      <c r="C335" s="18"/>
      <c r="D335" s="47"/>
      <c r="E335" s="18"/>
      <c r="F335" s="18"/>
      <c r="G335" s="18"/>
      <c r="H335" s="18"/>
      <c r="I335" s="25"/>
      <c r="J335" s="18"/>
      <c r="K335" s="18"/>
      <c r="L335" s="18"/>
      <c r="M335" s="18"/>
      <c r="N335" s="18"/>
      <c r="O335" s="18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>
      <c r="A336" s="1"/>
      <c r="B336" s="1"/>
      <c r="C336" s="18"/>
      <c r="D336" s="47"/>
      <c r="E336" s="18"/>
      <c r="F336" s="18"/>
      <c r="G336" s="18"/>
      <c r="H336" s="18"/>
      <c r="I336" s="25"/>
      <c r="J336" s="18"/>
      <c r="K336" s="18"/>
      <c r="L336" s="18"/>
      <c r="M336" s="18"/>
      <c r="N336" s="18"/>
      <c r="O336" s="18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>
      <c r="A337" s="1"/>
      <c r="B337" s="1"/>
      <c r="C337" s="18"/>
      <c r="D337" s="47"/>
      <c r="E337" s="18"/>
      <c r="F337" s="18"/>
      <c r="G337" s="18"/>
      <c r="H337" s="18"/>
      <c r="I337" s="25"/>
      <c r="J337" s="18"/>
      <c r="K337" s="18"/>
      <c r="L337" s="18"/>
      <c r="M337" s="18"/>
      <c r="N337" s="18"/>
      <c r="O337" s="18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>
      <c r="A338" s="1"/>
      <c r="B338" s="1"/>
      <c r="C338" s="18"/>
      <c r="D338" s="47"/>
      <c r="E338" s="18"/>
      <c r="F338" s="18"/>
      <c r="G338" s="18"/>
      <c r="H338" s="18"/>
      <c r="I338" s="25"/>
      <c r="J338" s="18"/>
      <c r="K338" s="18"/>
      <c r="L338" s="18"/>
      <c r="M338" s="18"/>
      <c r="N338" s="18"/>
      <c r="O338" s="18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>
      <c r="A339" s="1"/>
      <c r="B339" s="1"/>
      <c r="C339" s="18"/>
      <c r="D339" s="47"/>
      <c r="E339" s="18"/>
      <c r="F339" s="18"/>
      <c r="G339" s="18"/>
      <c r="H339" s="18"/>
      <c r="I339" s="25"/>
      <c r="J339" s="18"/>
      <c r="K339" s="18"/>
      <c r="L339" s="18"/>
      <c r="M339" s="18"/>
      <c r="N339" s="18"/>
      <c r="O339" s="18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>
      <c r="A340" s="1"/>
      <c r="B340" s="1"/>
      <c r="C340" s="18"/>
      <c r="D340" s="47"/>
      <c r="E340" s="18"/>
      <c r="F340" s="18"/>
      <c r="G340" s="18"/>
      <c r="H340" s="18"/>
      <c r="I340" s="25"/>
      <c r="J340" s="18"/>
      <c r="K340" s="18"/>
      <c r="L340" s="18"/>
      <c r="M340" s="18"/>
      <c r="N340" s="18"/>
      <c r="O340" s="18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>
      <c r="A341" s="1"/>
      <c r="B341" s="1"/>
      <c r="C341" s="18"/>
      <c r="D341" s="47"/>
      <c r="E341" s="18"/>
      <c r="F341" s="18"/>
      <c r="G341" s="18"/>
      <c r="H341" s="18"/>
      <c r="I341" s="25"/>
      <c r="J341" s="18"/>
      <c r="K341" s="18"/>
      <c r="L341" s="18"/>
      <c r="M341" s="18"/>
      <c r="N341" s="18"/>
      <c r="O341" s="18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>
      <c r="A342" s="1"/>
      <c r="B342" s="1"/>
      <c r="C342" s="18"/>
      <c r="D342" s="47"/>
      <c r="E342" s="18"/>
      <c r="F342" s="18"/>
      <c r="G342" s="18"/>
      <c r="H342" s="18"/>
      <c r="I342" s="25"/>
      <c r="J342" s="18"/>
      <c r="K342" s="18"/>
      <c r="L342" s="18"/>
      <c r="M342" s="18"/>
      <c r="N342" s="18"/>
      <c r="O342" s="18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>
      <c r="A343" s="1"/>
      <c r="B343" s="1"/>
      <c r="C343" s="18"/>
      <c r="D343" s="47"/>
      <c r="E343" s="18"/>
      <c r="F343" s="18"/>
      <c r="G343" s="18"/>
      <c r="H343" s="18"/>
      <c r="I343" s="25"/>
      <c r="J343" s="18"/>
      <c r="K343" s="18"/>
      <c r="L343" s="18"/>
      <c r="M343" s="18"/>
      <c r="N343" s="18"/>
      <c r="O343" s="18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>
      <c r="A344" s="1"/>
      <c r="B344" s="1"/>
      <c r="C344" s="18"/>
      <c r="D344" s="47"/>
      <c r="E344" s="18"/>
      <c r="F344" s="18"/>
      <c r="G344" s="18"/>
      <c r="H344" s="18"/>
      <c r="I344" s="25"/>
      <c r="J344" s="18"/>
      <c r="K344" s="18"/>
      <c r="L344" s="18"/>
      <c r="M344" s="18"/>
      <c r="N344" s="18"/>
      <c r="O344" s="18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>
      <c r="A345" s="1"/>
      <c r="B345" s="1"/>
      <c r="C345" s="18"/>
      <c r="D345" s="47"/>
      <c r="E345" s="18"/>
      <c r="F345" s="18"/>
      <c r="G345" s="18"/>
      <c r="H345" s="18"/>
      <c r="I345" s="25"/>
      <c r="J345" s="18"/>
      <c r="K345" s="18"/>
      <c r="L345" s="18"/>
      <c r="M345" s="18"/>
      <c r="N345" s="18"/>
      <c r="O345" s="18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>
      <c r="A346" s="1"/>
      <c r="B346" s="1"/>
      <c r="C346" s="18"/>
      <c r="D346" s="47"/>
      <c r="E346" s="18"/>
      <c r="F346" s="18"/>
      <c r="G346" s="18"/>
      <c r="H346" s="18"/>
      <c r="I346" s="25"/>
      <c r="J346" s="18"/>
      <c r="K346" s="18"/>
      <c r="L346" s="18"/>
      <c r="M346" s="18"/>
      <c r="N346" s="18"/>
      <c r="O346" s="18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>
      <c r="A347" s="1"/>
      <c r="B347" s="1"/>
      <c r="C347" s="18"/>
      <c r="D347" s="47"/>
      <c r="E347" s="18"/>
      <c r="F347" s="18"/>
      <c r="G347" s="18"/>
      <c r="H347" s="18"/>
      <c r="I347" s="25"/>
      <c r="J347" s="18"/>
      <c r="K347" s="18"/>
      <c r="L347" s="18"/>
      <c r="M347" s="18"/>
      <c r="N347" s="18"/>
      <c r="O347" s="18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>
      <c r="A348" s="1"/>
      <c r="B348" s="1"/>
      <c r="C348" s="18"/>
      <c r="D348" s="47"/>
      <c r="E348" s="18"/>
      <c r="F348" s="18"/>
      <c r="G348" s="18"/>
      <c r="H348" s="18"/>
      <c r="I348" s="25"/>
      <c r="J348" s="18"/>
      <c r="K348" s="18"/>
      <c r="L348" s="18"/>
      <c r="M348" s="18"/>
      <c r="N348" s="18"/>
      <c r="O348" s="18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>
      <c r="A349" s="1"/>
      <c r="B349" s="1"/>
      <c r="C349" s="18"/>
      <c r="D349" s="47"/>
      <c r="E349" s="18"/>
      <c r="F349" s="18"/>
      <c r="G349" s="18"/>
      <c r="H349" s="18"/>
      <c r="I349" s="25"/>
      <c r="J349" s="18"/>
      <c r="K349" s="18"/>
      <c r="L349" s="18"/>
      <c r="M349" s="18"/>
      <c r="N349" s="18"/>
      <c r="O349" s="18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>
      <c r="A350" s="1"/>
      <c r="B350" s="1"/>
      <c r="C350" s="18"/>
      <c r="D350" s="47"/>
      <c r="E350" s="18"/>
      <c r="F350" s="18"/>
      <c r="G350" s="18"/>
      <c r="H350" s="18"/>
      <c r="I350" s="25"/>
      <c r="J350" s="18"/>
      <c r="K350" s="18"/>
      <c r="L350" s="18"/>
      <c r="M350" s="18"/>
      <c r="N350" s="18"/>
      <c r="O350" s="18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>
      <c r="A351" s="1"/>
      <c r="B351" s="1"/>
      <c r="C351" s="18"/>
      <c r="D351" s="47"/>
      <c r="E351" s="18"/>
      <c r="F351" s="18"/>
      <c r="G351" s="18"/>
      <c r="H351" s="18"/>
      <c r="I351" s="25"/>
      <c r="J351" s="18"/>
      <c r="K351" s="18"/>
      <c r="L351" s="18"/>
      <c r="M351" s="18"/>
      <c r="N351" s="18"/>
      <c r="O351" s="18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>
      <c r="A352" s="1"/>
      <c r="B352" s="1"/>
      <c r="C352" s="18"/>
      <c r="D352" s="47"/>
      <c r="E352" s="18"/>
      <c r="F352" s="18"/>
      <c r="G352" s="18"/>
      <c r="H352" s="18"/>
      <c r="I352" s="25"/>
      <c r="J352" s="18"/>
      <c r="K352" s="18"/>
      <c r="L352" s="18"/>
      <c r="M352" s="18"/>
      <c r="N352" s="18"/>
      <c r="O352" s="18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>
      <c r="A353" s="1"/>
      <c r="B353" s="1"/>
      <c r="C353" s="18"/>
      <c r="D353" s="47"/>
      <c r="E353" s="18"/>
      <c r="F353" s="18"/>
      <c r="G353" s="18"/>
      <c r="H353" s="18"/>
      <c r="I353" s="25"/>
      <c r="J353" s="18"/>
      <c r="K353" s="18"/>
      <c r="L353" s="18"/>
      <c r="M353" s="18"/>
      <c r="N353" s="18"/>
      <c r="O353" s="18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>
      <c r="A354" s="1"/>
      <c r="B354" s="1"/>
      <c r="C354" s="18"/>
      <c r="D354" s="47"/>
      <c r="E354" s="18"/>
      <c r="F354" s="18"/>
      <c r="G354" s="18"/>
      <c r="H354" s="18"/>
      <c r="I354" s="25"/>
      <c r="J354" s="18"/>
      <c r="K354" s="18"/>
      <c r="L354" s="18"/>
      <c r="M354" s="18"/>
      <c r="N354" s="18"/>
      <c r="O354" s="18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>
      <c r="A355" s="1"/>
      <c r="B355" s="1"/>
      <c r="C355" s="18"/>
      <c r="D355" s="47"/>
      <c r="E355" s="18"/>
      <c r="F355" s="18"/>
      <c r="G355" s="18"/>
      <c r="H355" s="18"/>
      <c r="I355" s="25"/>
      <c r="J355" s="18"/>
      <c r="K355" s="18"/>
      <c r="L355" s="18"/>
      <c r="M355" s="18"/>
      <c r="N355" s="18"/>
      <c r="O355" s="18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>
      <c r="A356" s="1"/>
      <c r="B356" s="1"/>
      <c r="C356" s="18"/>
      <c r="D356" s="47"/>
      <c r="E356" s="18"/>
      <c r="F356" s="18"/>
      <c r="G356" s="18"/>
      <c r="H356" s="18"/>
      <c r="I356" s="25"/>
      <c r="J356" s="18"/>
      <c r="K356" s="18"/>
      <c r="L356" s="18"/>
      <c r="M356" s="18"/>
      <c r="N356" s="18"/>
      <c r="O356" s="18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>
      <c r="A357" s="1"/>
      <c r="B357" s="1"/>
      <c r="C357" s="18"/>
      <c r="D357" s="47"/>
      <c r="E357" s="18"/>
      <c r="F357" s="18"/>
      <c r="G357" s="18"/>
      <c r="H357" s="18"/>
      <c r="I357" s="25"/>
      <c r="J357" s="18"/>
      <c r="K357" s="18"/>
      <c r="L357" s="18"/>
      <c r="M357" s="18"/>
      <c r="N357" s="18"/>
      <c r="O357" s="18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>
      <c r="A358" s="1"/>
      <c r="B358" s="1"/>
      <c r="C358" s="18"/>
      <c r="D358" s="47"/>
      <c r="E358" s="18"/>
      <c r="F358" s="18"/>
      <c r="G358" s="18"/>
      <c r="H358" s="18"/>
      <c r="I358" s="25"/>
      <c r="J358" s="18"/>
      <c r="K358" s="18"/>
      <c r="L358" s="18"/>
      <c r="M358" s="18"/>
      <c r="N358" s="18"/>
      <c r="O358" s="18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>
      <c r="A359" s="1"/>
      <c r="B359" s="1"/>
      <c r="C359" s="18"/>
      <c r="D359" s="47"/>
      <c r="E359" s="18"/>
      <c r="F359" s="18"/>
      <c r="G359" s="18"/>
      <c r="H359" s="18"/>
      <c r="I359" s="25"/>
      <c r="J359" s="18"/>
      <c r="K359" s="18"/>
      <c r="L359" s="18"/>
      <c r="M359" s="18"/>
      <c r="N359" s="18"/>
      <c r="O359" s="18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>
      <c r="A360" s="1"/>
      <c r="B360" s="1"/>
      <c r="C360" s="18"/>
      <c r="D360" s="47"/>
      <c r="E360" s="18"/>
      <c r="F360" s="18"/>
      <c r="G360" s="18"/>
      <c r="H360" s="18"/>
      <c r="I360" s="25"/>
      <c r="J360" s="18"/>
      <c r="K360" s="18"/>
      <c r="L360" s="18"/>
      <c r="M360" s="18"/>
      <c r="N360" s="18"/>
      <c r="O360" s="18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>
      <c r="A361" s="1"/>
      <c r="B361" s="1"/>
      <c r="C361" s="18"/>
      <c r="D361" s="47"/>
      <c r="E361" s="18"/>
      <c r="F361" s="18"/>
      <c r="G361" s="18"/>
      <c r="H361" s="18"/>
      <c r="I361" s="25"/>
      <c r="J361" s="18"/>
      <c r="K361" s="18"/>
      <c r="L361" s="18"/>
      <c r="M361" s="18"/>
      <c r="N361" s="18"/>
      <c r="O361" s="18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>
      <c r="A362" s="1"/>
      <c r="B362" s="1"/>
      <c r="C362" s="18"/>
      <c r="D362" s="47"/>
      <c r="E362" s="18"/>
      <c r="F362" s="18"/>
      <c r="G362" s="18"/>
      <c r="H362" s="18"/>
      <c r="I362" s="25"/>
      <c r="J362" s="18"/>
      <c r="K362" s="18"/>
      <c r="L362" s="18"/>
      <c r="M362" s="18"/>
      <c r="N362" s="18"/>
      <c r="O362" s="18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>
      <c r="A363" s="1"/>
      <c r="B363" s="1"/>
      <c r="C363" s="18"/>
      <c r="D363" s="47"/>
      <c r="E363" s="18"/>
      <c r="F363" s="18"/>
      <c r="G363" s="18"/>
      <c r="H363" s="18"/>
      <c r="I363" s="25"/>
      <c r="J363" s="18"/>
      <c r="K363" s="18"/>
      <c r="L363" s="18"/>
      <c r="M363" s="18"/>
      <c r="N363" s="18"/>
      <c r="O363" s="18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>
      <c r="A364" s="1"/>
      <c r="B364" s="1"/>
      <c r="C364" s="18"/>
      <c r="D364" s="47"/>
      <c r="E364" s="18"/>
      <c r="F364" s="18"/>
      <c r="G364" s="18"/>
      <c r="H364" s="18"/>
      <c r="I364" s="25"/>
      <c r="J364" s="18"/>
      <c r="K364" s="18"/>
      <c r="L364" s="18"/>
      <c r="M364" s="18"/>
      <c r="N364" s="18"/>
      <c r="O364" s="18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>
      <c r="A365" s="1"/>
      <c r="B365" s="1"/>
      <c r="C365" s="18"/>
      <c r="D365" s="47"/>
      <c r="E365" s="18"/>
      <c r="F365" s="18"/>
      <c r="G365" s="18"/>
      <c r="H365" s="18"/>
      <c r="I365" s="25"/>
      <c r="J365" s="18"/>
      <c r="K365" s="18"/>
      <c r="L365" s="18"/>
      <c r="M365" s="18"/>
      <c r="N365" s="18"/>
      <c r="O365" s="18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>
      <c r="A366" s="1"/>
      <c r="B366" s="1"/>
      <c r="C366" s="18"/>
      <c r="D366" s="47"/>
      <c r="E366" s="18"/>
      <c r="F366" s="18"/>
      <c r="G366" s="18"/>
      <c r="H366" s="18"/>
      <c r="I366" s="25"/>
      <c r="J366" s="18"/>
      <c r="K366" s="18"/>
      <c r="L366" s="18"/>
      <c r="M366" s="18"/>
      <c r="N366" s="18"/>
      <c r="O366" s="18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>
      <c r="A367" s="1"/>
      <c r="B367" s="1"/>
      <c r="C367" s="18"/>
      <c r="D367" s="47"/>
      <c r="E367" s="18"/>
      <c r="F367" s="18"/>
      <c r="G367" s="18"/>
      <c r="H367" s="18"/>
      <c r="I367" s="25"/>
      <c r="J367" s="18"/>
      <c r="K367" s="18"/>
      <c r="L367" s="18"/>
      <c r="M367" s="18"/>
      <c r="N367" s="18"/>
      <c r="O367" s="18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>
      <c r="A368" s="1"/>
      <c r="B368" s="1"/>
      <c r="C368" s="18"/>
      <c r="D368" s="47"/>
      <c r="E368" s="18"/>
      <c r="F368" s="18"/>
      <c r="G368" s="18"/>
      <c r="H368" s="18"/>
      <c r="I368" s="25"/>
      <c r="J368" s="18"/>
      <c r="K368" s="18"/>
      <c r="L368" s="18"/>
      <c r="M368" s="18"/>
      <c r="N368" s="18"/>
      <c r="O368" s="18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>
      <c r="A369" s="1"/>
      <c r="B369" s="1"/>
      <c r="C369" s="18"/>
      <c r="D369" s="47"/>
      <c r="E369" s="18"/>
      <c r="F369" s="18"/>
      <c r="G369" s="18"/>
      <c r="H369" s="18"/>
      <c r="I369" s="25"/>
      <c r="J369" s="18"/>
      <c r="K369" s="18"/>
      <c r="L369" s="18"/>
      <c r="M369" s="18"/>
      <c r="N369" s="18"/>
      <c r="O369" s="18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>
      <c r="A370" s="1"/>
      <c r="B370" s="1"/>
      <c r="C370" s="18"/>
      <c r="D370" s="47"/>
      <c r="E370" s="18"/>
      <c r="F370" s="18"/>
      <c r="G370" s="18"/>
      <c r="H370" s="18"/>
      <c r="I370" s="25"/>
      <c r="J370" s="18"/>
      <c r="K370" s="18"/>
      <c r="L370" s="18"/>
      <c r="M370" s="18"/>
      <c r="N370" s="18"/>
      <c r="O370" s="18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>
      <c r="A371" s="1"/>
      <c r="B371" s="1"/>
      <c r="C371" s="18"/>
      <c r="D371" s="47"/>
      <c r="E371" s="18"/>
      <c r="F371" s="18"/>
      <c r="G371" s="18"/>
      <c r="H371" s="18"/>
      <c r="I371" s="25"/>
      <c r="J371" s="18"/>
      <c r="K371" s="18"/>
      <c r="L371" s="18"/>
      <c r="M371" s="18"/>
      <c r="N371" s="18"/>
      <c r="O371" s="18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>
      <c r="A372" s="1"/>
      <c r="B372" s="1"/>
      <c r="C372" s="18"/>
      <c r="D372" s="47"/>
      <c r="E372" s="18"/>
      <c r="F372" s="18"/>
      <c r="G372" s="18"/>
      <c r="H372" s="18"/>
      <c r="I372" s="25"/>
      <c r="J372" s="18"/>
      <c r="K372" s="18"/>
      <c r="L372" s="18"/>
      <c r="M372" s="18"/>
      <c r="N372" s="18"/>
      <c r="O372" s="18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>
      <c r="A373" s="1"/>
      <c r="B373" s="1"/>
      <c r="C373" s="18"/>
      <c r="D373" s="47"/>
      <c r="E373" s="18"/>
      <c r="F373" s="18"/>
      <c r="G373" s="18"/>
      <c r="H373" s="18"/>
      <c r="I373" s="25"/>
      <c r="J373" s="18"/>
      <c r="K373" s="18"/>
      <c r="L373" s="18"/>
      <c r="M373" s="18"/>
      <c r="N373" s="18"/>
      <c r="O373" s="18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>
      <c r="A374" s="1"/>
      <c r="B374" s="1"/>
      <c r="C374" s="18"/>
      <c r="D374" s="47"/>
      <c r="E374" s="18"/>
      <c r="F374" s="18"/>
      <c r="G374" s="18"/>
      <c r="H374" s="18"/>
      <c r="I374" s="25"/>
      <c r="J374" s="18"/>
      <c r="K374" s="18"/>
      <c r="L374" s="18"/>
      <c r="M374" s="18"/>
      <c r="N374" s="18"/>
      <c r="O374" s="18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>
      <c r="A375" s="1"/>
      <c r="B375" s="1"/>
      <c r="C375" s="18"/>
      <c r="D375" s="47"/>
      <c r="E375" s="18"/>
      <c r="F375" s="18"/>
      <c r="G375" s="18"/>
      <c r="H375" s="18"/>
      <c r="I375" s="25"/>
      <c r="J375" s="18"/>
      <c r="K375" s="18"/>
      <c r="L375" s="18"/>
      <c r="M375" s="18"/>
      <c r="N375" s="18"/>
      <c r="O375" s="18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>
      <c r="A376" s="1"/>
      <c r="B376" s="1"/>
      <c r="C376" s="18"/>
      <c r="D376" s="47"/>
      <c r="E376" s="18"/>
      <c r="F376" s="18"/>
      <c r="G376" s="18"/>
      <c r="H376" s="18"/>
      <c r="I376" s="25"/>
      <c r="J376" s="18"/>
      <c r="K376" s="18"/>
      <c r="L376" s="18"/>
      <c r="M376" s="18"/>
      <c r="N376" s="18"/>
      <c r="O376" s="18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>
      <c r="A377" s="1"/>
      <c r="B377" s="1"/>
      <c r="C377" s="18"/>
      <c r="D377" s="47"/>
      <c r="E377" s="18"/>
      <c r="F377" s="18"/>
      <c r="G377" s="18"/>
      <c r="H377" s="18"/>
      <c r="I377" s="25"/>
      <c r="J377" s="18"/>
      <c r="K377" s="18"/>
      <c r="L377" s="18"/>
      <c r="M377" s="18"/>
      <c r="N377" s="18"/>
      <c r="O377" s="18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>
      <c r="A378" s="1"/>
      <c r="B378" s="1"/>
      <c r="C378" s="18"/>
      <c r="D378" s="47"/>
      <c r="E378" s="18"/>
      <c r="F378" s="18"/>
      <c r="G378" s="18"/>
      <c r="H378" s="18"/>
      <c r="I378" s="25"/>
      <c r="J378" s="18"/>
      <c r="K378" s="18"/>
      <c r="L378" s="18"/>
      <c r="M378" s="18"/>
      <c r="N378" s="18"/>
      <c r="O378" s="18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>
      <c r="A379" s="1"/>
      <c r="B379" s="1"/>
      <c r="C379" s="18"/>
      <c r="D379" s="47"/>
      <c r="E379" s="18"/>
      <c r="F379" s="18"/>
      <c r="G379" s="18"/>
      <c r="H379" s="18"/>
      <c r="I379" s="25"/>
      <c r="J379" s="18"/>
      <c r="K379" s="18"/>
      <c r="L379" s="18"/>
      <c r="M379" s="18"/>
      <c r="N379" s="18"/>
      <c r="O379" s="18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>
      <c r="A380" s="1"/>
      <c r="B380" s="1"/>
      <c r="C380" s="18"/>
      <c r="D380" s="47"/>
      <c r="E380" s="18"/>
      <c r="F380" s="18"/>
      <c r="G380" s="18"/>
      <c r="H380" s="18"/>
      <c r="I380" s="25"/>
      <c r="J380" s="18"/>
      <c r="K380" s="18"/>
      <c r="L380" s="18"/>
      <c r="M380" s="18"/>
      <c r="N380" s="18"/>
      <c r="O380" s="18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>
      <c r="A381" s="1"/>
      <c r="B381" s="1"/>
      <c r="C381" s="18"/>
      <c r="D381" s="47"/>
      <c r="E381" s="18"/>
      <c r="F381" s="18"/>
      <c r="G381" s="18"/>
      <c r="H381" s="18"/>
      <c r="I381" s="25"/>
      <c r="J381" s="18"/>
      <c r="K381" s="18"/>
      <c r="L381" s="18"/>
      <c r="M381" s="18"/>
      <c r="N381" s="18"/>
      <c r="O381" s="18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>
      <c r="A382" s="1"/>
      <c r="B382" s="1"/>
      <c r="C382" s="18"/>
      <c r="D382" s="47"/>
      <c r="E382" s="18"/>
      <c r="F382" s="18"/>
      <c r="G382" s="18"/>
      <c r="H382" s="18"/>
      <c r="I382" s="25"/>
      <c r="J382" s="18"/>
      <c r="K382" s="18"/>
      <c r="L382" s="18"/>
      <c r="M382" s="18"/>
      <c r="N382" s="18"/>
      <c r="O382" s="18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>
      <c r="A383" s="1"/>
      <c r="B383" s="1"/>
      <c r="C383" s="18"/>
      <c r="D383" s="47"/>
      <c r="E383" s="18"/>
      <c r="F383" s="18"/>
      <c r="G383" s="18"/>
      <c r="H383" s="18"/>
      <c r="I383" s="25"/>
      <c r="J383" s="18"/>
      <c r="K383" s="18"/>
      <c r="L383" s="18"/>
      <c r="M383" s="18"/>
      <c r="N383" s="18"/>
      <c r="O383" s="18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>
      <c r="A384" s="1"/>
      <c r="B384" s="1"/>
      <c r="C384" s="18"/>
      <c r="D384" s="47"/>
      <c r="E384" s="18"/>
      <c r="F384" s="18"/>
      <c r="G384" s="18"/>
      <c r="H384" s="18"/>
      <c r="I384" s="25"/>
      <c r="J384" s="18"/>
      <c r="K384" s="18"/>
      <c r="L384" s="18"/>
      <c r="M384" s="18"/>
      <c r="N384" s="18"/>
      <c r="O384" s="18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>
      <c r="A385" s="1"/>
      <c r="B385" s="1"/>
      <c r="C385" s="18"/>
      <c r="D385" s="47"/>
      <c r="E385" s="18"/>
      <c r="F385" s="18"/>
      <c r="G385" s="18"/>
      <c r="H385" s="18"/>
      <c r="I385" s="25"/>
      <c r="J385" s="18"/>
      <c r="K385" s="18"/>
      <c r="L385" s="18"/>
      <c r="M385" s="18"/>
      <c r="N385" s="18"/>
      <c r="O385" s="18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>
      <c r="A386" s="1"/>
      <c r="B386" s="1"/>
      <c r="C386" s="18"/>
      <c r="D386" s="47"/>
      <c r="E386" s="18"/>
      <c r="F386" s="18"/>
      <c r="G386" s="18"/>
      <c r="H386" s="18"/>
      <c r="I386" s="25"/>
      <c r="J386" s="18"/>
      <c r="K386" s="18"/>
      <c r="L386" s="18"/>
      <c r="M386" s="18"/>
      <c r="N386" s="18"/>
      <c r="O386" s="18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>
      <c r="A387" s="1"/>
      <c r="B387" s="1"/>
      <c r="C387" s="18"/>
      <c r="D387" s="47"/>
      <c r="E387" s="18"/>
      <c r="F387" s="18"/>
      <c r="G387" s="18"/>
      <c r="H387" s="18"/>
      <c r="I387" s="25"/>
      <c r="J387" s="18"/>
      <c r="K387" s="18"/>
      <c r="L387" s="18"/>
      <c r="M387" s="18"/>
      <c r="N387" s="18"/>
      <c r="O387" s="18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>
      <c r="A388" s="1"/>
      <c r="B388" s="1"/>
      <c r="C388" s="18"/>
      <c r="D388" s="47"/>
      <c r="E388" s="18"/>
      <c r="F388" s="18"/>
      <c r="G388" s="18"/>
      <c r="H388" s="18"/>
      <c r="I388" s="25"/>
      <c r="J388" s="18"/>
      <c r="K388" s="18"/>
      <c r="L388" s="18"/>
      <c r="M388" s="18"/>
      <c r="N388" s="18"/>
      <c r="O388" s="18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>
      <c r="A389" s="1"/>
      <c r="B389" s="1"/>
      <c r="C389" s="18"/>
      <c r="D389" s="47"/>
      <c r="E389" s="18"/>
      <c r="F389" s="18"/>
      <c r="G389" s="18"/>
      <c r="H389" s="18"/>
      <c r="I389" s="25"/>
      <c r="J389" s="18"/>
      <c r="K389" s="18"/>
      <c r="L389" s="18"/>
      <c r="M389" s="18"/>
      <c r="N389" s="18"/>
      <c r="O389" s="18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>
      <c r="A390" s="1"/>
      <c r="B390" s="1"/>
      <c r="C390" s="18"/>
      <c r="D390" s="47"/>
      <c r="E390" s="18"/>
      <c r="F390" s="18"/>
      <c r="G390" s="18"/>
      <c r="H390" s="18"/>
      <c r="I390" s="25"/>
      <c r="J390" s="18"/>
      <c r="K390" s="18"/>
      <c r="L390" s="18"/>
      <c r="M390" s="18"/>
      <c r="N390" s="18"/>
      <c r="O390" s="18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>
      <c r="A391" s="1"/>
      <c r="B391" s="1"/>
      <c r="C391" s="18"/>
      <c r="D391" s="47"/>
      <c r="E391" s="18"/>
      <c r="F391" s="18"/>
      <c r="G391" s="18"/>
      <c r="H391" s="18"/>
      <c r="I391" s="25"/>
      <c r="J391" s="18"/>
      <c r="K391" s="18"/>
      <c r="L391" s="18"/>
      <c r="M391" s="18"/>
      <c r="N391" s="18"/>
      <c r="O391" s="18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>
      <c r="A392" s="1"/>
      <c r="B392" s="1"/>
      <c r="C392" s="18"/>
      <c r="D392" s="47"/>
      <c r="E392" s="18"/>
      <c r="F392" s="18"/>
      <c r="G392" s="18"/>
      <c r="H392" s="18"/>
      <c r="I392" s="25"/>
      <c r="J392" s="18"/>
      <c r="K392" s="18"/>
      <c r="L392" s="18"/>
      <c r="M392" s="18"/>
      <c r="N392" s="18"/>
      <c r="O392" s="18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>
      <c r="A393" s="1"/>
      <c r="B393" s="1"/>
      <c r="C393" s="18"/>
      <c r="D393" s="47"/>
      <c r="E393" s="18"/>
      <c r="F393" s="18"/>
      <c r="G393" s="18"/>
      <c r="H393" s="18"/>
      <c r="I393" s="25"/>
      <c r="J393" s="18"/>
      <c r="K393" s="18"/>
      <c r="L393" s="18"/>
      <c r="M393" s="18"/>
      <c r="N393" s="18"/>
      <c r="O393" s="18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>
      <c r="A394" s="1"/>
      <c r="B394" s="1"/>
      <c r="C394" s="18"/>
      <c r="D394" s="47"/>
      <c r="E394" s="18"/>
      <c r="F394" s="18"/>
      <c r="G394" s="18"/>
      <c r="H394" s="18"/>
      <c r="I394" s="25"/>
      <c r="J394" s="18"/>
      <c r="K394" s="18"/>
      <c r="L394" s="18"/>
      <c r="M394" s="18"/>
      <c r="N394" s="18"/>
      <c r="O394" s="18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>
      <c r="A395" s="1"/>
      <c r="B395" s="1"/>
      <c r="C395" s="18"/>
      <c r="D395" s="47"/>
      <c r="E395" s="18"/>
      <c r="F395" s="18"/>
      <c r="G395" s="18"/>
      <c r="H395" s="18"/>
      <c r="I395" s="25"/>
      <c r="J395" s="18"/>
      <c r="K395" s="18"/>
      <c r="L395" s="18"/>
      <c r="M395" s="18"/>
      <c r="N395" s="18"/>
      <c r="O395" s="18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>
      <c r="A396" s="1"/>
      <c r="B396" s="1"/>
      <c r="C396" s="18"/>
      <c r="D396" s="47"/>
      <c r="E396" s="18"/>
      <c r="F396" s="18"/>
      <c r="G396" s="18"/>
      <c r="H396" s="18"/>
      <c r="I396" s="25"/>
      <c r="J396" s="18"/>
      <c r="K396" s="18"/>
      <c r="L396" s="18"/>
      <c r="M396" s="18"/>
      <c r="N396" s="18"/>
      <c r="O396" s="18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>
      <c r="A397" s="1"/>
      <c r="B397" s="1"/>
      <c r="C397" s="18"/>
      <c r="D397" s="47"/>
      <c r="E397" s="18"/>
      <c r="F397" s="18"/>
      <c r="G397" s="18"/>
      <c r="H397" s="18"/>
      <c r="I397" s="25"/>
      <c r="J397" s="18"/>
      <c r="K397" s="18"/>
      <c r="L397" s="18"/>
      <c r="M397" s="18"/>
      <c r="N397" s="18"/>
      <c r="O397" s="18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>
      <c r="A398" s="1"/>
      <c r="B398" s="1"/>
      <c r="C398" s="18"/>
      <c r="D398" s="47"/>
      <c r="E398" s="18"/>
      <c r="F398" s="18"/>
      <c r="G398" s="18"/>
      <c r="H398" s="18"/>
      <c r="I398" s="25"/>
      <c r="J398" s="18"/>
      <c r="K398" s="18"/>
      <c r="L398" s="18"/>
      <c r="M398" s="18"/>
      <c r="N398" s="18"/>
      <c r="O398" s="18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>
      <c r="A399" s="1"/>
      <c r="B399" s="1"/>
      <c r="C399" s="18"/>
      <c r="D399" s="47"/>
      <c r="E399" s="18"/>
      <c r="F399" s="18"/>
      <c r="G399" s="18"/>
      <c r="H399" s="18"/>
      <c r="I399" s="25"/>
      <c r="J399" s="18"/>
      <c r="K399" s="18"/>
      <c r="L399" s="18"/>
      <c r="M399" s="18"/>
      <c r="N399" s="18"/>
      <c r="O399" s="18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>
      <c r="A400" s="1"/>
      <c r="B400" s="1"/>
      <c r="C400" s="18"/>
      <c r="D400" s="47"/>
      <c r="E400" s="18"/>
      <c r="F400" s="18"/>
      <c r="G400" s="18"/>
      <c r="H400" s="18"/>
      <c r="I400" s="25"/>
      <c r="J400" s="18"/>
      <c r="K400" s="18"/>
      <c r="L400" s="18"/>
      <c r="M400" s="18"/>
      <c r="N400" s="18"/>
      <c r="O400" s="18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>
      <c r="A401" s="1"/>
      <c r="B401" s="1"/>
      <c r="C401" s="18"/>
      <c r="D401" s="47"/>
      <c r="E401" s="18"/>
      <c r="F401" s="18"/>
      <c r="G401" s="18"/>
      <c r="H401" s="18"/>
      <c r="I401" s="25"/>
      <c r="J401" s="18"/>
      <c r="K401" s="18"/>
      <c r="L401" s="18"/>
      <c r="M401" s="18"/>
      <c r="N401" s="18"/>
      <c r="O401" s="18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>
      <c r="A402" s="1"/>
      <c r="B402" s="1"/>
      <c r="C402" s="18"/>
      <c r="D402" s="47"/>
      <c r="E402" s="18"/>
      <c r="F402" s="18"/>
      <c r="G402" s="18"/>
      <c r="H402" s="18"/>
      <c r="I402" s="25"/>
      <c r="J402" s="18"/>
      <c r="K402" s="18"/>
      <c r="L402" s="18"/>
      <c r="M402" s="18"/>
      <c r="N402" s="18"/>
      <c r="O402" s="18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>
      <c r="A403" s="1"/>
      <c r="B403" s="1"/>
      <c r="C403" s="18"/>
      <c r="D403" s="47"/>
      <c r="E403" s="18"/>
      <c r="F403" s="18"/>
      <c r="G403" s="18"/>
      <c r="H403" s="18"/>
      <c r="I403" s="25"/>
      <c r="J403" s="18"/>
      <c r="K403" s="18"/>
      <c r="L403" s="18"/>
      <c r="M403" s="18"/>
      <c r="N403" s="18"/>
      <c r="O403" s="18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>
      <c r="A404" s="1"/>
      <c r="B404" s="1"/>
      <c r="C404" s="18"/>
      <c r="D404" s="47"/>
      <c r="E404" s="18"/>
      <c r="F404" s="18"/>
      <c r="G404" s="18"/>
      <c r="H404" s="18"/>
      <c r="I404" s="25"/>
      <c r="J404" s="18"/>
      <c r="K404" s="18"/>
      <c r="L404" s="18"/>
      <c r="M404" s="18"/>
      <c r="N404" s="18"/>
      <c r="O404" s="18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>
      <c r="A405" s="1"/>
      <c r="B405" s="1"/>
      <c r="C405" s="18"/>
      <c r="D405" s="47"/>
      <c r="E405" s="18"/>
      <c r="F405" s="18"/>
      <c r="G405" s="18"/>
      <c r="H405" s="18"/>
      <c r="I405" s="25"/>
      <c r="J405" s="18"/>
      <c r="K405" s="18"/>
      <c r="L405" s="18"/>
      <c r="M405" s="18"/>
      <c r="N405" s="18"/>
      <c r="O405" s="18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>
      <c r="A406" s="1"/>
      <c r="B406" s="1"/>
      <c r="C406" s="18"/>
      <c r="D406" s="47"/>
      <c r="E406" s="18"/>
      <c r="F406" s="18"/>
      <c r="G406" s="18"/>
      <c r="H406" s="18"/>
      <c r="I406" s="25"/>
      <c r="J406" s="18"/>
      <c r="K406" s="18"/>
      <c r="L406" s="18"/>
      <c r="M406" s="18"/>
      <c r="N406" s="18"/>
      <c r="O406" s="18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>
      <c r="A407" s="1"/>
      <c r="B407" s="1"/>
      <c r="C407" s="18"/>
      <c r="D407" s="47"/>
      <c r="E407" s="18"/>
      <c r="F407" s="18"/>
      <c r="G407" s="18"/>
      <c r="H407" s="18"/>
      <c r="I407" s="25"/>
      <c r="J407" s="18"/>
      <c r="K407" s="18"/>
      <c r="L407" s="18"/>
      <c r="M407" s="18"/>
      <c r="N407" s="18"/>
      <c r="O407" s="18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>
      <c r="A408" s="1"/>
      <c r="B408" s="1"/>
      <c r="C408" s="18"/>
      <c r="D408" s="47"/>
      <c r="E408" s="18"/>
      <c r="F408" s="18"/>
      <c r="G408" s="18"/>
      <c r="H408" s="18"/>
      <c r="I408" s="25"/>
      <c r="J408" s="18"/>
      <c r="K408" s="18"/>
      <c r="L408" s="18"/>
      <c r="M408" s="18"/>
      <c r="N408" s="18"/>
      <c r="O408" s="18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>
      <c r="A409" s="1"/>
      <c r="B409" s="1"/>
      <c r="C409" s="18"/>
      <c r="D409" s="47"/>
      <c r="E409" s="18"/>
      <c r="F409" s="18"/>
      <c r="G409" s="18"/>
      <c r="H409" s="18"/>
      <c r="I409" s="25"/>
      <c r="J409" s="18"/>
      <c r="K409" s="18"/>
      <c r="L409" s="18"/>
      <c r="M409" s="18"/>
      <c r="N409" s="18"/>
      <c r="O409" s="18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>
      <c r="A410" s="1"/>
      <c r="B410" s="1"/>
      <c r="C410" s="18"/>
      <c r="D410" s="47"/>
      <c r="E410" s="18"/>
      <c r="F410" s="18"/>
      <c r="G410" s="18"/>
      <c r="H410" s="18"/>
      <c r="I410" s="25"/>
      <c r="J410" s="18"/>
      <c r="K410" s="18"/>
      <c r="L410" s="18"/>
      <c r="M410" s="18"/>
      <c r="N410" s="18"/>
      <c r="O410" s="18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>
      <c r="A411" s="1"/>
      <c r="B411" s="1"/>
      <c r="C411" s="18"/>
      <c r="D411" s="47"/>
      <c r="E411" s="18"/>
      <c r="F411" s="18"/>
      <c r="G411" s="18"/>
      <c r="H411" s="18"/>
      <c r="I411" s="25"/>
      <c r="J411" s="18"/>
      <c r="K411" s="18"/>
      <c r="L411" s="18"/>
      <c r="M411" s="18"/>
      <c r="N411" s="18"/>
      <c r="O411" s="18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>
      <c r="A412" s="1"/>
      <c r="B412" s="1"/>
      <c r="C412" s="18"/>
      <c r="D412" s="47"/>
      <c r="E412" s="18"/>
      <c r="F412" s="18"/>
      <c r="G412" s="18"/>
      <c r="H412" s="18"/>
      <c r="I412" s="25"/>
      <c r="J412" s="18"/>
      <c r="K412" s="18"/>
      <c r="L412" s="18"/>
      <c r="M412" s="18"/>
      <c r="N412" s="18"/>
      <c r="O412" s="18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>
      <c r="A413" s="1"/>
      <c r="B413" s="1"/>
      <c r="C413" s="18"/>
      <c r="D413" s="47"/>
      <c r="E413" s="18"/>
      <c r="F413" s="18"/>
      <c r="G413" s="18"/>
      <c r="H413" s="18"/>
      <c r="I413" s="25"/>
      <c r="J413" s="18"/>
      <c r="K413" s="18"/>
      <c r="L413" s="18"/>
      <c r="M413" s="18"/>
      <c r="N413" s="18"/>
      <c r="O413" s="18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>
      <c r="A414" s="1"/>
      <c r="B414" s="1"/>
      <c r="C414" s="18"/>
      <c r="D414" s="47"/>
      <c r="E414" s="18"/>
      <c r="F414" s="18"/>
      <c r="G414" s="18"/>
      <c r="H414" s="18"/>
      <c r="I414" s="25"/>
      <c r="J414" s="18"/>
      <c r="K414" s="18"/>
      <c r="L414" s="18"/>
      <c r="M414" s="18"/>
      <c r="N414" s="18"/>
      <c r="O414" s="18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>
      <c r="A415" s="1"/>
      <c r="B415" s="1"/>
      <c r="C415" s="18"/>
      <c r="D415" s="47"/>
      <c r="E415" s="18"/>
      <c r="F415" s="18"/>
      <c r="G415" s="18"/>
      <c r="H415" s="18"/>
      <c r="I415" s="25"/>
      <c r="J415" s="18"/>
      <c r="K415" s="18"/>
      <c r="L415" s="18"/>
      <c r="M415" s="18"/>
      <c r="N415" s="18"/>
      <c r="O415" s="18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>
      <c r="A416" s="1"/>
      <c r="B416" s="1"/>
      <c r="C416" s="18"/>
      <c r="D416" s="47"/>
      <c r="E416" s="18"/>
      <c r="F416" s="18"/>
      <c r="G416" s="18"/>
      <c r="H416" s="18"/>
      <c r="I416" s="25"/>
      <c r="J416" s="18"/>
      <c r="K416" s="18"/>
      <c r="L416" s="18"/>
      <c r="M416" s="18"/>
      <c r="N416" s="18"/>
      <c r="O416" s="18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>
      <c r="A417" s="1"/>
      <c r="B417" s="1"/>
      <c r="C417" s="18"/>
      <c r="D417" s="47"/>
      <c r="E417" s="18"/>
      <c r="F417" s="18"/>
      <c r="G417" s="18"/>
      <c r="H417" s="18"/>
      <c r="I417" s="25"/>
      <c r="J417" s="18"/>
      <c r="K417" s="18"/>
      <c r="L417" s="18"/>
      <c r="M417" s="18"/>
      <c r="N417" s="18"/>
      <c r="O417" s="18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>
      <c r="A418" s="1"/>
      <c r="B418" s="1"/>
      <c r="C418" s="18"/>
      <c r="D418" s="47"/>
      <c r="E418" s="18"/>
      <c r="F418" s="18"/>
      <c r="G418" s="18"/>
      <c r="H418" s="18"/>
      <c r="I418" s="25"/>
      <c r="J418" s="18"/>
      <c r="K418" s="18"/>
      <c r="L418" s="18"/>
      <c r="M418" s="18"/>
      <c r="N418" s="18"/>
      <c r="O418" s="18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>
      <c r="A419" s="1"/>
      <c r="B419" s="1"/>
      <c r="C419" s="18"/>
      <c r="D419" s="47"/>
      <c r="E419" s="18"/>
      <c r="F419" s="18"/>
      <c r="G419" s="18"/>
      <c r="H419" s="18"/>
      <c r="I419" s="25"/>
      <c r="J419" s="18"/>
      <c r="K419" s="18"/>
      <c r="L419" s="18"/>
      <c r="M419" s="18"/>
      <c r="N419" s="18"/>
      <c r="O419" s="18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>
      <c r="A420" s="1"/>
      <c r="B420" s="1"/>
      <c r="C420" s="18"/>
      <c r="D420" s="47"/>
      <c r="E420" s="18"/>
      <c r="F420" s="18"/>
      <c r="G420" s="18"/>
      <c r="H420" s="18"/>
      <c r="I420" s="25"/>
      <c r="J420" s="18"/>
      <c r="K420" s="18"/>
      <c r="L420" s="18"/>
      <c r="M420" s="18"/>
      <c r="N420" s="18"/>
      <c r="O420" s="18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>
      <c r="A421" s="1"/>
      <c r="B421" s="1"/>
      <c r="C421" s="18"/>
      <c r="D421" s="47"/>
      <c r="E421" s="18"/>
      <c r="F421" s="18"/>
      <c r="G421" s="18"/>
      <c r="H421" s="18"/>
      <c r="I421" s="25"/>
      <c r="J421" s="18"/>
      <c r="K421" s="18"/>
      <c r="L421" s="18"/>
      <c r="M421" s="18"/>
      <c r="N421" s="18"/>
      <c r="O421" s="18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>
      <c r="A422" s="1"/>
      <c r="B422" s="1"/>
      <c r="C422" s="18"/>
      <c r="D422" s="47"/>
      <c r="E422" s="18"/>
      <c r="F422" s="18"/>
      <c r="G422" s="18"/>
      <c r="H422" s="18"/>
      <c r="I422" s="25"/>
      <c r="J422" s="18"/>
      <c r="K422" s="18"/>
      <c r="L422" s="18"/>
      <c r="M422" s="18"/>
      <c r="N422" s="18"/>
      <c r="O422" s="18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>
      <c r="A423" s="1"/>
      <c r="B423" s="1"/>
      <c r="C423" s="18"/>
      <c r="D423" s="47"/>
      <c r="E423" s="18"/>
      <c r="F423" s="18"/>
      <c r="G423" s="18"/>
      <c r="H423" s="18"/>
      <c r="I423" s="25"/>
      <c r="J423" s="18"/>
      <c r="K423" s="18"/>
      <c r="L423" s="18"/>
      <c r="M423" s="18"/>
      <c r="N423" s="18"/>
      <c r="O423" s="18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>
      <c r="A424" s="1"/>
      <c r="B424" s="1"/>
      <c r="C424" s="18"/>
      <c r="D424" s="47"/>
      <c r="E424" s="18"/>
      <c r="F424" s="18"/>
      <c r="G424" s="18"/>
      <c r="H424" s="18"/>
      <c r="I424" s="25"/>
      <c r="J424" s="18"/>
      <c r="K424" s="18"/>
      <c r="L424" s="18"/>
      <c r="M424" s="18"/>
      <c r="N424" s="18"/>
      <c r="O424" s="18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>
      <c r="A425" s="1"/>
      <c r="B425" s="1"/>
      <c r="C425" s="18"/>
      <c r="D425" s="47"/>
      <c r="E425" s="18"/>
      <c r="F425" s="18"/>
      <c r="G425" s="18"/>
      <c r="H425" s="18"/>
      <c r="I425" s="25"/>
      <c r="J425" s="18"/>
      <c r="K425" s="18"/>
      <c r="L425" s="18"/>
      <c r="M425" s="18"/>
      <c r="N425" s="18"/>
      <c r="O425" s="18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>
      <c r="A426" s="1"/>
      <c r="B426" s="1"/>
      <c r="C426" s="18"/>
      <c r="D426" s="47"/>
      <c r="E426" s="18"/>
      <c r="F426" s="18"/>
      <c r="G426" s="18"/>
      <c r="H426" s="18"/>
      <c r="I426" s="25"/>
      <c r="J426" s="18"/>
      <c r="K426" s="18"/>
      <c r="L426" s="18"/>
      <c r="M426" s="18"/>
      <c r="N426" s="18"/>
      <c r="O426" s="18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>
      <c r="A427" s="1"/>
      <c r="B427" s="1"/>
      <c r="C427" s="18"/>
      <c r="D427" s="47"/>
      <c r="E427" s="18"/>
      <c r="F427" s="18"/>
      <c r="G427" s="18"/>
      <c r="H427" s="18"/>
      <c r="I427" s="25"/>
      <c r="J427" s="18"/>
      <c r="K427" s="18"/>
      <c r="L427" s="18"/>
      <c r="M427" s="18"/>
      <c r="N427" s="18"/>
      <c r="O427" s="18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>
      <c r="A428" s="1"/>
      <c r="B428" s="1"/>
      <c r="C428" s="18"/>
      <c r="D428" s="47"/>
      <c r="E428" s="18"/>
      <c r="F428" s="18"/>
      <c r="G428" s="18"/>
      <c r="H428" s="18"/>
      <c r="I428" s="25"/>
      <c r="J428" s="18"/>
      <c r="K428" s="18"/>
      <c r="L428" s="18"/>
      <c r="M428" s="18"/>
      <c r="N428" s="18"/>
      <c r="O428" s="18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>
      <c r="A429" s="1"/>
      <c r="B429" s="1"/>
      <c r="C429" s="18"/>
      <c r="D429" s="47"/>
      <c r="E429" s="18"/>
      <c r="F429" s="18"/>
      <c r="G429" s="18"/>
      <c r="H429" s="18"/>
      <c r="I429" s="25"/>
      <c r="J429" s="18"/>
      <c r="K429" s="18"/>
      <c r="L429" s="18"/>
      <c r="M429" s="18"/>
      <c r="N429" s="18"/>
      <c r="O429" s="18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>
      <c r="A430" s="1"/>
      <c r="B430" s="1"/>
      <c r="C430" s="18"/>
      <c r="D430" s="47"/>
      <c r="E430" s="18"/>
      <c r="F430" s="18"/>
      <c r="G430" s="18"/>
      <c r="H430" s="18"/>
      <c r="I430" s="25"/>
      <c r="J430" s="18"/>
      <c r="K430" s="18"/>
      <c r="L430" s="18"/>
      <c r="M430" s="18"/>
      <c r="N430" s="18"/>
      <c r="O430" s="18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>
      <c r="A431" s="1"/>
      <c r="B431" s="1"/>
      <c r="C431" s="18"/>
      <c r="D431" s="47"/>
      <c r="E431" s="18"/>
      <c r="F431" s="18"/>
      <c r="G431" s="18"/>
      <c r="H431" s="18"/>
      <c r="I431" s="25"/>
      <c r="J431" s="18"/>
      <c r="K431" s="18"/>
      <c r="L431" s="18"/>
      <c r="M431" s="18"/>
      <c r="N431" s="18"/>
      <c r="O431" s="18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>
      <c r="A432" s="1"/>
      <c r="B432" s="1"/>
      <c r="C432" s="18"/>
      <c r="D432" s="47"/>
      <c r="E432" s="18"/>
      <c r="F432" s="18"/>
      <c r="G432" s="18"/>
      <c r="H432" s="18"/>
      <c r="I432" s="25"/>
      <c r="J432" s="18"/>
      <c r="K432" s="18"/>
      <c r="L432" s="18"/>
      <c r="M432" s="18"/>
      <c r="N432" s="18"/>
      <c r="O432" s="18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>
      <c r="A433" s="1"/>
      <c r="B433" s="1"/>
      <c r="C433" s="18"/>
      <c r="D433" s="47"/>
      <c r="E433" s="18"/>
      <c r="F433" s="18"/>
      <c r="G433" s="18"/>
      <c r="H433" s="18"/>
      <c r="I433" s="25"/>
      <c r="J433" s="18"/>
      <c r="K433" s="18"/>
      <c r="L433" s="18"/>
      <c r="M433" s="18"/>
      <c r="N433" s="18"/>
      <c r="O433" s="18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>
      <c r="A434" s="1"/>
      <c r="B434" s="1"/>
      <c r="C434" s="18"/>
      <c r="D434" s="47"/>
      <c r="E434" s="18"/>
      <c r="F434" s="18"/>
      <c r="G434" s="18"/>
      <c r="H434" s="18"/>
      <c r="I434" s="25"/>
      <c r="J434" s="18"/>
      <c r="K434" s="18"/>
      <c r="L434" s="18"/>
      <c r="M434" s="18"/>
      <c r="N434" s="18"/>
      <c r="O434" s="18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>
      <c r="A435" s="1"/>
      <c r="B435" s="1"/>
      <c r="C435" s="18"/>
      <c r="D435" s="47"/>
      <c r="E435" s="18"/>
      <c r="F435" s="18"/>
      <c r="G435" s="18"/>
      <c r="H435" s="18"/>
      <c r="I435" s="25"/>
      <c r="J435" s="18"/>
      <c r="K435" s="18"/>
      <c r="L435" s="18"/>
      <c r="M435" s="18"/>
      <c r="N435" s="18"/>
      <c r="O435" s="18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>
      <c r="A436" s="1"/>
      <c r="B436" s="1"/>
      <c r="C436" s="18"/>
      <c r="D436" s="47"/>
      <c r="E436" s="18"/>
      <c r="F436" s="18"/>
      <c r="G436" s="18"/>
      <c r="H436" s="18"/>
      <c r="I436" s="25"/>
      <c r="J436" s="18"/>
      <c r="K436" s="18"/>
      <c r="L436" s="18"/>
      <c r="M436" s="18"/>
      <c r="N436" s="18"/>
      <c r="O436" s="18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>
      <c r="A437" s="1"/>
      <c r="B437" s="1"/>
      <c r="C437" s="18"/>
      <c r="D437" s="47"/>
      <c r="E437" s="18"/>
      <c r="F437" s="18"/>
      <c r="G437" s="18"/>
      <c r="H437" s="18"/>
      <c r="I437" s="25"/>
      <c r="J437" s="18"/>
      <c r="K437" s="18"/>
      <c r="L437" s="18"/>
      <c r="M437" s="18"/>
      <c r="N437" s="18"/>
      <c r="O437" s="18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>
      <c r="A438" s="1"/>
      <c r="B438" s="1"/>
      <c r="C438" s="18"/>
      <c r="D438" s="47"/>
      <c r="E438" s="18"/>
      <c r="F438" s="18"/>
      <c r="G438" s="18"/>
      <c r="H438" s="18"/>
      <c r="I438" s="25"/>
      <c r="J438" s="18"/>
      <c r="K438" s="18"/>
      <c r="L438" s="18"/>
      <c r="M438" s="18"/>
      <c r="N438" s="18"/>
      <c r="O438" s="18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>
      <c r="A439" s="1"/>
      <c r="B439" s="1"/>
      <c r="C439" s="18"/>
      <c r="D439" s="47"/>
      <c r="E439" s="18"/>
      <c r="F439" s="18"/>
      <c r="G439" s="18"/>
      <c r="H439" s="18"/>
      <c r="I439" s="25"/>
      <c r="J439" s="18"/>
      <c r="K439" s="18"/>
      <c r="L439" s="18"/>
      <c r="M439" s="18"/>
      <c r="N439" s="18"/>
      <c r="O439" s="18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>
      <c r="A440" s="1"/>
      <c r="B440" s="1"/>
      <c r="C440" s="18"/>
      <c r="D440" s="47"/>
      <c r="E440" s="18"/>
      <c r="F440" s="18"/>
      <c r="G440" s="18"/>
      <c r="H440" s="18"/>
      <c r="I440" s="25"/>
      <c r="J440" s="18"/>
      <c r="K440" s="18"/>
      <c r="L440" s="18"/>
      <c r="M440" s="18"/>
      <c r="N440" s="18"/>
      <c r="O440" s="18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>
      <c r="A441" s="1"/>
      <c r="B441" s="1"/>
      <c r="C441" s="18"/>
      <c r="D441" s="47"/>
      <c r="E441" s="18"/>
      <c r="F441" s="18"/>
      <c r="G441" s="18"/>
      <c r="H441" s="18"/>
      <c r="I441" s="25"/>
      <c r="J441" s="18"/>
      <c r="K441" s="18"/>
      <c r="L441" s="18"/>
      <c r="M441" s="18"/>
      <c r="N441" s="18"/>
      <c r="O441" s="18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>
      <c r="A442" s="1"/>
      <c r="B442" s="1"/>
      <c r="C442" s="18"/>
      <c r="D442" s="47"/>
      <c r="E442" s="18"/>
      <c r="F442" s="18"/>
      <c r="G442" s="18"/>
      <c r="H442" s="18"/>
      <c r="I442" s="25"/>
      <c r="J442" s="18"/>
      <c r="K442" s="18"/>
      <c r="L442" s="18"/>
      <c r="M442" s="18"/>
      <c r="N442" s="18"/>
      <c r="O442" s="18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>
      <c r="A443" s="1"/>
      <c r="B443" s="1"/>
      <c r="C443" s="18"/>
      <c r="D443" s="47"/>
      <c r="E443" s="18"/>
      <c r="F443" s="18"/>
      <c r="G443" s="18"/>
      <c r="H443" s="18"/>
      <c r="I443" s="25"/>
      <c r="J443" s="18"/>
      <c r="K443" s="18"/>
      <c r="L443" s="18"/>
      <c r="M443" s="18"/>
      <c r="N443" s="18"/>
      <c r="O443" s="18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>
      <c r="A444" s="1"/>
      <c r="B444" s="1"/>
      <c r="C444" s="18"/>
      <c r="D444" s="47"/>
      <c r="E444" s="18"/>
      <c r="F444" s="18"/>
      <c r="G444" s="18"/>
      <c r="H444" s="18"/>
      <c r="I444" s="25"/>
      <c r="J444" s="18"/>
      <c r="K444" s="18"/>
      <c r="L444" s="18"/>
      <c r="M444" s="18"/>
      <c r="N444" s="18"/>
      <c r="O444" s="18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>
      <c r="A445" s="1"/>
      <c r="B445" s="1"/>
      <c r="C445" s="18"/>
      <c r="D445" s="47"/>
      <c r="E445" s="18"/>
      <c r="F445" s="18"/>
      <c r="G445" s="18"/>
      <c r="H445" s="18"/>
      <c r="I445" s="25"/>
      <c r="J445" s="18"/>
      <c r="K445" s="18"/>
      <c r="L445" s="18"/>
      <c r="M445" s="18"/>
      <c r="N445" s="18"/>
      <c r="O445" s="18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>
      <c r="A446" s="1"/>
      <c r="B446" s="1"/>
      <c r="C446" s="18"/>
      <c r="D446" s="47"/>
      <c r="E446" s="18"/>
      <c r="F446" s="18"/>
      <c r="G446" s="18"/>
      <c r="H446" s="18"/>
      <c r="I446" s="25"/>
      <c r="J446" s="18"/>
      <c r="K446" s="18"/>
      <c r="L446" s="18"/>
      <c r="M446" s="18"/>
      <c r="N446" s="18"/>
      <c r="O446" s="18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>
      <c r="A447" s="1"/>
      <c r="B447" s="1"/>
      <c r="C447" s="18"/>
      <c r="D447" s="47"/>
      <c r="E447" s="18"/>
      <c r="F447" s="18"/>
      <c r="G447" s="18"/>
      <c r="H447" s="18"/>
      <c r="I447" s="25"/>
      <c r="J447" s="18"/>
      <c r="K447" s="18"/>
      <c r="L447" s="18"/>
      <c r="M447" s="18"/>
      <c r="N447" s="18"/>
      <c r="O447" s="18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>
      <c r="A448" s="1"/>
      <c r="B448" s="1"/>
      <c r="C448" s="18"/>
      <c r="D448" s="47"/>
      <c r="E448" s="18"/>
      <c r="F448" s="18"/>
      <c r="G448" s="18"/>
      <c r="H448" s="18"/>
      <c r="I448" s="25"/>
      <c r="J448" s="18"/>
      <c r="K448" s="18"/>
      <c r="L448" s="18"/>
      <c r="M448" s="18"/>
      <c r="N448" s="18"/>
      <c r="O448" s="18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>
      <c r="A449" s="1"/>
      <c r="B449" s="1"/>
      <c r="C449" s="18"/>
      <c r="D449" s="47"/>
      <c r="E449" s="18"/>
      <c r="F449" s="18"/>
      <c r="G449" s="18"/>
      <c r="H449" s="18"/>
      <c r="I449" s="25"/>
      <c r="J449" s="18"/>
      <c r="K449" s="18"/>
      <c r="L449" s="18"/>
      <c r="M449" s="18"/>
      <c r="N449" s="18"/>
      <c r="O449" s="18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>
      <c r="A450" s="1"/>
      <c r="B450" s="1"/>
      <c r="C450" s="18"/>
      <c r="D450" s="47"/>
      <c r="E450" s="18"/>
      <c r="F450" s="18"/>
      <c r="G450" s="18"/>
      <c r="H450" s="18"/>
      <c r="I450" s="25"/>
      <c r="J450" s="18"/>
      <c r="K450" s="18"/>
      <c r="L450" s="18"/>
      <c r="M450" s="18"/>
      <c r="N450" s="18"/>
      <c r="O450" s="18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>
      <c r="A451" s="1"/>
      <c r="B451" s="1"/>
      <c r="C451" s="18"/>
      <c r="D451" s="47"/>
      <c r="E451" s="18"/>
      <c r="F451" s="18"/>
      <c r="G451" s="18"/>
      <c r="H451" s="18"/>
      <c r="I451" s="25"/>
      <c r="J451" s="18"/>
      <c r="K451" s="18"/>
      <c r="L451" s="18"/>
      <c r="M451" s="18"/>
      <c r="N451" s="18"/>
      <c r="O451" s="18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>
      <c r="A452" s="1"/>
      <c r="B452" s="1"/>
      <c r="C452" s="18"/>
      <c r="D452" s="47"/>
      <c r="E452" s="18"/>
      <c r="F452" s="18"/>
      <c r="G452" s="18"/>
      <c r="H452" s="18"/>
      <c r="I452" s="25"/>
      <c r="J452" s="18"/>
      <c r="K452" s="18"/>
      <c r="L452" s="18"/>
      <c r="M452" s="18"/>
      <c r="N452" s="18"/>
      <c r="O452" s="18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>
      <c r="A453" s="1"/>
      <c r="B453" s="1"/>
      <c r="C453" s="18"/>
      <c r="D453" s="47"/>
      <c r="E453" s="18"/>
      <c r="F453" s="18"/>
      <c r="G453" s="18"/>
      <c r="H453" s="18"/>
      <c r="I453" s="25"/>
      <c r="J453" s="18"/>
      <c r="K453" s="18"/>
      <c r="L453" s="18"/>
      <c r="M453" s="18"/>
      <c r="N453" s="18"/>
      <c r="O453" s="18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>
      <c r="A454" s="1"/>
      <c r="B454" s="1"/>
      <c r="C454" s="18"/>
      <c r="D454" s="47"/>
      <c r="E454" s="18"/>
      <c r="F454" s="18"/>
      <c r="G454" s="18"/>
      <c r="H454" s="18"/>
      <c r="I454" s="25"/>
      <c r="J454" s="18"/>
      <c r="K454" s="18"/>
      <c r="L454" s="18"/>
      <c r="M454" s="18"/>
      <c r="N454" s="18"/>
      <c r="O454" s="18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>
      <c r="A455" s="1"/>
      <c r="B455" s="1"/>
      <c r="C455" s="18"/>
      <c r="D455" s="47"/>
      <c r="E455" s="18"/>
      <c r="F455" s="18"/>
      <c r="G455" s="18"/>
      <c r="H455" s="18"/>
      <c r="I455" s="25"/>
      <c r="J455" s="18"/>
      <c r="K455" s="18"/>
      <c r="L455" s="18"/>
      <c r="M455" s="18"/>
      <c r="N455" s="18"/>
      <c r="O455" s="18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>
      <c r="A456" s="1"/>
      <c r="B456" s="1"/>
      <c r="C456" s="18"/>
      <c r="D456" s="47"/>
      <c r="E456" s="18"/>
      <c r="F456" s="18"/>
      <c r="G456" s="18"/>
      <c r="H456" s="18"/>
      <c r="I456" s="25"/>
      <c r="J456" s="18"/>
      <c r="K456" s="18"/>
      <c r="L456" s="18"/>
      <c r="M456" s="18"/>
      <c r="N456" s="18"/>
      <c r="O456" s="18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>
      <c r="A457" s="1"/>
      <c r="B457" s="1"/>
      <c r="C457" s="18"/>
      <c r="D457" s="47"/>
      <c r="E457" s="18"/>
      <c r="F457" s="18"/>
      <c r="G457" s="18"/>
      <c r="H457" s="18"/>
      <c r="I457" s="25"/>
      <c r="J457" s="18"/>
      <c r="K457" s="18"/>
      <c r="L457" s="18"/>
      <c r="M457" s="18"/>
      <c r="N457" s="18"/>
      <c r="O457" s="18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>
      <c r="A458" s="1"/>
      <c r="B458" s="1"/>
      <c r="C458" s="18"/>
      <c r="D458" s="47"/>
      <c r="E458" s="18"/>
      <c r="F458" s="18"/>
      <c r="G458" s="18"/>
      <c r="H458" s="18"/>
      <c r="I458" s="25"/>
      <c r="J458" s="18"/>
      <c r="K458" s="18"/>
      <c r="L458" s="18"/>
      <c r="M458" s="18"/>
      <c r="N458" s="18"/>
      <c r="O458" s="18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>
      <c r="A459" s="1"/>
      <c r="B459" s="1"/>
      <c r="C459" s="18"/>
      <c r="D459" s="47"/>
      <c r="E459" s="18"/>
      <c r="F459" s="18"/>
      <c r="G459" s="18"/>
      <c r="H459" s="18"/>
      <c r="I459" s="25"/>
      <c r="J459" s="18"/>
      <c r="K459" s="18"/>
      <c r="L459" s="18"/>
      <c r="M459" s="18"/>
      <c r="N459" s="18"/>
      <c r="O459" s="18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>
      <c r="A460" s="1"/>
      <c r="B460" s="1"/>
      <c r="C460" s="18"/>
      <c r="D460" s="47"/>
      <c r="E460" s="18"/>
      <c r="F460" s="18"/>
      <c r="G460" s="18"/>
      <c r="H460" s="18"/>
      <c r="I460" s="25"/>
      <c r="J460" s="18"/>
      <c r="K460" s="18"/>
      <c r="L460" s="18"/>
      <c r="M460" s="18"/>
      <c r="N460" s="18"/>
      <c r="O460" s="18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>
      <c r="A461" s="1"/>
      <c r="B461" s="1"/>
      <c r="C461" s="18"/>
      <c r="D461" s="47"/>
      <c r="E461" s="18"/>
      <c r="F461" s="18"/>
      <c r="G461" s="18"/>
      <c r="H461" s="18"/>
      <c r="I461" s="25"/>
      <c r="J461" s="18"/>
      <c r="K461" s="18"/>
      <c r="L461" s="18"/>
      <c r="M461" s="18"/>
      <c r="N461" s="18"/>
      <c r="O461" s="18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>
      <c r="A462" s="1"/>
      <c r="B462" s="1"/>
      <c r="C462" s="18"/>
      <c r="D462" s="47"/>
      <c r="E462" s="18"/>
      <c r="F462" s="18"/>
      <c r="G462" s="18"/>
      <c r="H462" s="18"/>
      <c r="I462" s="25"/>
      <c r="J462" s="18"/>
      <c r="K462" s="18"/>
      <c r="L462" s="18"/>
      <c r="M462" s="18"/>
      <c r="N462" s="18"/>
      <c r="O462" s="18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>
      <c r="A463" s="1"/>
      <c r="B463" s="1"/>
      <c r="C463" s="18"/>
      <c r="D463" s="47"/>
      <c r="E463" s="18"/>
      <c r="F463" s="18"/>
      <c r="G463" s="18"/>
      <c r="H463" s="18"/>
      <c r="I463" s="25"/>
      <c r="J463" s="18"/>
      <c r="K463" s="18"/>
      <c r="L463" s="18"/>
      <c r="M463" s="18"/>
      <c r="N463" s="18"/>
      <c r="O463" s="18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>
      <c r="A464" s="1"/>
      <c r="B464" s="1"/>
      <c r="C464" s="18"/>
      <c r="D464" s="47"/>
      <c r="E464" s="18"/>
      <c r="F464" s="18"/>
      <c r="G464" s="18"/>
      <c r="H464" s="18"/>
      <c r="I464" s="25"/>
      <c r="J464" s="18"/>
      <c r="K464" s="18"/>
      <c r="L464" s="18"/>
      <c r="M464" s="18"/>
      <c r="N464" s="18"/>
      <c r="O464" s="18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>
      <c r="A465" s="1"/>
      <c r="B465" s="1"/>
      <c r="C465" s="18"/>
      <c r="D465" s="47"/>
      <c r="E465" s="18"/>
      <c r="F465" s="18"/>
      <c r="G465" s="18"/>
      <c r="H465" s="18"/>
      <c r="I465" s="25"/>
      <c r="J465" s="18"/>
      <c r="K465" s="18"/>
      <c r="L465" s="18"/>
      <c r="M465" s="18"/>
      <c r="N465" s="18"/>
      <c r="O465" s="18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>
      <c r="A466" s="1"/>
      <c r="B466" s="1"/>
      <c r="C466" s="18"/>
      <c r="D466" s="47"/>
      <c r="E466" s="18"/>
      <c r="F466" s="18"/>
      <c r="G466" s="18"/>
      <c r="H466" s="18"/>
      <c r="I466" s="25"/>
      <c r="J466" s="18"/>
      <c r="K466" s="18"/>
      <c r="L466" s="18"/>
      <c r="M466" s="18"/>
      <c r="N466" s="18"/>
      <c r="O466" s="18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>
      <c r="A467" s="1"/>
      <c r="B467" s="1"/>
      <c r="C467" s="18"/>
      <c r="D467" s="47"/>
      <c r="E467" s="18"/>
      <c r="F467" s="18"/>
      <c r="G467" s="18"/>
      <c r="H467" s="18"/>
      <c r="I467" s="25"/>
      <c r="J467" s="18"/>
      <c r="K467" s="18"/>
      <c r="L467" s="18"/>
      <c r="M467" s="18"/>
      <c r="N467" s="18"/>
      <c r="O467" s="18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>
      <c r="A468" s="1"/>
      <c r="B468" s="1"/>
      <c r="C468" s="18"/>
      <c r="D468" s="47"/>
      <c r="E468" s="18"/>
      <c r="F468" s="18"/>
      <c r="G468" s="18"/>
      <c r="H468" s="18"/>
      <c r="I468" s="25"/>
      <c r="J468" s="18"/>
      <c r="K468" s="18"/>
      <c r="L468" s="18"/>
      <c r="M468" s="18"/>
      <c r="N468" s="18"/>
      <c r="O468" s="18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>
      <c r="A469" s="1"/>
      <c r="B469" s="1"/>
      <c r="C469" s="18"/>
      <c r="D469" s="47"/>
      <c r="E469" s="18"/>
      <c r="F469" s="18"/>
      <c r="G469" s="18"/>
      <c r="H469" s="18"/>
      <c r="I469" s="25"/>
      <c r="J469" s="18"/>
      <c r="K469" s="18"/>
      <c r="L469" s="18"/>
      <c r="M469" s="18"/>
      <c r="N469" s="18"/>
      <c r="O469" s="18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>
      <c r="A470" s="1"/>
      <c r="B470" s="1"/>
      <c r="C470" s="18"/>
      <c r="D470" s="47"/>
      <c r="E470" s="18"/>
      <c r="F470" s="18"/>
      <c r="G470" s="18"/>
      <c r="H470" s="18"/>
      <c r="I470" s="25"/>
      <c r="J470" s="18"/>
      <c r="K470" s="18"/>
      <c r="L470" s="18"/>
      <c r="M470" s="18"/>
      <c r="N470" s="18"/>
      <c r="O470" s="18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>
      <c r="A471" s="1"/>
      <c r="B471" s="1"/>
      <c r="C471" s="18"/>
      <c r="D471" s="47"/>
      <c r="E471" s="18"/>
      <c r="F471" s="18"/>
      <c r="G471" s="18"/>
      <c r="H471" s="18"/>
      <c r="I471" s="25"/>
      <c r="J471" s="18"/>
      <c r="K471" s="18"/>
      <c r="L471" s="18"/>
      <c r="M471" s="18"/>
      <c r="N471" s="18"/>
      <c r="O471" s="18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>
      <c r="A472" s="1"/>
      <c r="B472" s="1"/>
      <c r="C472" s="18"/>
      <c r="D472" s="47"/>
      <c r="E472" s="18"/>
      <c r="F472" s="18"/>
      <c r="G472" s="18"/>
      <c r="H472" s="18"/>
      <c r="I472" s="25"/>
      <c r="J472" s="18"/>
      <c r="K472" s="18"/>
      <c r="L472" s="18"/>
      <c r="M472" s="18"/>
      <c r="N472" s="18"/>
      <c r="O472" s="18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>
      <c r="A473" s="1"/>
      <c r="B473" s="1"/>
      <c r="C473" s="18"/>
      <c r="D473" s="47"/>
      <c r="E473" s="18"/>
      <c r="F473" s="18"/>
      <c r="G473" s="18"/>
      <c r="H473" s="18"/>
      <c r="I473" s="25"/>
      <c r="J473" s="18"/>
      <c r="K473" s="18"/>
      <c r="L473" s="18"/>
      <c r="M473" s="18"/>
      <c r="N473" s="18"/>
      <c r="O473" s="18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>
      <c r="A474" s="1"/>
      <c r="B474" s="1"/>
      <c r="C474" s="18"/>
      <c r="D474" s="47"/>
      <c r="E474" s="18"/>
      <c r="F474" s="18"/>
      <c r="G474" s="18"/>
      <c r="H474" s="18"/>
      <c r="I474" s="25"/>
      <c r="J474" s="18"/>
      <c r="K474" s="18"/>
      <c r="L474" s="18"/>
      <c r="M474" s="18"/>
      <c r="N474" s="18"/>
      <c r="O474" s="18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>
      <c r="A475" s="1"/>
      <c r="B475" s="1"/>
      <c r="C475" s="18"/>
      <c r="D475" s="47"/>
      <c r="E475" s="18"/>
      <c r="F475" s="18"/>
      <c r="G475" s="18"/>
      <c r="H475" s="18"/>
      <c r="I475" s="25"/>
      <c r="J475" s="18"/>
      <c r="K475" s="18"/>
      <c r="L475" s="18"/>
      <c r="M475" s="18"/>
      <c r="N475" s="18"/>
      <c r="O475" s="18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>
      <c r="A476" s="1"/>
      <c r="B476" s="1"/>
      <c r="C476" s="18"/>
      <c r="D476" s="47"/>
      <c r="E476" s="18"/>
      <c r="F476" s="18"/>
      <c r="G476" s="18"/>
      <c r="H476" s="18"/>
      <c r="I476" s="25"/>
      <c r="J476" s="18"/>
      <c r="K476" s="18"/>
      <c r="L476" s="18"/>
      <c r="M476" s="18"/>
      <c r="N476" s="18"/>
      <c r="O476" s="18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>
      <c r="A477" s="1"/>
      <c r="B477" s="1"/>
      <c r="C477" s="18"/>
      <c r="D477" s="47"/>
      <c r="E477" s="18"/>
      <c r="F477" s="18"/>
      <c r="G477" s="18"/>
      <c r="H477" s="18"/>
      <c r="I477" s="25"/>
      <c r="J477" s="18"/>
      <c r="K477" s="18"/>
      <c r="L477" s="18"/>
      <c r="M477" s="18"/>
      <c r="N477" s="18"/>
      <c r="O477" s="18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>
      <c r="A478" s="1"/>
      <c r="B478" s="1"/>
      <c r="C478" s="18"/>
      <c r="D478" s="47"/>
      <c r="E478" s="18"/>
      <c r="F478" s="18"/>
      <c r="G478" s="18"/>
      <c r="H478" s="18"/>
      <c r="I478" s="25"/>
      <c r="J478" s="18"/>
      <c r="K478" s="18"/>
      <c r="L478" s="18"/>
      <c r="M478" s="18"/>
      <c r="N478" s="18"/>
      <c r="O478" s="18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>
      <c r="A479" s="1"/>
      <c r="B479" s="1"/>
      <c r="C479" s="18"/>
      <c r="D479" s="47"/>
      <c r="E479" s="18"/>
      <c r="F479" s="18"/>
      <c r="G479" s="18"/>
      <c r="H479" s="18"/>
      <c r="I479" s="25"/>
      <c r="J479" s="18"/>
      <c r="K479" s="18"/>
      <c r="L479" s="18"/>
      <c r="M479" s="18"/>
      <c r="N479" s="18"/>
      <c r="O479" s="18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>
      <c r="A480" s="1"/>
      <c r="B480" s="1"/>
      <c r="C480" s="18"/>
      <c r="D480" s="47"/>
      <c r="E480" s="18"/>
      <c r="F480" s="18"/>
      <c r="G480" s="18"/>
      <c r="H480" s="18"/>
      <c r="I480" s="25"/>
      <c r="J480" s="18"/>
      <c r="K480" s="18"/>
      <c r="L480" s="18"/>
      <c r="M480" s="18"/>
      <c r="N480" s="18"/>
      <c r="O480" s="18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>
      <c r="A481" s="1"/>
      <c r="B481" s="1"/>
      <c r="C481" s="18"/>
      <c r="D481" s="47"/>
      <c r="E481" s="18"/>
      <c r="F481" s="18"/>
      <c r="G481" s="18"/>
      <c r="H481" s="18"/>
      <c r="I481" s="25"/>
      <c r="J481" s="18"/>
      <c r="K481" s="18"/>
      <c r="L481" s="18"/>
      <c r="M481" s="18"/>
      <c r="N481" s="18"/>
      <c r="O481" s="18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>
      <c r="A482" s="1"/>
      <c r="B482" s="1"/>
      <c r="C482" s="18"/>
      <c r="D482" s="47"/>
      <c r="E482" s="18"/>
      <c r="F482" s="18"/>
      <c r="G482" s="18"/>
      <c r="H482" s="18"/>
      <c r="I482" s="25"/>
      <c r="J482" s="18"/>
      <c r="K482" s="18"/>
      <c r="L482" s="18"/>
      <c r="M482" s="18"/>
      <c r="N482" s="18"/>
      <c r="O482" s="18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>
      <c r="A483" s="1"/>
      <c r="B483" s="1"/>
      <c r="C483" s="18"/>
      <c r="D483" s="47"/>
      <c r="E483" s="18"/>
      <c r="F483" s="18"/>
      <c r="G483" s="18"/>
      <c r="H483" s="18"/>
      <c r="I483" s="25"/>
      <c r="J483" s="18"/>
      <c r="K483" s="18"/>
      <c r="L483" s="18"/>
      <c r="M483" s="18"/>
      <c r="N483" s="18"/>
      <c r="O483" s="18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>
      <c r="A484" s="1"/>
      <c r="B484" s="1"/>
      <c r="C484" s="18"/>
      <c r="D484" s="47"/>
      <c r="E484" s="18"/>
      <c r="F484" s="18"/>
      <c r="G484" s="18"/>
      <c r="H484" s="18"/>
      <c r="I484" s="25"/>
      <c r="J484" s="18"/>
      <c r="K484" s="18"/>
      <c r="L484" s="18"/>
      <c r="M484" s="18"/>
      <c r="N484" s="18"/>
      <c r="O484" s="18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>
      <c r="A485" s="1"/>
      <c r="B485" s="1"/>
      <c r="C485" s="18"/>
      <c r="D485" s="47"/>
      <c r="E485" s="18"/>
      <c r="F485" s="18"/>
      <c r="G485" s="18"/>
      <c r="H485" s="18"/>
      <c r="I485" s="25"/>
      <c r="J485" s="18"/>
      <c r="K485" s="18"/>
      <c r="L485" s="18"/>
      <c r="M485" s="18"/>
      <c r="N485" s="18"/>
      <c r="O485" s="18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>
      <c r="A486" s="1"/>
      <c r="B486" s="1"/>
      <c r="C486" s="18"/>
      <c r="D486" s="47"/>
      <c r="E486" s="18"/>
      <c r="F486" s="18"/>
      <c r="G486" s="18"/>
      <c r="H486" s="18"/>
      <c r="I486" s="25"/>
      <c r="J486" s="18"/>
      <c r="K486" s="18"/>
      <c r="L486" s="18"/>
      <c r="M486" s="18"/>
      <c r="N486" s="18"/>
      <c r="O486" s="18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>
      <c r="A487" s="1"/>
      <c r="B487" s="1"/>
      <c r="C487" s="18"/>
      <c r="D487" s="47"/>
      <c r="E487" s="18"/>
      <c r="F487" s="18"/>
      <c r="G487" s="18"/>
      <c r="H487" s="18"/>
      <c r="I487" s="25"/>
      <c r="J487" s="18"/>
      <c r="K487" s="18"/>
      <c r="L487" s="18"/>
      <c r="M487" s="18"/>
      <c r="N487" s="18"/>
      <c r="O487" s="18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>
      <c r="A488" s="1"/>
      <c r="B488" s="1"/>
      <c r="C488" s="18"/>
      <c r="D488" s="47"/>
      <c r="E488" s="18"/>
      <c r="F488" s="18"/>
      <c r="G488" s="18"/>
      <c r="H488" s="18"/>
      <c r="I488" s="25"/>
      <c r="J488" s="18"/>
      <c r="K488" s="18"/>
      <c r="L488" s="18"/>
      <c r="M488" s="18"/>
      <c r="N488" s="18"/>
      <c r="O488" s="18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>
      <c r="A489" s="1"/>
      <c r="B489" s="1"/>
      <c r="C489" s="18"/>
      <c r="D489" s="47"/>
      <c r="E489" s="18"/>
      <c r="F489" s="18"/>
      <c r="G489" s="18"/>
      <c r="H489" s="18"/>
      <c r="I489" s="25"/>
      <c r="J489" s="18"/>
      <c r="K489" s="18"/>
      <c r="L489" s="18"/>
      <c r="M489" s="18"/>
      <c r="N489" s="18"/>
      <c r="O489" s="18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>
      <c r="A490" s="1"/>
      <c r="B490" s="1"/>
      <c r="C490" s="18"/>
      <c r="D490" s="47"/>
      <c r="E490" s="18"/>
      <c r="F490" s="18"/>
      <c r="G490" s="18"/>
      <c r="H490" s="18"/>
      <c r="I490" s="25"/>
      <c r="J490" s="18"/>
      <c r="K490" s="18"/>
      <c r="L490" s="18"/>
      <c r="M490" s="18"/>
      <c r="N490" s="18"/>
      <c r="O490" s="18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>
      <c r="A491" s="1"/>
      <c r="B491" s="1"/>
      <c r="C491" s="18"/>
      <c r="D491" s="47"/>
      <c r="E491" s="18"/>
      <c r="F491" s="18"/>
      <c r="G491" s="18"/>
      <c r="H491" s="18"/>
      <c r="I491" s="25"/>
      <c r="J491" s="18"/>
      <c r="K491" s="18"/>
      <c r="L491" s="18"/>
      <c r="M491" s="18"/>
      <c r="N491" s="18"/>
      <c r="O491" s="18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>
      <c r="A492" s="1"/>
      <c r="B492" s="1"/>
      <c r="C492" s="18"/>
      <c r="D492" s="47"/>
      <c r="E492" s="18"/>
      <c r="F492" s="18"/>
      <c r="G492" s="18"/>
      <c r="H492" s="18"/>
      <c r="I492" s="25"/>
      <c r="J492" s="18"/>
      <c r="K492" s="18"/>
      <c r="L492" s="18"/>
      <c r="M492" s="18"/>
      <c r="N492" s="18"/>
      <c r="O492" s="18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>
      <c r="A493" s="1"/>
      <c r="B493" s="1"/>
      <c r="C493" s="18"/>
      <c r="D493" s="47"/>
      <c r="E493" s="18"/>
      <c r="F493" s="18"/>
      <c r="G493" s="18"/>
      <c r="H493" s="18"/>
      <c r="I493" s="25"/>
      <c r="J493" s="18"/>
      <c r="K493" s="18"/>
      <c r="L493" s="18"/>
      <c r="M493" s="18"/>
      <c r="N493" s="18"/>
      <c r="O493" s="18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>
      <c r="A494" s="1"/>
      <c r="B494" s="1"/>
      <c r="C494" s="18"/>
      <c r="D494" s="47"/>
      <c r="E494" s="18"/>
      <c r="F494" s="18"/>
      <c r="G494" s="18"/>
      <c r="H494" s="18"/>
      <c r="I494" s="25"/>
      <c r="J494" s="18"/>
      <c r="K494" s="18"/>
      <c r="L494" s="18"/>
      <c r="M494" s="18"/>
      <c r="N494" s="18"/>
      <c r="O494" s="18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>
      <c r="A495" s="1"/>
      <c r="B495" s="1"/>
      <c r="C495" s="18"/>
      <c r="D495" s="47"/>
      <c r="E495" s="18"/>
      <c r="F495" s="18"/>
      <c r="G495" s="18"/>
      <c r="H495" s="18"/>
      <c r="I495" s="25"/>
      <c r="J495" s="18"/>
      <c r="K495" s="18"/>
      <c r="L495" s="18"/>
      <c r="M495" s="18"/>
      <c r="N495" s="18"/>
      <c r="O495" s="18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>
      <c r="A496" s="1"/>
      <c r="B496" s="1"/>
      <c r="C496" s="18"/>
      <c r="D496" s="47"/>
      <c r="E496" s="18"/>
      <c r="F496" s="18"/>
      <c r="G496" s="18"/>
      <c r="H496" s="18"/>
      <c r="I496" s="25"/>
      <c r="J496" s="18"/>
      <c r="K496" s="18"/>
      <c r="L496" s="18"/>
      <c r="M496" s="18"/>
      <c r="N496" s="18"/>
      <c r="O496" s="18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>
      <c r="A497" s="1"/>
      <c r="B497" s="1"/>
      <c r="C497" s="18"/>
      <c r="D497" s="47"/>
      <c r="E497" s="18"/>
      <c r="F497" s="18"/>
      <c r="G497" s="18"/>
      <c r="H497" s="18"/>
      <c r="I497" s="25"/>
      <c r="J497" s="18"/>
      <c r="K497" s="18"/>
      <c r="L497" s="18"/>
      <c r="M497" s="18"/>
      <c r="N497" s="18"/>
      <c r="O497" s="18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>
      <c r="A498" s="1"/>
      <c r="B498" s="1"/>
      <c r="C498" s="18"/>
      <c r="D498" s="47"/>
      <c r="E498" s="18"/>
      <c r="F498" s="18"/>
      <c r="G498" s="18"/>
      <c r="H498" s="18"/>
      <c r="I498" s="25"/>
      <c r="J498" s="18"/>
      <c r="K498" s="18"/>
      <c r="L498" s="18"/>
      <c r="M498" s="18"/>
      <c r="N498" s="18"/>
      <c r="O498" s="18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>
      <c r="A499" s="1"/>
      <c r="B499" s="1"/>
      <c r="C499" s="18"/>
      <c r="D499" s="47"/>
      <c r="E499" s="18"/>
      <c r="F499" s="18"/>
      <c r="G499" s="18"/>
      <c r="H499" s="18"/>
      <c r="I499" s="25"/>
      <c r="J499" s="18"/>
      <c r="K499" s="18"/>
      <c r="L499" s="18"/>
      <c r="M499" s="18"/>
      <c r="N499" s="18"/>
      <c r="O499" s="18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>
      <c r="A500" s="1"/>
      <c r="B500" s="1"/>
      <c r="C500" s="18"/>
      <c r="D500" s="47"/>
      <c r="E500" s="18"/>
      <c r="F500" s="18"/>
      <c r="G500" s="18"/>
      <c r="H500" s="18"/>
      <c r="I500" s="25"/>
      <c r="J500" s="18"/>
      <c r="K500" s="18"/>
      <c r="L500" s="18"/>
      <c r="M500" s="18"/>
      <c r="N500" s="18"/>
      <c r="O500" s="18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>
      <c r="A501" s="1"/>
      <c r="B501" s="1"/>
      <c r="C501" s="18"/>
      <c r="D501" s="47"/>
      <c r="E501" s="18"/>
      <c r="F501" s="18"/>
      <c r="G501" s="18"/>
      <c r="H501" s="18"/>
      <c r="I501" s="25"/>
      <c r="J501" s="18"/>
      <c r="K501" s="18"/>
      <c r="L501" s="18"/>
      <c r="M501" s="18"/>
      <c r="N501" s="18"/>
      <c r="O501" s="18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>
      <c r="A502" s="1"/>
      <c r="B502" s="1"/>
      <c r="C502" s="18"/>
      <c r="D502" s="47"/>
      <c r="E502" s="18"/>
      <c r="F502" s="18"/>
      <c r="G502" s="18"/>
      <c r="H502" s="18"/>
      <c r="I502" s="25"/>
      <c r="J502" s="18"/>
      <c r="K502" s="18"/>
      <c r="L502" s="18"/>
      <c r="M502" s="18"/>
      <c r="N502" s="18"/>
      <c r="O502" s="18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>
      <c r="A503" s="1"/>
      <c r="B503" s="1"/>
      <c r="C503" s="18"/>
      <c r="D503" s="47"/>
      <c r="E503" s="18"/>
      <c r="F503" s="18"/>
      <c r="G503" s="18"/>
      <c r="H503" s="18"/>
      <c r="I503" s="25"/>
      <c r="J503" s="18"/>
      <c r="K503" s="18"/>
      <c r="L503" s="18"/>
      <c r="M503" s="18"/>
      <c r="N503" s="18"/>
      <c r="O503" s="18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>
      <c r="A504" s="1"/>
      <c r="B504" s="1"/>
      <c r="C504" s="18"/>
      <c r="D504" s="47"/>
      <c r="E504" s="18"/>
      <c r="F504" s="18"/>
      <c r="G504" s="18"/>
      <c r="H504" s="18"/>
      <c r="I504" s="25"/>
      <c r="J504" s="18"/>
      <c r="K504" s="18"/>
      <c r="L504" s="18"/>
      <c r="M504" s="18"/>
      <c r="N504" s="18"/>
      <c r="O504" s="18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>
      <c r="A505" s="1"/>
      <c r="B505" s="1"/>
      <c r="C505" s="18"/>
      <c r="D505" s="47"/>
      <c r="E505" s="18"/>
      <c r="F505" s="18"/>
      <c r="G505" s="18"/>
      <c r="H505" s="18"/>
      <c r="I505" s="25"/>
      <c r="J505" s="18"/>
      <c r="K505" s="18"/>
      <c r="L505" s="18"/>
      <c r="M505" s="18"/>
      <c r="N505" s="18"/>
      <c r="O505" s="18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>
      <c r="A506" s="1"/>
      <c r="B506" s="1"/>
      <c r="C506" s="18"/>
      <c r="D506" s="47"/>
      <c r="E506" s="18"/>
      <c r="F506" s="18"/>
      <c r="G506" s="18"/>
      <c r="H506" s="18"/>
      <c r="I506" s="25"/>
      <c r="J506" s="18"/>
      <c r="K506" s="18"/>
      <c r="L506" s="18"/>
      <c r="M506" s="18"/>
      <c r="N506" s="18"/>
      <c r="O506" s="18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>
      <c r="A507" s="1"/>
      <c r="B507" s="1"/>
      <c r="C507" s="18"/>
      <c r="D507" s="47"/>
      <c r="E507" s="18"/>
      <c r="F507" s="18"/>
      <c r="G507" s="18"/>
      <c r="H507" s="18"/>
      <c r="I507" s="25"/>
      <c r="J507" s="18"/>
      <c r="K507" s="18"/>
      <c r="L507" s="18"/>
      <c r="M507" s="18"/>
      <c r="N507" s="18"/>
      <c r="O507" s="18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>
      <c r="A508" s="1"/>
      <c r="B508" s="1"/>
      <c r="C508" s="18"/>
      <c r="D508" s="47"/>
      <c r="E508" s="18"/>
      <c r="F508" s="18"/>
      <c r="G508" s="18"/>
      <c r="H508" s="18"/>
      <c r="I508" s="25"/>
      <c r="J508" s="18"/>
      <c r="K508" s="18"/>
      <c r="L508" s="18"/>
      <c r="M508" s="18"/>
      <c r="N508" s="18"/>
      <c r="O508" s="18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>
      <c r="A509" s="1"/>
      <c r="B509" s="1"/>
      <c r="C509" s="18"/>
      <c r="D509" s="47"/>
      <c r="E509" s="18"/>
      <c r="F509" s="18"/>
      <c r="G509" s="18"/>
      <c r="H509" s="18"/>
      <c r="I509" s="25"/>
      <c r="J509" s="18"/>
      <c r="K509" s="18"/>
      <c r="L509" s="18"/>
      <c r="M509" s="18"/>
      <c r="N509" s="18"/>
      <c r="O509" s="18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>
      <c r="A510" s="1"/>
      <c r="B510" s="1"/>
      <c r="C510" s="18"/>
      <c r="D510" s="47"/>
      <c r="E510" s="18"/>
      <c r="F510" s="18"/>
      <c r="G510" s="18"/>
      <c r="H510" s="18"/>
      <c r="I510" s="25"/>
      <c r="J510" s="18"/>
      <c r="K510" s="18"/>
      <c r="L510" s="18"/>
      <c r="M510" s="18"/>
      <c r="N510" s="18"/>
      <c r="O510" s="18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>
      <c r="A511" s="1"/>
      <c r="B511" s="1"/>
      <c r="C511" s="18"/>
      <c r="D511" s="47"/>
      <c r="E511" s="18"/>
      <c r="F511" s="18"/>
      <c r="G511" s="18"/>
      <c r="H511" s="18"/>
      <c r="I511" s="25"/>
      <c r="J511" s="18"/>
      <c r="K511" s="18"/>
      <c r="L511" s="18"/>
      <c r="M511" s="18"/>
      <c r="N511" s="18"/>
      <c r="O511" s="18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>
      <c r="A512" s="1"/>
      <c r="B512" s="1"/>
      <c r="C512" s="18"/>
      <c r="D512" s="47"/>
      <c r="E512" s="18"/>
      <c r="F512" s="18"/>
      <c r="G512" s="18"/>
      <c r="H512" s="18"/>
      <c r="I512" s="25"/>
      <c r="J512" s="18"/>
      <c r="K512" s="18"/>
      <c r="L512" s="18"/>
      <c r="M512" s="18"/>
      <c r="N512" s="18"/>
      <c r="O512" s="18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>
      <c r="A513" s="1"/>
      <c r="B513" s="1"/>
      <c r="C513" s="18"/>
      <c r="D513" s="47"/>
      <c r="E513" s="18"/>
      <c r="F513" s="18"/>
      <c r="G513" s="18"/>
      <c r="H513" s="18"/>
      <c r="I513" s="25"/>
      <c r="J513" s="18"/>
      <c r="K513" s="18"/>
      <c r="L513" s="18"/>
      <c r="M513" s="18"/>
      <c r="N513" s="18"/>
      <c r="O513" s="18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>
      <c r="A514" s="1"/>
      <c r="B514" s="1"/>
      <c r="C514" s="18"/>
      <c r="D514" s="47"/>
      <c r="E514" s="18"/>
      <c r="F514" s="18"/>
      <c r="G514" s="18"/>
      <c r="H514" s="18"/>
      <c r="I514" s="25"/>
      <c r="J514" s="18"/>
      <c r="K514" s="18"/>
      <c r="L514" s="18"/>
      <c r="M514" s="18"/>
      <c r="N514" s="18"/>
      <c r="O514" s="18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>
      <c r="A515" s="1"/>
      <c r="B515" s="1"/>
      <c r="C515" s="18"/>
      <c r="D515" s="47"/>
      <c r="E515" s="18"/>
      <c r="F515" s="18"/>
      <c r="G515" s="18"/>
      <c r="H515" s="18"/>
      <c r="I515" s="25"/>
      <c r="J515" s="18"/>
      <c r="K515" s="18"/>
      <c r="L515" s="18"/>
      <c r="M515" s="18"/>
      <c r="N515" s="18"/>
      <c r="O515" s="18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>
      <c r="A516" s="1"/>
      <c r="B516" s="1"/>
      <c r="C516" s="18"/>
      <c r="D516" s="47"/>
      <c r="E516" s="18"/>
      <c r="F516" s="18"/>
      <c r="G516" s="18"/>
      <c r="H516" s="18"/>
      <c r="I516" s="25"/>
      <c r="J516" s="18"/>
      <c r="K516" s="18"/>
      <c r="L516" s="18"/>
      <c r="M516" s="18"/>
      <c r="N516" s="18"/>
      <c r="O516" s="18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>
      <c r="A517" s="1"/>
      <c r="B517" s="1"/>
      <c r="C517" s="18"/>
      <c r="D517" s="47"/>
      <c r="E517" s="18"/>
      <c r="F517" s="18"/>
      <c r="G517" s="18"/>
      <c r="H517" s="18"/>
      <c r="I517" s="25"/>
      <c r="J517" s="18"/>
      <c r="K517" s="18"/>
      <c r="L517" s="18"/>
      <c r="M517" s="18"/>
      <c r="N517" s="18"/>
      <c r="O517" s="18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>
      <c r="A518" s="1"/>
      <c r="B518" s="1"/>
      <c r="C518" s="18"/>
      <c r="D518" s="47"/>
      <c r="E518" s="18"/>
      <c r="F518" s="18"/>
      <c r="G518" s="18"/>
      <c r="H518" s="18"/>
      <c r="I518" s="25"/>
      <c r="J518" s="18"/>
      <c r="K518" s="18"/>
      <c r="L518" s="18"/>
      <c r="M518" s="18"/>
      <c r="N518" s="18"/>
      <c r="O518" s="18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>
      <c r="A519" s="1"/>
      <c r="B519" s="1"/>
      <c r="C519" s="18"/>
      <c r="D519" s="47"/>
      <c r="E519" s="18"/>
      <c r="F519" s="18"/>
      <c r="G519" s="18"/>
      <c r="H519" s="18"/>
      <c r="I519" s="25"/>
      <c r="J519" s="18"/>
      <c r="K519" s="18"/>
      <c r="L519" s="18"/>
      <c r="M519" s="18"/>
      <c r="N519" s="18"/>
      <c r="O519" s="18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>
      <c r="A520" s="1"/>
      <c r="B520" s="1"/>
      <c r="C520" s="18"/>
      <c r="D520" s="47"/>
      <c r="E520" s="18"/>
      <c r="F520" s="18"/>
      <c r="G520" s="18"/>
      <c r="H520" s="18"/>
      <c r="I520" s="25"/>
      <c r="J520" s="18"/>
      <c r="K520" s="18"/>
      <c r="L520" s="18"/>
      <c r="M520" s="18"/>
      <c r="N520" s="18"/>
      <c r="O520" s="18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>
      <c r="A521" s="1"/>
      <c r="B521" s="1"/>
      <c r="C521" s="18"/>
      <c r="D521" s="47"/>
      <c r="E521" s="18"/>
      <c r="F521" s="18"/>
      <c r="G521" s="18"/>
      <c r="H521" s="18"/>
      <c r="I521" s="25"/>
      <c r="J521" s="18"/>
      <c r="K521" s="18"/>
      <c r="L521" s="18"/>
      <c r="M521" s="18"/>
      <c r="N521" s="18"/>
      <c r="O521" s="18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>
      <c r="A522" s="1"/>
      <c r="B522" s="1"/>
      <c r="C522" s="18"/>
      <c r="D522" s="47"/>
      <c r="E522" s="18"/>
      <c r="F522" s="18"/>
      <c r="G522" s="18"/>
      <c r="H522" s="18"/>
      <c r="I522" s="25"/>
      <c r="J522" s="18"/>
      <c r="K522" s="18"/>
      <c r="L522" s="18"/>
      <c r="M522" s="18"/>
      <c r="N522" s="18"/>
      <c r="O522" s="18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>
      <c r="A523" s="1"/>
      <c r="B523" s="1"/>
      <c r="C523" s="18"/>
      <c r="D523" s="47"/>
      <c r="E523" s="18"/>
      <c r="F523" s="18"/>
      <c r="G523" s="18"/>
      <c r="H523" s="18"/>
      <c r="I523" s="25"/>
      <c r="J523" s="18"/>
      <c r="K523" s="18"/>
      <c r="L523" s="18"/>
      <c r="M523" s="18"/>
      <c r="N523" s="18"/>
      <c r="O523" s="18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>
      <c r="A524" s="1"/>
      <c r="B524" s="1"/>
      <c r="C524" s="18"/>
      <c r="D524" s="47"/>
      <c r="E524" s="18"/>
      <c r="F524" s="18"/>
      <c r="G524" s="18"/>
      <c r="H524" s="18"/>
      <c r="I524" s="25"/>
      <c r="J524" s="18"/>
      <c r="K524" s="18"/>
      <c r="L524" s="18"/>
      <c r="M524" s="18"/>
      <c r="N524" s="18"/>
      <c r="O524" s="18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>
      <c r="A525" s="1"/>
      <c r="B525" s="1"/>
      <c r="C525" s="18"/>
      <c r="D525" s="47"/>
      <c r="E525" s="18"/>
      <c r="F525" s="18"/>
      <c r="G525" s="18"/>
      <c r="H525" s="18"/>
      <c r="I525" s="25"/>
      <c r="J525" s="18"/>
      <c r="K525" s="18"/>
      <c r="L525" s="18"/>
      <c r="M525" s="18"/>
      <c r="N525" s="18"/>
      <c r="O525" s="18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>
      <c r="A526" s="1"/>
      <c r="B526" s="1"/>
      <c r="C526" s="18"/>
      <c r="D526" s="47"/>
      <c r="E526" s="18"/>
      <c r="F526" s="18"/>
      <c r="G526" s="18"/>
      <c r="H526" s="18"/>
      <c r="I526" s="25"/>
      <c r="J526" s="18"/>
      <c r="K526" s="18"/>
      <c r="L526" s="18"/>
      <c r="M526" s="18"/>
      <c r="N526" s="18"/>
      <c r="O526" s="18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>
      <c r="A527" s="1"/>
      <c r="B527" s="1"/>
      <c r="C527" s="18"/>
      <c r="D527" s="47"/>
      <c r="E527" s="18"/>
      <c r="F527" s="18"/>
      <c r="G527" s="18"/>
      <c r="H527" s="18"/>
      <c r="I527" s="25"/>
      <c r="J527" s="18"/>
      <c r="K527" s="18"/>
      <c r="L527" s="18"/>
      <c r="M527" s="18"/>
      <c r="N527" s="18"/>
      <c r="O527" s="18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>
      <c r="A528" s="1"/>
      <c r="B528" s="1"/>
      <c r="C528" s="18"/>
      <c r="D528" s="47"/>
      <c r="E528" s="18"/>
      <c r="F528" s="18"/>
      <c r="G528" s="18"/>
      <c r="H528" s="18"/>
      <c r="I528" s="25"/>
      <c r="J528" s="18"/>
      <c r="K528" s="18"/>
      <c r="L528" s="18"/>
      <c r="M528" s="18"/>
      <c r="N528" s="18"/>
      <c r="O528" s="18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>
      <c r="A529" s="1"/>
      <c r="B529" s="1"/>
      <c r="C529" s="18"/>
      <c r="D529" s="47"/>
      <c r="E529" s="18"/>
      <c r="F529" s="18"/>
      <c r="G529" s="18"/>
      <c r="H529" s="18"/>
      <c r="I529" s="25"/>
      <c r="J529" s="18"/>
      <c r="K529" s="18"/>
      <c r="L529" s="18"/>
      <c r="M529" s="18"/>
      <c r="N529" s="18"/>
      <c r="O529" s="18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>
      <c r="A530" s="1"/>
      <c r="B530" s="1"/>
      <c r="C530" s="18"/>
      <c r="D530" s="47"/>
      <c r="E530" s="18"/>
      <c r="F530" s="18"/>
      <c r="G530" s="18"/>
      <c r="H530" s="18"/>
      <c r="I530" s="25"/>
      <c r="J530" s="18"/>
      <c r="K530" s="18"/>
      <c r="L530" s="18"/>
      <c r="M530" s="18"/>
      <c r="N530" s="18"/>
      <c r="O530" s="18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>
      <c r="A531" s="1"/>
      <c r="B531" s="1"/>
      <c r="C531" s="18"/>
      <c r="D531" s="47"/>
      <c r="E531" s="18"/>
      <c r="F531" s="18"/>
      <c r="G531" s="18"/>
      <c r="H531" s="18"/>
      <c r="I531" s="25"/>
      <c r="J531" s="18"/>
      <c r="K531" s="18"/>
      <c r="L531" s="18"/>
      <c r="M531" s="18"/>
      <c r="N531" s="18"/>
      <c r="O531" s="18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>
      <c r="A532" s="1"/>
      <c r="B532" s="1"/>
      <c r="C532" s="18"/>
      <c r="D532" s="47"/>
      <c r="E532" s="18"/>
      <c r="F532" s="18"/>
      <c r="G532" s="18"/>
      <c r="H532" s="18"/>
      <c r="I532" s="25"/>
      <c r="J532" s="18"/>
      <c r="K532" s="18"/>
      <c r="L532" s="18"/>
      <c r="M532" s="18"/>
      <c r="N532" s="18"/>
      <c r="O532" s="18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>
      <c r="A533" s="1"/>
      <c r="B533" s="1"/>
      <c r="C533" s="18"/>
      <c r="D533" s="47"/>
      <c r="E533" s="18"/>
      <c r="F533" s="18"/>
      <c r="G533" s="18"/>
      <c r="H533" s="18"/>
      <c r="I533" s="25"/>
      <c r="J533" s="18"/>
      <c r="K533" s="18"/>
      <c r="L533" s="18"/>
      <c r="M533" s="18"/>
      <c r="N533" s="18"/>
      <c r="O533" s="18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>
      <c r="A534" s="1"/>
      <c r="B534" s="1"/>
      <c r="C534" s="18"/>
      <c r="D534" s="47"/>
      <c r="E534" s="18"/>
      <c r="F534" s="18"/>
      <c r="G534" s="18"/>
      <c r="H534" s="18"/>
      <c r="I534" s="25"/>
      <c r="J534" s="18"/>
      <c r="K534" s="18"/>
      <c r="L534" s="18"/>
      <c r="M534" s="18"/>
      <c r="N534" s="18"/>
      <c r="O534" s="18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>
      <c r="A535" s="1"/>
      <c r="B535" s="1"/>
      <c r="C535" s="18"/>
      <c r="D535" s="47"/>
      <c r="E535" s="18"/>
      <c r="F535" s="18"/>
      <c r="G535" s="18"/>
      <c r="H535" s="18"/>
      <c r="I535" s="25"/>
      <c r="J535" s="18"/>
      <c r="K535" s="18"/>
      <c r="L535" s="18"/>
      <c r="M535" s="18"/>
      <c r="N535" s="18"/>
      <c r="O535" s="18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>
      <c r="A536" s="1"/>
      <c r="B536" s="1"/>
      <c r="C536" s="18"/>
      <c r="D536" s="47"/>
      <c r="E536" s="18"/>
      <c r="F536" s="18"/>
      <c r="G536" s="18"/>
      <c r="H536" s="18"/>
      <c r="I536" s="25"/>
      <c r="J536" s="18"/>
      <c r="K536" s="18"/>
      <c r="L536" s="18"/>
      <c r="M536" s="18"/>
      <c r="N536" s="18"/>
      <c r="O536" s="18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>
      <c r="A537" s="1"/>
      <c r="B537" s="1"/>
      <c r="C537" s="18"/>
      <c r="D537" s="47"/>
      <c r="E537" s="18"/>
      <c r="F537" s="18"/>
      <c r="G537" s="18"/>
      <c r="H537" s="18"/>
      <c r="I537" s="25"/>
      <c r="J537" s="18"/>
      <c r="K537" s="18"/>
      <c r="L537" s="18"/>
      <c r="M537" s="18"/>
      <c r="N537" s="18"/>
      <c r="O537" s="18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>
      <c r="A538" s="1"/>
      <c r="B538" s="1"/>
      <c r="C538" s="18"/>
      <c r="D538" s="47"/>
      <c r="E538" s="18"/>
      <c r="F538" s="18"/>
      <c r="G538" s="18"/>
      <c r="H538" s="18"/>
      <c r="I538" s="25"/>
      <c r="J538" s="18"/>
      <c r="K538" s="18"/>
      <c r="L538" s="18"/>
      <c r="M538" s="18"/>
      <c r="N538" s="18"/>
      <c r="O538" s="18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>
      <c r="A539" s="1"/>
      <c r="B539" s="1"/>
      <c r="C539" s="18"/>
      <c r="D539" s="47"/>
      <c r="E539" s="18"/>
      <c r="F539" s="18"/>
      <c r="G539" s="18"/>
      <c r="H539" s="18"/>
      <c r="I539" s="25"/>
      <c r="J539" s="18"/>
      <c r="K539" s="18"/>
      <c r="L539" s="18"/>
      <c r="M539" s="18"/>
      <c r="N539" s="18"/>
      <c r="O539" s="18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>
      <c r="A540" s="1"/>
      <c r="B540" s="1"/>
      <c r="C540" s="18"/>
      <c r="D540" s="47"/>
      <c r="E540" s="18"/>
      <c r="F540" s="18"/>
      <c r="G540" s="18"/>
      <c r="H540" s="18"/>
      <c r="I540" s="25"/>
      <c r="J540" s="18"/>
      <c r="K540" s="18"/>
      <c r="L540" s="18"/>
      <c r="M540" s="18"/>
      <c r="N540" s="18"/>
      <c r="O540" s="18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>
      <c r="A541" s="1"/>
      <c r="B541" s="1"/>
      <c r="C541" s="18"/>
      <c r="D541" s="47"/>
      <c r="E541" s="18"/>
      <c r="F541" s="18"/>
      <c r="G541" s="18"/>
      <c r="H541" s="18"/>
      <c r="I541" s="25"/>
      <c r="J541" s="18"/>
      <c r="K541" s="18"/>
      <c r="L541" s="18"/>
      <c r="M541" s="18"/>
      <c r="N541" s="18"/>
      <c r="O541" s="18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>
      <c r="A542" s="1"/>
      <c r="B542" s="1"/>
      <c r="C542" s="18"/>
      <c r="D542" s="47"/>
      <c r="E542" s="18"/>
      <c r="F542" s="18"/>
      <c r="G542" s="18"/>
      <c r="H542" s="18"/>
      <c r="I542" s="25"/>
      <c r="J542" s="18"/>
      <c r="K542" s="18"/>
      <c r="L542" s="18"/>
      <c r="M542" s="18"/>
      <c r="N542" s="18"/>
      <c r="O542" s="18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>
      <c r="A543" s="1"/>
      <c r="B543" s="1"/>
      <c r="C543" s="18"/>
      <c r="D543" s="47"/>
      <c r="E543" s="18"/>
      <c r="F543" s="18"/>
      <c r="G543" s="18"/>
      <c r="H543" s="18"/>
      <c r="I543" s="25"/>
      <c r="J543" s="18"/>
      <c r="K543" s="18"/>
      <c r="L543" s="18"/>
      <c r="M543" s="18"/>
      <c r="N543" s="18"/>
      <c r="O543" s="18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>
      <c r="A544" s="1"/>
      <c r="B544" s="1"/>
      <c r="C544" s="18"/>
      <c r="D544" s="47"/>
      <c r="E544" s="18"/>
      <c r="F544" s="18"/>
      <c r="G544" s="18"/>
      <c r="H544" s="18"/>
      <c r="I544" s="25"/>
      <c r="J544" s="18"/>
      <c r="K544" s="18"/>
      <c r="L544" s="18"/>
      <c r="M544" s="18"/>
      <c r="N544" s="18"/>
      <c r="O544" s="18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>
      <c r="A545" s="1"/>
      <c r="B545" s="1"/>
      <c r="C545" s="18"/>
      <c r="D545" s="47"/>
      <c r="E545" s="18"/>
      <c r="F545" s="18"/>
      <c r="G545" s="18"/>
      <c r="H545" s="18"/>
      <c r="I545" s="25"/>
      <c r="J545" s="18"/>
      <c r="K545" s="18"/>
      <c r="L545" s="18"/>
      <c r="M545" s="18"/>
      <c r="N545" s="18"/>
      <c r="O545" s="18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>
      <c r="A546" s="1"/>
      <c r="B546" s="1"/>
      <c r="C546" s="18"/>
      <c r="D546" s="47"/>
      <c r="E546" s="18"/>
      <c r="F546" s="18"/>
      <c r="G546" s="18"/>
      <c r="H546" s="18"/>
      <c r="I546" s="25"/>
      <c r="J546" s="18"/>
      <c r="K546" s="18"/>
      <c r="L546" s="18"/>
      <c r="M546" s="18"/>
      <c r="N546" s="18"/>
      <c r="O546" s="18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>
      <c r="A547" s="1"/>
      <c r="B547" s="1"/>
      <c r="C547" s="18"/>
      <c r="D547" s="47"/>
      <c r="E547" s="18"/>
      <c r="F547" s="18"/>
      <c r="G547" s="18"/>
      <c r="H547" s="18"/>
      <c r="I547" s="25"/>
      <c r="J547" s="18"/>
      <c r="K547" s="18"/>
      <c r="L547" s="18"/>
      <c r="M547" s="18"/>
      <c r="N547" s="18"/>
      <c r="O547" s="18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>
      <c r="A548" s="1"/>
      <c r="B548" s="1"/>
      <c r="C548" s="18"/>
      <c r="D548" s="47"/>
      <c r="E548" s="18"/>
      <c r="F548" s="18"/>
      <c r="G548" s="18"/>
      <c r="H548" s="18"/>
      <c r="I548" s="25"/>
      <c r="J548" s="18"/>
      <c r="K548" s="18"/>
      <c r="L548" s="18"/>
      <c r="M548" s="18"/>
      <c r="N548" s="18"/>
      <c r="O548" s="18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>
      <c r="A549" s="1"/>
      <c r="B549" s="1"/>
      <c r="C549" s="18"/>
      <c r="D549" s="47"/>
      <c r="E549" s="18"/>
      <c r="F549" s="18"/>
      <c r="G549" s="18"/>
      <c r="H549" s="18"/>
      <c r="I549" s="25"/>
      <c r="J549" s="18"/>
      <c r="K549" s="18"/>
      <c r="L549" s="18"/>
      <c r="M549" s="18"/>
      <c r="N549" s="18"/>
      <c r="O549" s="18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>
      <c r="A550" s="1"/>
      <c r="B550" s="1"/>
      <c r="C550" s="18"/>
      <c r="D550" s="47"/>
      <c r="E550" s="18"/>
      <c r="F550" s="18"/>
      <c r="G550" s="18"/>
      <c r="H550" s="18"/>
      <c r="I550" s="25"/>
      <c r="J550" s="18"/>
      <c r="K550" s="18"/>
      <c r="L550" s="18"/>
      <c r="M550" s="18"/>
      <c r="N550" s="18"/>
      <c r="O550" s="18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>
      <c r="A551" s="1"/>
      <c r="B551" s="1"/>
      <c r="C551" s="18"/>
      <c r="D551" s="47"/>
      <c r="E551" s="18"/>
      <c r="F551" s="18"/>
      <c r="G551" s="18"/>
      <c r="H551" s="18"/>
      <c r="I551" s="25"/>
      <c r="J551" s="18"/>
      <c r="K551" s="18"/>
      <c r="L551" s="18"/>
      <c r="M551" s="18"/>
      <c r="N551" s="18"/>
      <c r="O551" s="18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>
      <c r="A552" s="1"/>
      <c r="B552" s="1"/>
      <c r="C552" s="18"/>
      <c r="D552" s="47"/>
      <c r="E552" s="18"/>
      <c r="F552" s="18"/>
      <c r="G552" s="18"/>
      <c r="H552" s="18"/>
      <c r="I552" s="25"/>
      <c r="J552" s="18"/>
      <c r="K552" s="18"/>
      <c r="L552" s="18"/>
      <c r="M552" s="18"/>
      <c r="N552" s="18"/>
      <c r="O552" s="18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>
      <c r="A553" s="1"/>
      <c r="B553" s="1"/>
      <c r="C553" s="18"/>
      <c r="D553" s="47"/>
      <c r="E553" s="18"/>
      <c r="F553" s="18"/>
      <c r="G553" s="18"/>
      <c r="H553" s="18"/>
      <c r="I553" s="25"/>
      <c r="J553" s="18"/>
      <c r="K553" s="18"/>
      <c r="L553" s="18"/>
      <c r="M553" s="18"/>
      <c r="N553" s="18"/>
      <c r="O553" s="18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>
      <c r="A554" s="1"/>
      <c r="B554" s="1"/>
      <c r="C554" s="18"/>
      <c r="D554" s="47"/>
      <c r="E554" s="18"/>
      <c r="F554" s="18"/>
      <c r="G554" s="18"/>
      <c r="H554" s="18"/>
      <c r="I554" s="25"/>
      <c r="J554" s="18"/>
      <c r="K554" s="18"/>
      <c r="L554" s="18"/>
      <c r="M554" s="18"/>
      <c r="N554" s="18"/>
      <c r="O554" s="18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>
      <c r="A555" s="1"/>
      <c r="B555" s="1"/>
      <c r="C555" s="18"/>
      <c r="D555" s="47"/>
      <c r="E555" s="18"/>
      <c r="F555" s="18"/>
      <c r="G555" s="18"/>
      <c r="H555" s="18"/>
      <c r="I555" s="25"/>
      <c r="J555" s="18"/>
      <c r="K555" s="18"/>
      <c r="L555" s="18"/>
      <c r="M555" s="18"/>
      <c r="N555" s="18"/>
      <c r="O555" s="18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>
      <c r="A556" s="1"/>
      <c r="B556" s="1"/>
      <c r="C556" s="18"/>
      <c r="D556" s="47"/>
      <c r="E556" s="18"/>
      <c r="F556" s="18"/>
      <c r="G556" s="18"/>
      <c r="H556" s="18"/>
      <c r="I556" s="25"/>
      <c r="J556" s="18"/>
      <c r="K556" s="18"/>
      <c r="L556" s="18"/>
      <c r="M556" s="18"/>
      <c r="N556" s="18"/>
      <c r="O556" s="18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>
      <c r="A557" s="1"/>
      <c r="B557" s="1"/>
      <c r="C557" s="18"/>
      <c r="D557" s="47"/>
      <c r="E557" s="18"/>
      <c r="F557" s="18"/>
      <c r="G557" s="18"/>
      <c r="H557" s="18"/>
      <c r="I557" s="25"/>
      <c r="J557" s="18"/>
      <c r="K557" s="18"/>
      <c r="L557" s="18"/>
      <c r="M557" s="18"/>
      <c r="N557" s="18"/>
      <c r="O557" s="18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>
      <c r="A558" s="1"/>
      <c r="B558" s="1"/>
      <c r="C558" s="18"/>
      <c r="D558" s="47"/>
      <c r="E558" s="18"/>
      <c r="F558" s="18"/>
      <c r="G558" s="18"/>
      <c r="H558" s="18"/>
      <c r="I558" s="25"/>
      <c r="J558" s="18"/>
      <c r="K558" s="18"/>
      <c r="L558" s="18"/>
      <c r="M558" s="18"/>
      <c r="N558" s="18"/>
      <c r="O558" s="18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>
      <c r="A559" s="1"/>
      <c r="B559" s="1"/>
      <c r="C559" s="18"/>
      <c r="D559" s="47"/>
      <c r="E559" s="18"/>
      <c r="F559" s="18"/>
      <c r="G559" s="18"/>
      <c r="H559" s="18"/>
      <c r="I559" s="25"/>
      <c r="J559" s="18"/>
      <c r="K559" s="18"/>
      <c r="L559" s="18"/>
      <c r="M559" s="18"/>
      <c r="N559" s="18"/>
      <c r="O559" s="18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>
      <c r="A560" s="1"/>
      <c r="B560" s="1"/>
      <c r="C560" s="18"/>
      <c r="D560" s="47"/>
      <c r="E560" s="18"/>
      <c r="F560" s="18"/>
      <c r="G560" s="18"/>
      <c r="H560" s="18"/>
      <c r="I560" s="25"/>
      <c r="J560" s="18"/>
      <c r="K560" s="18"/>
      <c r="L560" s="18"/>
      <c r="M560" s="18"/>
      <c r="N560" s="18"/>
      <c r="O560" s="18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>
      <c r="A561" s="1"/>
      <c r="B561" s="1"/>
      <c r="C561" s="18"/>
      <c r="D561" s="47"/>
      <c r="E561" s="18"/>
      <c r="F561" s="18"/>
      <c r="G561" s="18"/>
      <c r="H561" s="18"/>
      <c r="I561" s="25"/>
      <c r="J561" s="18"/>
      <c r="K561" s="18"/>
      <c r="L561" s="18"/>
      <c r="M561" s="18"/>
      <c r="N561" s="18"/>
      <c r="O561" s="18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>
      <c r="A562" s="1"/>
      <c r="B562" s="1"/>
      <c r="C562" s="18"/>
      <c r="D562" s="47"/>
      <c r="E562" s="18"/>
      <c r="F562" s="18"/>
      <c r="G562" s="18"/>
      <c r="H562" s="18"/>
      <c r="I562" s="25"/>
      <c r="J562" s="18"/>
      <c r="K562" s="18"/>
      <c r="L562" s="18"/>
      <c r="M562" s="18"/>
      <c r="N562" s="18"/>
      <c r="O562" s="18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>
      <c r="A563" s="1"/>
      <c r="B563" s="1"/>
      <c r="C563" s="18"/>
      <c r="D563" s="47"/>
      <c r="E563" s="18"/>
      <c r="F563" s="18"/>
      <c r="G563" s="18"/>
      <c r="H563" s="18"/>
      <c r="I563" s="25"/>
      <c r="J563" s="18"/>
      <c r="K563" s="18"/>
      <c r="L563" s="18"/>
      <c r="M563" s="18"/>
      <c r="N563" s="18"/>
      <c r="O563" s="18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>
      <c r="A564" s="1"/>
      <c r="B564" s="1"/>
      <c r="C564" s="18"/>
      <c r="D564" s="47"/>
      <c r="E564" s="18"/>
      <c r="F564" s="18"/>
      <c r="G564" s="18"/>
      <c r="H564" s="18"/>
      <c r="I564" s="25"/>
      <c r="J564" s="18"/>
      <c r="K564" s="18"/>
      <c r="L564" s="18"/>
      <c r="M564" s="18"/>
      <c r="N564" s="18"/>
      <c r="O564" s="18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>
      <c r="A565" s="1"/>
      <c r="B565" s="1"/>
      <c r="C565" s="18"/>
      <c r="D565" s="47"/>
      <c r="E565" s="18"/>
      <c r="F565" s="18"/>
      <c r="G565" s="18"/>
      <c r="H565" s="18"/>
      <c r="I565" s="25"/>
      <c r="J565" s="18"/>
      <c r="K565" s="18"/>
      <c r="L565" s="18"/>
      <c r="M565" s="18"/>
      <c r="N565" s="18"/>
      <c r="O565" s="18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>
      <c r="A566" s="1"/>
      <c r="B566" s="1"/>
      <c r="C566" s="18"/>
      <c r="D566" s="47"/>
      <c r="E566" s="18"/>
      <c r="F566" s="18"/>
      <c r="G566" s="18"/>
      <c r="H566" s="18"/>
      <c r="I566" s="25"/>
      <c r="J566" s="18"/>
      <c r="K566" s="18"/>
      <c r="L566" s="18"/>
      <c r="M566" s="18"/>
      <c r="N566" s="18"/>
      <c r="O566" s="18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>
      <c r="A567" s="1"/>
      <c r="B567" s="1"/>
      <c r="C567" s="18"/>
      <c r="D567" s="47"/>
      <c r="E567" s="18"/>
      <c r="F567" s="18"/>
      <c r="G567" s="18"/>
      <c r="H567" s="18"/>
      <c r="I567" s="25"/>
      <c r="J567" s="18"/>
      <c r="K567" s="18"/>
      <c r="L567" s="18"/>
      <c r="M567" s="18"/>
      <c r="N567" s="18"/>
      <c r="O567" s="18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>
      <c r="A568" s="1"/>
      <c r="B568" s="1"/>
      <c r="C568" s="18"/>
      <c r="D568" s="47"/>
      <c r="E568" s="18"/>
      <c r="F568" s="18"/>
      <c r="G568" s="18"/>
      <c r="H568" s="18"/>
      <c r="I568" s="25"/>
      <c r="J568" s="18"/>
      <c r="K568" s="18"/>
      <c r="L568" s="18"/>
      <c r="M568" s="18"/>
      <c r="N568" s="18"/>
      <c r="O568" s="18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>
      <c r="A569" s="1"/>
      <c r="B569" s="1"/>
      <c r="C569" s="18"/>
      <c r="D569" s="47"/>
      <c r="E569" s="18"/>
      <c r="F569" s="18"/>
      <c r="G569" s="18"/>
      <c r="H569" s="18"/>
      <c r="I569" s="25"/>
      <c r="J569" s="18"/>
      <c r="K569" s="18"/>
      <c r="L569" s="18"/>
      <c r="M569" s="18"/>
      <c r="N569" s="18"/>
      <c r="O569" s="18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>
      <c r="A570" s="1"/>
      <c r="B570" s="1"/>
      <c r="C570" s="18"/>
      <c r="D570" s="47"/>
      <c r="E570" s="18"/>
      <c r="F570" s="18"/>
      <c r="G570" s="18"/>
      <c r="H570" s="18"/>
      <c r="I570" s="25"/>
      <c r="J570" s="18"/>
      <c r="K570" s="18"/>
      <c r="L570" s="18"/>
      <c r="M570" s="18"/>
      <c r="N570" s="18"/>
      <c r="O570" s="18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>
      <c r="A571" s="1"/>
      <c r="B571" s="1"/>
      <c r="C571" s="18"/>
      <c r="D571" s="47"/>
      <c r="E571" s="18"/>
      <c r="F571" s="18"/>
      <c r="G571" s="18"/>
      <c r="H571" s="18"/>
      <c r="I571" s="25"/>
      <c r="J571" s="18"/>
      <c r="K571" s="18"/>
      <c r="L571" s="18"/>
      <c r="M571" s="18"/>
      <c r="N571" s="18"/>
      <c r="O571" s="18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>
      <c r="A572" s="1"/>
      <c r="B572" s="1"/>
      <c r="C572" s="18"/>
      <c r="D572" s="47"/>
      <c r="E572" s="18"/>
      <c r="F572" s="18"/>
      <c r="G572" s="18"/>
      <c r="H572" s="18"/>
      <c r="I572" s="25"/>
      <c r="J572" s="18"/>
      <c r="K572" s="18"/>
      <c r="L572" s="18"/>
      <c r="M572" s="18"/>
      <c r="N572" s="18"/>
      <c r="O572" s="18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>
      <c r="A573" s="1"/>
      <c r="B573" s="1"/>
      <c r="C573" s="18"/>
      <c r="D573" s="47"/>
      <c r="E573" s="18"/>
      <c r="F573" s="18"/>
      <c r="G573" s="18"/>
      <c r="H573" s="18"/>
      <c r="I573" s="25"/>
      <c r="J573" s="18"/>
      <c r="K573" s="18"/>
      <c r="L573" s="18"/>
      <c r="M573" s="18"/>
      <c r="N573" s="18"/>
      <c r="O573" s="18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>
      <c r="A574" s="1"/>
      <c r="B574" s="1"/>
      <c r="C574" s="18"/>
      <c r="D574" s="47"/>
      <c r="E574" s="18"/>
      <c r="F574" s="18"/>
      <c r="G574" s="18"/>
      <c r="H574" s="18"/>
      <c r="I574" s="25"/>
      <c r="J574" s="18"/>
      <c r="K574" s="18"/>
      <c r="L574" s="18"/>
      <c r="M574" s="18"/>
      <c r="N574" s="18"/>
      <c r="O574" s="18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>
      <c r="A575" s="1"/>
      <c r="B575" s="1"/>
      <c r="C575" s="18"/>
      <c r="D575" s="47"/>
      <c r="E575" s="18"/>
      <c r="F575" s="18"/>
      <c r="G575" s="18"/>
      <c r="H575" s="18"/>
      <c r="I575" s="25"/>
      <c r="J575" s="18"/>
      <c r="K575" s="18"/>
      <c r="L575" s="18"/>
      <c r="M575" s="18"/>
      <c r="N575" s="18"/>
      <c r="O575" s="18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>
      <c r="A576" s="1"/>
      <c r="B576" s="1"/>
      <c r="C576" s="18"/>
      <c r="D576" s="47"/>
      <c r="E576" s="18"/>
      <c r="F576" s="18"/>
      <c r="G576" s="18"/>
      <c r="H576" s="18"/>
      <c r="I576" s="25"/>
      <c r="J576" s="18"/>
      <c r="K576" s="18"/>
      <c r="L576" s="18"/>
      <c r="M576" s="18"/>
      <c r="N576" s="18"/>
      <c r="O576" s="18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>
      <c r="A577" s="1"/>
      <c r="B577" s="1"/>
      <c r="C577" s="18"/>
      <c r="D577" s="47"/>
      <c r="E577" s="18"/>
      <c r="F577" s="18"/>
      <c r="G577" s="18"/>
      <c r="H577" s="18"/>
      <c r="I577" s="25"/>
      <c r="J577" s="18"/>
      <c r="K577" s="18"/>
      <c r="L577" s="18"/>
      <c r="M577" s="18"/>
      <c r="N577" s="18"/>
      <c r="O577" s="18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>
      <c r="A578" s="1"/>
      <c r="B578" s="1"/>
      <c r="C578" s="18"/>
      <c r="D578" s="47"/>
      <c r="E578" s="18"/>
      <c r="F578" s="18"/>
      <c r="G578" s="18"/>
      <c r="H578" s="18"/>
      <c r="I578" s="25"/>
      <c r="J578" s="18"/>
      <c r="K578" s="18"/>
      <c r="L578" s="18"/>
      <c r="M578" s="18"/>
      <c r="N578" s="18"/>
      <c r="O578" s="18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>
      <c r="A579" s="1"/>
      <c r="B579" s="1"/>
      <c r="C579" s="18"/>
      <c r="D579" s="47"/>
      <c r="E579" s="18"/>
      <c r="F579" s="18"/>
      <c r="G579" s="18"/>
      <c r="H579" s="18"/>
      <c r="I579" s="25"/>
      <c r="J579" s="18"/>
      <c r="K579" s="18"/>
      <c r="L579" s="18"/>
      <c r="M579" s="18"/>
      <c r="N579" s="18"/>
      <c r="O579" s="18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>
      <c r="A580" s="1"/>
      <c r="B580" s="1"/>
      <c r="C580" s="18"/>
      <c r="D580" s="47"/>
      <c r="E580" s="18"/>
      <c r="F580" s="18"/>
      <c r="G580" s="18"/>
      <c r="H580" s="18"/>
      <c r="I580" s="25"/>
      <c r="J580" s="18"/>
      <c r="K580" s="18"/>
      <c r="L580" s="18"/>
      <c r="M580" s="18"/>
      <c r="N580" s="18"/>
      <c r="O580" s="18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>
      <c r="A581" s="1"/>
      <c r="B581" s="1"/>
      <c r="C581" s="18"/>
      <c r="D581" s="47"/>
      <c r="E581" s="18"/>
      <c r="F581" s="18"/>
      <c r="G581" s="18"/>
      <c r="H581" s="18"/>
      <c r="I581" s="25"/>
      <c r="J581" s="18"/>
      <c r="K581" s="18"/>
      <c r="L581" s="18"/>
      <c r="M581" s="18"/>
      <c r="N581" s="18"/>
      <c r="O581" s="18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>
      <c r="A582" s="1"/>
      <c r="B582" s="1"/>
      <c r="C582" s="18"/>
      <c r="D582" s="47"/>
      <c r="E582" s="18"/>
      <c r="F582" s="18"/>
      <c r="G582" s="18"/>
      <c r="H582" s="18"/>
      <c r="I582" s="25"/>
      <c r="J582" s="18"/>
      <c r="K582" s="18"/>
      <c r="L582" s="18"/>
      <c r="M582" s="18"/>
      <c r="N582" s="18"/>
      <c r="O582" s="18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>
      <c r="A583" s="1"/>
      <c r="B583" s="1"/>
      <c r="C583" s="18"/>
      <c r="D583" s="47"/>
      <c r="E583" s="18"/>
      <c r="F583" s="18"/>
      <c r="G583" s="18"/>
      <c r="H583" s="18"/>
      <c r="I583" s="25"/>
      <c r="J583" s="18"/>
      <c r="K583" s="18"/>
      <c r="L583" s="18"/>
      <c r="M583" s="18"/>
      <c r="N583" s="18"/>
      <c r="O583" s="18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>
      <c r="A584" s="1"/>
      <c r="B584" s="1"/>
      <c r="C584" s="18"/>
      <c r="D584" s="47"/>
      <c r="E584" s="18"/>
      <c r="F584" s="18"/>
      <c r="G584" s="18"/>
      <c r="H584" s="18"/>
      <c r="I584" s="25"/>
      <c r="J584" s="18"/>
      <c r="K584" s="18"/>
      <c r="L584" s="18"/>
      <c r="M584" s="18"/>
      <c r="N584" s="18"/>
      <c r="O584" s="18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>
      <c r="A585" s="1"/>
      <c r="B585" s="1"/>
      <c r="C585" s="18"/>
      <c r="D585" s="47"/>
      <c r="E585" s="18"/>
      <c r="F585" s="18"/>
      <c r="G585" s="18"/>
      <c r="H585" s="18"/>
      <c r="I585" s="25"/>
      <c r="J585" s="18"/>
      <c r="K585" s="18"/>
      <c r="L585" s="18"/>
      <c r="M585" s="18"/>
      <c r="N585" s="18"/>
      <c r="O585" s="18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>
      <c r="A586" s="1"/>
      <c r="B586" s="1"/>
      <c r="C586" s="18"/>
      <c r="D586" s="47"/>
      <c r="E586" s="18"/>
      <c r="F586" s="18"/>
      <c r="G586" s="18"/>
      <c r="H586" s="18"/>
      <c r="I586" s="25"/>
      <c r="J586" s="18"/>
      <c r="K586" s="18"/>
      <c r="L586" s="18"/>
      <c r="M586" s="18"/>
      <c r="N586" s="18"/>
      <c r="O586" s="18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>
      <c r="A587" s="1"/>
      <c r="B587" s="1"/>
      <c r="C587" s="18"/>
      <c r="D587" s="47"/>
      <c r="E587" s="18"/>
      <c r="F587" s="18"/>
      <c r="G587" s="18"/>
      <c r="H587" s="18"/>
      <c r="I587" s="25"/>
      <c r="J587" s="18"/>
      <c r="K587" s="18"/>
      <c r="L587" s="18"/>
      <c r="M587" s="18"/>
      <c r="N587" s="18"/>
      <c r="O587" s="18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>
      <c r="A588" s="1"/>
      <c r="B588" s="1"/>
      <c r="C588" s="18"/>
      <c r="D588" s="47"/>
      <c r="E588" s="18"/>
      <c r="F588" s="18"/>
      <c r="G588" s="18"/>
      <c r="H588" s="18"/>
      <c r="I588" s="25"/>
      <c r="J588" s="18"/>
      <c r="K588" s="18"/>
      <c r="L588" s="18"/>
      <c r="M588" s="18"/>
      <c r="N588" s="18"/>
      <c r="O588" s="18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>
      <c r="A589" s="1"/>
      <c r="B589" s="1"/>
      <c r="C589" s="18"/>
      <c r="D589" s="47"/>
      <c r="E589" s="18"/>
      <c r="F589" s="18"/>
      <c r="G589" s="18"/>
      <c r="H589" s="18"/>
      <c r="I589" s="25"/>
      <c r="J589" s="18"/>
      <c r="K589" s="18"/>
      <c r="L589" s="18"/>
      <c r="M589" s="18"/>
      <c r="N589" s="18"/>
      <c r="O589" s="18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>
      <c r="A590" s="1"/>
      <c r="B590" s="1"/>
      <c r="C590" s="18"/>
      <c r="D590" s="47"/>
      <c r="E590" s="18"/>
      <c r="F590" s="18"/>
      <c r="G590" s="18"/>
      <c r="H590" s="18"/>
      <c r="I590" s="25"/>
      <c r="J590" s="18"/>
      <c r="K590" s="18"/>
      <c r="L590" s="18"/>
      <c r="M590" s="18"/>
      <c r="N590" s="18"/>
      <c r="O590" s="18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>
      <c r="A591" s="1"/>
      <c r="B591" s="1"/>
      <c r="C591" s="18"/>
      <c r="D591" s="47"/>
      <c r="E591" s="18"/>
      <c r="F591" s="18"/>
      <c r="G591" s="18"/>
      <c r="H591" s="18"/>
      <c r="I591" s="25"/>
      <c r="J591" s="18"/>
      <c r="K591" s="18"/>
      <c r="L591" s="18"/>
      <c r="M591" s="18"/>
      <c r="N591" s="18"/>
      <c r="O591" s="18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>
      <c r="A592" s="1"/>
      <c r="B592" s="1"/>
      <c r="C592" s="18"/>
      <c r="D592" s="47"/>
      <c r="E592" s="18"/>
      <c r="F592" s="18"/>
      <c r="G592" s="18"/>
      <c r="H592" s="18"/>
      <c r="I592" s="25"/>
      <c r="J592" s="18"/>
      <c r="K592" s="18"/>
      <c r="L592" s="18"/>
      <c r="M592" s="18"/>
      <c r="N592" s="18"/>
      <c r="O592" s="18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>
      <c r="A593" s="1"/>
      <c r="B593" s="1"/>
      <c r="C593" s="18"/>
      <c r="D593" s="47"/>
      <c r="E593" s="18"/>
      <c r="F593" s="18"/>
      <c r="G593" s="18"/>
      <c r="H593" s="18"/>
      <c r="I593" s="25"/>
      <c r="J593" s="18"/>
      <c r="K593" s="18"/>
      <c r="L593" s="18"/>
      <c r="M593" s="18"/>
      <c r="N593" s="18"/>
      <c r="O593" s="18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>
      <c r="A594" s="1"/>
      <c r="B594" s="1"/>
      <c r="C594" s="18"/>
      <c r="D594" s="47"/>
      <c r="E594" s="18"/>
      <c r="F594" s="18"/>
      <c r="G594" s="18"/>
      <c r="H594" s="18"/>
      <c r="I594" s="25"/>
      <c r="J594" s="18"/>
      <c r="K594" s="18"/>
      <c r="L594" s="18"/>
      <c r="M594" s="18"/>
      <c r="N594" s="18"/>
      <c r="O594" s="18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>
      <c r="A595" s="1"/>
      <c r="B595" s="1"/>
      <c r="C595" s="18"/>
      <c r="D595" s="47"/>
      <c r="E595" s="18"/>
      <c r="F595" s="18"/>
      <c r="G595" s="18"/>
      <c r="H595" s="18"/>
      <c r="I595" s="25"/>
      <c r="J595" s="18"/>
      <c r="K595" s="18"/>
      <c r="L595" s="18"/>
      <c r="M595" s="18"/>
      <c r="N595" s="18"/>
      <c r="O595" s="18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>
      <c r="A596" s="1"/>
      <c r="B596" s="1"/>
      <c r="C596" s="18"/>
      <c r="D596" s="47"/>
      <c r="E596" s="18"/>
      <c r="F596" s="18"/>
      <c r="G596" s="18"/>
      <c r="H596" s="18"/>
      <c r="I596" s="25"/>
      <c r="J596" s="18"/>
      <c r="K596" s="18"/>
      <c r="L596" s="18"/>
      <c r="M596" s="18"/>
      <c r="N596" s="18"/>
      <c r="O596" s="18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>
      <c r="A597" s="1"/>
      <c r="B597" s="1"/>
      <c r="C597" s="18"/>
      <c r="D597" s="47"/>
      <c r="E597" s="18"/>
      <c r="F597" s="18"/>
      <c r="G597" s="18"/>
      <c r="H597" s="18"/>
      <c r="I597" s="25"/>
      <c r="J597" s="18"/>
      <c r="K597" s="18"/>
      <c r="L597" s="18"/>
      <c r="M597" s="18"/>
      <c r="N597" s="18"/>
      <c r="O597" s="18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>
      <c r="A598" s="1"/>
      <c r="B598" s="1"/>
      <c r="C598" s="18"/>
      <c r="D598" s="47"/>
      <c r="E598" s="18"/>
      <c r="F598" s="18"/>
      <c r="G598" s="18"/>
      <c r="H598" s="18"/>
      <c r="I598" s="25"/>
      <c r="J598" s="18"/>
      <c r="K598" s="18"/>
      <c r="L598" s="18"/>
      <c r="M598" s="18"/>
      <c r="N598" s="18"/>
      <c r="O598" s="18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>
      <c r="A599" s="1"/>
      <c r="B599" s="1"/>
      <c r="C599" s="18"/>
      <c r="D599" s="47"/>
      <c r="E599" s="18"/>
      <c r="F599" s="18"/>
      <c r="G599" s="18"/>
      <c r="H599" s="18"/>
      <c r="I599" s="25"/>
      <c r="J599" s="18"/>
      <c r="K599" s="18"/>
      <c r="L599" s="18"/>
      <c r="M599" s="18"/>
      <c r="N599" s="18"/>
      <c r="O599" s="18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>
      <c r="A600" s="1"/>
      <c r="B600" s="1"/>
      <c r="C600" s="18"/>
      <c r="D600" s="47"/>
      <c r="E600" s="18"/>
      <c r="F600" s="18"/>
      <c r="G600" s="18"/>
      <c r="H600" s="18"/>
      <c r="I600" s="25"/>
      <c r="J600" s="18"/>
      <c r="K600" s="18"/>
      <c r="L600" s="18"/>
      <c r="M600" s="18"/>
      <c r="N600" s="18"/>
      <c r="O600" s="18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>
      <c r="A601" s="1"/>
      <c r="B601" s="1"/>
      <c r="C601" s="18"/>
      <c r="D601" s="47"/>
      <c r="E601" s="18"/>
      <c r="F601" s="18"/>
      <c r="G601" s="18"/>
      <c r="H601" s="18"/>
      <c r="I601" s="25"/>
      <c r="J601" s="18"/>
      <c r="K601" s="18"/>
      <c r="L601" s="18"/>
      <c r="M601" s="18"/>
      <c r="N601" s="18"/>
      <c r="O601" s="18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>
      <c r="A602" s="1"/>
      <c r="B602" s="1"/>
      <c r="C602" s="18"/>
      <c r="D602" s="47"/>
      <c r="E602" s="18"/>
      <c r="F602" s="18"/>
      <c r="G602" s="18"/>
      <c r="H602" s="18"/>
      <c r="I602" s="25"/>
      <c r="J602" s="18"/>
      <c r="K602" s="18"/>
      <c r="L602" s="18"/>
      <c r="M602" s="18"/>
      <c r="N602" s="18"/>
      <c r="O602" s="18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>
      <c r="A603" s="1"/>
      <c r="B603" s="1"/>
      <c r="C603" s="18"/>
      <c r="D603" s="47"/>
      <c r="E603" s="18"/>
      <c r="F603" s="18"/>
      <c r="G603" s="18"/>
      <c r="H603" s="18"/>
      <c r="I603" s="25"/>
      <c r="J603" s="18"/>
      <c r="K603" s="18"/>
      <c r="L603" s="18"/>
      <c r="M603" s="18"/>
      <c r="N603" s="18"/>
      <c r="O603" s="18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>
      <c r="A604" s="1"/>
      <c r="B604" s="1"/>
      <c r="C604" s="18"/>
      <c r="D604" s="47"/>
      <c r="E604" s="18"/>
      <c r="F604" s="18"/>
      <c r="G604" s="18"/>
      <c r="H604" s="18"/>
      <c r="I604" s="25"/>
      <c r="J604" s="18"/>
      <c r="K604" s="18"/>
      <c r="L604" s="18"/>
      <c r="M604" s="18"/>
      <c r="N604" s="18"/>
      <c r="O604" s="18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>
      <c r="A605" s="1"/>
      <c r="B605" s="1"/>
      <c r="C605" s="18"/>
      <c r="D605" s="47"/>
      <c r="E605" s="18"/>
      <c r="F605" s="18"/>
      <c r="G605" s="18"/>
      <c r="H605" s="18"/>
      <c r="I605" s="25"/>
      <c r="J605" s="18"/>
      <c r="K605" s="18"/>
      <c r="L605" s="18"/>
      <c r="M605" s="18"/>
      <c r="N605" s="18"/>
      <c r="O605" s="18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>
      <c r="A606" s="1"/>
      <c r="B606" s="1"/>
      <c r="C606" s="18"/>
      <c r="D606" s="47"/>
      <c r="E606" s="18"/>
      <c r="F606" s="18"/>
      <c r="G606" s="18"/>
      <c r="H606" s="18"/>
      <c r="I606" s="25"/>
      <c r="J606" s="18"/>
      <c r="K606" s="18"/>
      <c r="L606" s="18"/>
      <c r="M606" s="18"/>
      <c r="N606" s="18"/>
      <c r="O606" s="18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>
      <c r="A607" s="1"/>
      <c r="B607" s="1"/>
      <c r="C607" s="18"/>
      <c r="D607" s="47"/>
      <c r="E607" s="18"/>
      <c r="F607" s="18"/>
      <c r="G607" s="18"/>
      <c r="H607" s="18"/>
      <c r="I607" s="25"/>
      <c r="J607" s="18"/>
      <c r="K607" s="18"/>
      <c r="L607" s="18"/>
      <c r="M607" s="18"/>
      <c r="N607" s="18"/>
      <c r="O607" s="18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>
      <c r="A608" s="1"/>
      <c r="B608" s="1"/>
      <c r="C608" s="18"/>
      <c r="D608" s="47"/>
      <c r="E608" s="18"/>
      <c r="F608" s="18"/>
      <c r="G608" s="18"/>
      <c r="H608" s="18"/>
      <c r="I608" s="25"/>
      <c r="J608" s="18"/>
      <c r="K608" s="18"/>
      <c r="L608" s="18"/>
      <c r="M608" s="18"/>
      <c r="N608" s="18"/>
      <c r="O608" s="18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>
      <c r="A609" s="1"/>
      <c r="B609" s="1"/>
      <c r="C609" s="18"/>
      <c r="D609" s="47"/>
      <c r="E609" s="18"/>
      <c r="F609" s="18"/>
      <c r="G609" s="18"/>
      <c r="H609" s="18"/>
      <c r="I609" s="25"/>
      <c r="J609" s="18"/>
      <c r="K609" s="18"/>
      <c r="L609" s="18"/>
      <c r="M609" s="18"/>
      <c r="N609" s="18"/>
      <c r="O609" s="18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>
      <c r="A610" s="1"/>
      <c r="B610" s="1"/>
      <c r="C610" s="18"/>
      <c r="D610" s="47"/>
      <c r="E610" s="18"/>
      <c r="F610" s="18"/>
      <c r="G610" s="18"/>
      <c r="H610" s="18"/>
      <c r="I610" s="25"/>
      <c r="J610" s="18"/>
      <c r="K610" s="18"/>
      <c r="L610" s="18"/>
      <c r="M610" s="18"/>
      <c r="N610" s="18"/>
      <c r="O610" s="18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>
      <c r="A611" s="1"/>
      <c r="B611" s="1"/>
      <c r="C611" s="18"/>
      <c r="D611" s="47"/>
      <c r="E611" s="18"/>
      <c r="F611" s="18"/>
      <c r="G611" s="18"/>
      <c r="H611" s="18"/>
      <c r="I611" s="25"/>
      <c r="J611" s="18"/>
      <c r="K611" s="18"/>
      <c r="L611" s="18"/>
      <c r="M611" s="18"/>
      <c r="N611" s="18"/>
      <c r="O611" s="18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>
      <c r="A612" s="1"/>
      <c r="B612" s="1"/>
      <c r="C612" s="18"/>
      <c r="D612" s="47"/>
      <c r="E612" s="18"/>
      <c r="F612" s="18"/>
      <c r="G612" s="18"/>
      <c r="H612" s="18"/>
      <c r="I612" s="25"/>
      <c r="J612" s="18"/>
      <c r="K612" s="18"/>
      <c r="L612" s="18"/>
      <c r="M612" s="18"/>
      <c r="N612" s="18"/>
      <c r="O612" s="18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>
      <c r="A613" s="1"/>
      <c r="B613" s="1"/>
      <c r="C613" s="18"/>
      <c r="D613" s="47"/>
      <c r="E613" s="18"/>
      <c r="F613" s="18"/>
      <c r="G613" s="18"/>
      <c r="H613" s="18"/>
      <c r="I613" s="25"/>
      <c r="J613" s="18"/>
      <c r="K613" s="18"/>
      <c r="L613" s="18"/>
      <c r="M613" s="18"/>
      <c r="N613" s="18"/>
      <c r="O613" s="18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>
      <c r="A614" s="1"/>
      <c r="B614" s="1"/>
      <c r="C614" s="18"/>
      <c r="D614" s="47"/>
      <c r="E614" s="18"/>
      <c r="F614" s="18"/>
      <c r="G614" s="18"/>
      <c r="H614" s="18"/>
      <c r="I614" s="25"/>
      <c r="J614" s="18"/>
      <c r="K614" s="18"/>
      <c r="L614" s="18"/>
      <c r="M614" s="18"/>
      <c r="N614" s="18"/>
      <c r="O614" s="18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>
      <c r="A615" s="1"/>
      <c r="B615" s="1"/>
      <c r="C615" s="18"/>
      <c r="D615" s="47"/>
      <c r="E615" s="18"/>
      <c r="F615" s="18"/>
      <c r="G615" s="18"/>
      <c r="H615" s="18"/>
      <c r="I615" s="25"/>
      <c r="J615" s="18"/>
      <c r="K615" s="18"/>
      <c r="L615" s="18"/>
      <c r="M615" s="18"/>
      <c r="N615" s="18"/>
      <c r="O615" s="18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>
      <c r="A616" s="1"/>
      <c r="B616" s="1"/>
      <c r="C616" s="18"/>
      <c r="D616" s="47"/>
      <c r="E616" s="18"/>
      <c r="F616" s="18"/>
      <c r="G616" s="18"/>
      <c r="H616" s="18"/>
      <c r="I616" s="25"/>
      <c r="J616" s="18"/>
      <c r="K616" s="18"/>
      <c r="L616" s="18"/>
      <c r="M616" s="18"/>
      <c r="N616" s="18"/>
      <c r="O616" s="18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>
      <c r="A617" s="1"/>
      <c r="B617" s="1"/>
      <c r="C617" s="18"/>
      <c r="D617" s="47"/>
      <c r="E617" s="18"/>
      <c r="F617" s="18"/>
      <c r="G617" s="18"/>
      <c r="H617" s="18"/>
      <c r="I617" s="25"/>
      <c r="J617" s="18"/>
      <c r="K617" s="18"/>
      <c r="L617" s="18"/>
      <c r="M617" s="18"/>
      <c r="N617" s="18"/>
      <c r="O617" s="18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>
      <c r="A618" s="1"/>
      <c r="B618" s="1"/>
      <c r="C618" s="18"/>
      <c r="D618" s="47"/>
      <c r="E618" s="18"/>
      <c r="F618" s="18"/>
      <c r="G618" s="18"/>
      <c r="H618" s="18"/>
      <c r="I618" s="25"/>
      <c r="J618" s="18"/>
      <c r="K618" s="18"/>
      <c r="L618" s="18"/>
      <c r="M618" s="18"/>
      <c r="N618" s="18"/>
      <c r="O618" s="18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>
      <c r="A619" s="1"/>
      <c r="B619" s="1"/>
      <c r="C619" s="18"/>
      <c r="D619" s="47"/>
      <c r="E619" s="18"/>
      <c r="F619" s="18"/>
      <c r="G619" s="18"/>
      <c r="H619" s="18"/>
      <c r="I619" s="25"/>
      <c r="J619" s="18"/>
      <c r="K619" s="18"/>
      <c r="L619" s="18"/>
      <c r="M619" s="18"/>
      <c r="N619" s="18"/>
      <c r="O619" s="18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>
      <c r="A620" s="1"/>
      <c r="B620" s="1"/>
      <c r="C620" s="18"/>
      <c r="D620" s="47"/>
      <c r="E620" s="18"/>
      <c r="F620" s="18"/>
      <c r="G620" s="18"/>
      <c r="H620" s="18"/>
      <c r="I620" s="25"/>
      <c r="J620" s="18"/>
      <c r="K620" s="18"/>
      <c r="L620" s="18"/>
      <c r="M620" s="18"/>
      <c r="N620" s="18"/>
      <c r="O620" s="18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>
      <c r="A621" s="1"/>
      <c r="B621" s="1"/>
      <c r="C621" s="18"/>
      <c r="D621" s="47"/>
      <c r="E621" s="18"/>
      <c r="F621" s="18"/>
      <c r="G621" s="18"/>
      <c r="H621" s="18"/>
      <c r="I621" s="25"/>
      <c r="J621" s="18"/>
      <c r="K621" s="18"/>
      <c r="L621" s="18"/>
      <c r="M621" s="18"/>
      <c r="N621" s="18"/>
      <c r="O621" s="18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>
      <c r="A622" s="1"/>
      <c r="B622" s="1"/>
      <c r="C622" s="18"/>
      <c r="D622" s="47"/>
      <c r="E622" s="18"/>
      <c r="F622" s="18"/>
      <c r="G622" s="18"/>
      <c r="H622" s="18"/>
      <c r="I622" s="25"/>
      <c r="J622" s="18"/>
      <c r="K622" s="18"/>
      <c r="L622" s="18"/>
      <c r="M622" s="18"/>
      <c r="N622" s="18"/>
      <c r="O622" s="18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>
      <c r="A623" s="1"/>
      <c r="B623" s="1"/>
      <c r="C623" s="18"/>
      <c r="D623" s="47"/>
      <c r="E623" s="18"/>
      <c r="F623" s="18"/>
      <c r="G623" s="18"/>
      <c r="H623" s="18"/>
      <c r="I623" s="25"/>
      <c r="J623" s="18"/>
      <c r="K623" s="18"/>
      <c r="L623" s="18"/>
      <c r="M623" s="18"/>
      <c r="N623" s="18"/>
      <c r="O623" s="18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>
      <c r="A624" s="1"/>
      <c r="B624" s="1"/>
      <c r="C624" s="18"/>
      <c r="D624" s="47"/>
      <c r="E624" s="18"/>
      <c r="F624" s="18"/>
      <c r="G624" s="18"/>
      <c r="H624" s="18"/>
      <c r="I624" s="25"/>
      <c r="J624" s="18"/>
      <c r="K624" s="18"/>
      <c r="L624" s="18"/>
      <c r="M624" s="18"/>
      <c r="N624" s="18"/>
      <c r="O624" s="18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>
      <c r="A625" s="1"/>
      <c r="B625" s="1"/>
      <c r="C625" s="18"/>
      <c r="D625" s="47"/>
      <c r="E625" s="18"/>
      <c r="F625" s="18"/>
      <c r="G625" s="18"/>
      <c r="H625" s="18"/>
      <c r="I625" s="25"/>
      <c r="J625" s="18"/>
      <c r="K625" s="18"/>
      <c r="L625" s="18"/>
      <c r="M625" s="18"/>
      <c r="N625" s="18"/>
      <c r="O625" s="18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>
      <c r="A626" s="1"/>
      <c r="B626" s="1"/>
      <c r="C626" s="18"/>
      <c r="D626" s="47"/>
      <c r="E626" s="18"/>
      <c r="F626" s="18"/>
      <c r="G626" s="18"/>
      <c r="H626" s="18"/>
      <c r="I626" s="25"/>
      <c r="J626" s="18"/>
      <c r="K626" s="18"/>
      <c r="L626" s="18"/>
      <c r="M626" s="18"/>
      <c r="N626" s="18"/>
      <c r="O626" s="18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>
      <c r="A627" s="1"/>
      <c r="B627" s="1"/>
      <c r="C627" s="18"/>
      <c r="D627" s="47"/>
      <c r="E627" s="18"/>
      <c r="F627" s="18"/>
      <c r="G627" s="18"/>
      <c r="H627" s="18"/>
      <c r="I627" s="25"/>
      <c r="J627" s="18"/>
      <c r="K627" s="18"/>
      <c r="L627" s="18"/>
      <c r="M627" s="18"/>
      <c r="N627" s="18"/>
      <c r="O627" s="18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>
      <c r="A628" s="1"/>
      <c r="B628" s="1"/>
      <c r="C628" s="18"/>
      <c r="D628" s="47"/>
      <c r="E628" s="18"/>
      <c r="F628" s="18"/>
      <c r="G628" s="18"/>
      <c r="H628" s="18"/>
      <c r="I628" s="25"/>
      <c r="J628" s="18"/>
      <c r="K628" s="18"/>
      <c r="L628" s="18"/>
      <c r="M628" s="18"/>
      <c r="N628" s="18"/>
      <c r="O628" s="18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>
      <c r="A629" s="1"/>
      <c r="B629" s="1"/>
      <c r="C629" s="18"/>
      <c r="D629" s="47"/>
      <c r="E629" s="18"/>
      <c r="F629" s="18"/>
      <c r="G629" s="18"/>
      <c r="H629" s="18"/>
      <c r="I629" s="25"/>
      <c r="J629" s="18"/>
      <c r="K629" s="18"/>
      <c r="L629" s="18"/>
      <c r="M629" s="18"/>
      <c r="N629" s="18"/>
      <c r="O629" s="18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>
      <c r="A630" s="1"/>
      <c r="B630" s="1"/>
      <c r="C630" s="18"/>
      <c r="D630" s="47"/>
      <c r="E630" s="18"/>
      <c r="F630" s="18"/>
      <c r="G630" s="18"/>
      <c r="H630" s="18"/>
      <c r="I630" s="25"/>
      <c r="J630" s="18"/>
      <c r="K630" s="18"/>
      <c r="L630" s="18"/>
      <c r="M630" s="18"/>
      <c r="N630" s="18"/>
      <c r="O630" s="18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>
      <c r="A631" s="1"/>
      <c r="B631" s="1"/>
      <c r="C631" s="18"/>
      <c r="D631" s="47"/>
      <c r="E631" s="18"/>
      <c r="F631" s="18"/>
      <c r="G631" s="18"/>
      <c r="H631" s="18"/>
      <c r="I631" s="25"/>
      <c r="J631" s="18"/>
      <c r="K631" s="18"/>
      <c r="L631" s="18"/>
      <c r="M631" s="18"/>
      <c r="N631" s="18"/>
      <c r="O631" s="18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>
      <c r="A632" s="1"/>
      <c r="B632" s="1"/>
      <c r="C632" s="18"/>
      <c r="D632" s="47"/>
      <c r="E632" s="18"/>
      <c r="F632" s="18"/>
      <c r="G632" s="18"/>
      <c r="H632" s="18"/>
      <c r="I632" s="25"/>
      <c r="J632" s="18"/>
      <c r="K632" s="18"/>
      <c r="L632" s="18"/>
      <c r="M632" s="18"/>
      <c r="N632" s="18"/>
      <c r="O632" s="18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>
      <c r="A633" s="1"/>
      <c r="B633" s="1"/>
      <c r="C633" s="18"/>
      <c r="D633" s="47"/>
      <c r="E633" s="18"/>
      <c r="F633" s="18"/>
      <c r="G633" s="18"/>
      <c r="H633" s="18"/>
      <c r="I633" s="25"/>
      <c r="J633" s="18"/>
      <c r="K633" s="18"/>
      <c r="L633" s="18"/>
      <c r="M633" s="18"/>
      <c r="N633" s="18"/>
      <c r="O633" s="18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>
      <c r="A634" s="1"/>
      <c r="B634" s="1"/>
      <c r="C634" s="18"/>
      <c r="D634" s="47"/>
      <c r="E634" s="18"/>
      <c r="F634" s="18"/>
      <c r="G634" s="18"/>
      <c r="H634" s="18"/>
      <c r="I634" s="25"/>
      <c r="J634" s="18"/>
      <c r="K634" s="18"/>
      <c r="L634" s="18"/>
      <c r="M634" s="18"/>
      <c r="N634" s="18"/>
      <c r="O634" s="18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>
      <c r="A635" s="1"/>
      <c r="B635" s="1"/>
      <c r="C635" s="18"/>
      <c r="D635" s="47"/>
      <c r="E635" s="18"/>
      <c r="F635" s="18"/>
      <c r="G635" s="18"/>
      <c r="H635" s="18"/>
      <c r="I635" s="25"/>
      <c r="J635" s="18"/>
      <c r="K635" s="18"/>
      <c r="L635" s="18"/>
      <c r="M635" s="18"/>
      <c r="N635" s="18"/>
      <c r="O635" s="18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>
      <c r="A636" s="1"/>
      <c r="B636" s="1"/>
      <c r="C636" s="18"/>
      <c r="D636" s="47"/>
      <c r="E636" s="18"/>
      <c r="F636" s="18"/>
      <c r="G636" s="18"/>
      <c r="H636" s="18"/>
      <c r="I636" s="25"/>
      <c r="J636" s="18"/>
      <c r="K636" s="18"/>
      <c r="L636" s="18"/>
      <c r="M636" s="18"/>
      <c r="N636" s="18"/>
      <c r="O636" s="18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>
      <c r="A637" s="1"/>
      <c r="B637" s="1"/>
      <c r="C637" s="18"/>
      <c r="D637" s="47"/>
      <c r="E637" s="18"/>
      <c r="F637" s="18"/>
      <c r="G637" s="18"/>
      <c r="H637" s="18"/>
      <c r="I637" s="25"/>
      <c r="J637" s="18"/>
      <c r="K637" s="18"/>
      <c r="L637" s="18"/>
      <c r="M637" s="18"/>
      <c r="N637" s="18"/>
      <c r="O637" s="18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>
      <c r="A638" s="1"/>
      <c r="B638" s="1"/>
      <c r="C638" s="18"/>
      <c r="D638" s="47"/>
      <c r="E638" s="18"/>
      <c r="F638" s="18"/>
      <c r="G638" s="18"/>
      <c r="H638" s="18"/>
      <c r="I638" s="25"/>
      <c r="J638" s="18"/>
      <c r="K638" s="18"/>
      <c r="L638" s="18"/>
      <c r="M638" s="18"/>
      <c r="N638" s="18"/>
      <c r="O638" s="18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>
      <c r="A639" s="1"/>
      <c r="B639" s="1"/>
      <c r="C639" s="18"/>
      <c r="D639" s="47"/>
      <c r="E639" s="18"/>
      <c r="F639" s="18"/>
      <c r="G639" s="18"/>
      <c r="H639" s="18"/>
      <c r="I639" s="25"/>
      <c r="J639" s="18"/>
      <c r="K639" s="18"/>
      <c r="L639" s="18"/>
      <c r="M639" s="18"/>
      <c r="N639" s="18"/>
      <c r="O639" s="18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>
      <c r="A640" s="1"/>
      <c r="B640" s="1"/>
      <c r="C640" s="18"/>
      <c r="D640" s="47"/>
      <c r="E640" s="18"/>
      <c r="F640" s="18"/>
      <c r="G640" s="18"/>
      <c r="H640" s="18"/>
      <c r="I640" s="25"/>
      <c r="J640" s="18"/>
      <c r="K640" s="18"/>
      <c r="L640" s="18"/>
      <c r="M640" s="18"/>
      <c r="N640" s="18"/>
      <c r="O640" s="18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>
      <c r="A641" s="1"/>
      <c r="B641" s="1"/>
      <c r="C641" s="18"/>
      <c r="D641" s="47"/>
      <c r="E641" s="18"/>
      <c r="F641" s="18"/>
      <c r="G641" s="18"/>
      <c r="H641" s="18"/>
      <c r="I641" s="25"/>
      <c r="J641" s="18"/>
      <c r="K641" s="18"/>
      <c r="L641" s="18"/>
      <c r="M641" s="18"/>
      <c r="N641" s="18"/>
      <c r="O641" s="18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>
      <c r="A642" s="1"/>
      <c r="B642" s="1"/>
      <c r="C642" s="18"/>
      <c r="D642" s="47"/>
      <c r="E642" s="18"/>
      <c r="F642" s="18"/>
      <c r="G642" s="18"/>
      <c r="H642" s="18"/>
      <c r="I642" s="25"/>
      <c r="J642" s="18"/>
      <c r="K642" s="18"/>
      <c r="L642" s="18"/>
      <c r="M642" s="18"/>
      <c r="N642" s="18"/>
      <c r="O642" s="18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>
      <c r="A643" s="1"/>
      <c r="B643" s="1"/>
      <c r="C643" s="18"/>
      <c r="D643" s="47"/>
      <c r="E643" s="18"/>
      <c r="F643" s="18"/>
      <c r="G643" s="18"/>
      <c r="H643" s="18"/>
      <c r="I643" s="25"/>
      <c r="J643" s="18"/>
      <c r="K643" s="18"/>
      <c r="L643" s="18"/>
      <c r="M643" s="18"/>
      <c r="N643" s="18"/>
      <c r="O643" s="18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>
      <c r="A644" s="1"/>
      <c r="B644" s="1"/>
      <c r="C644" s="18"/>
      <c r="D644" s="47"/>
      <c r="E644" s="18"/>
      <c r="F644" s="18"/>
      <c r="G644" s="18"/>
      <c r="H644" s="18"/>
      <c r="I644" s="25"/>
      <c r="J644" s="18"/>
      <c r="K644" s="18"/>
      <c r="L644" s="18"/>
      <c r="M644" s="18"/>
      <c r="N644" s="18"/>
      <c r="O644" s="18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>
      <c r="A645" s="1"/>
      <c r="B645" s="1"/>
      <c r="C645" s="18"/>
      <c r="D645" s="47"/>
      <c r="E645" s="18"/>
      <c r="F645" s="18"/>
      <c r="G645" s="18"/>
      <c r="H645" s="18"/>
      <c r="I645" s="25"/>
      <c r="J645" s="18"/>
      <c r="K645" s="18"/>
      <c r="L645" s="18"/>
      <c r="M645" s="18"/>
      <c r="N645" s="18"/>
      <c r="O645" s="18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>
      <c r="A646" s="1"/>
      <c r="B646" s="1"/>
      <c r="C646" s="18"/>
      <c r="D646" s="47"/>
      <c r="E646" s="18"/>
      <c r="F646" s="18"/>
      <c r="G646" s="18"/>
      <c r="H646" s="18"/>
      <c r="I646" s="25"/>
      <c r="J646" s="18"/>
      <c r="K646" s="18"/>
      <c r="L646" s="18"/>
      <c r="M646" s="18"/>
      <c r="N646" s="18"/>
      <c r="O646" s="18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>
      <c r="A647" s="1"/>
      <c r="B647" s="1"/>
      <c r="C647" s="18"/>
      <c r="D647" s="47"/>
      <c r="E647" s="18"/>
      <c r="F647" s="18"/>
      <c r="G647" s="18"/>
      <c r="H647" s="18"/>
      <c r="I647" s="25"/>
      <c r="J647" s="18"/>
      <c r="K647" s="18"/>
      <c r="L647" s="18"/>
      <c r="M647" s="18"/>
      <c r="N647" s="18"/>
      <c r="O647" s="18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>
      <c r="A648" s="1"/>
      <c r="B648" s="1"/>
      <c r="C648" s="18"/>
      <c r="D648" s="47"/>
      <c r="E648" s="18"/>
      <c r="F648" s="18"/>
      <c r="G648" s="18"/>
      <c r="H648" s="18"/>
      <c r="I648" s="25"/>
      <c r="J648" s="18"/>
      <c r="K648" s="18"/>
      <c r="L648" s="18"/>
      <c r="M648" s="18"/>
      <c r="N648" s="18"/>
      <c r="O648" s="18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>
      <c r="A649" s="1"/>
      <c r="B649" s="1"/>
      <c r="C649" s="18"/>
      <c r="D649" s="47"/>
      <c r="E649" s="18"/>
      <c r="F649" s="18"/>
      <c r="G649" s="18"/>
      <c r="H649" s="18"/>
      <c r="I649" s="25"/>
      <c r="J649" s="18"/>
      <c r="K649" s="18"/>
      <c r="L649" s="18"/>
      <c r="M649" s="18"/>
      <c r="N649" s="18"/>
      <c r="O649" s="18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>
      <c r="A650" s="1"/>
      <c r="B650" s="1"/>
      <c r="C650" s="18"/>
      <c r="D650" s="47"/>
      <c r="E650" s="18"/>
      <c r="F650" s="18"/>
      <c r="G650" s="18"/>
      <c r="H650" s="18"/>
      <c r="I650" s="25"/>
      <c r="J650" s="18"/>
      <c r="K650" s="18"/>
      <c r="L650" s="18"/>
      <c r="M650" s="18"/>
      <c r="N650" s="18"/>
      <c r="O650" s="18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>
      <c r="A651" s="1"/>
      <c r="B651" s="1"/>
      <c r="C651" s="18"/>
      <c r="D651" s="47"/>
      <c r="E651" s="18"/>
      <c r="F651" s="18"/>
      <c r="G651" s="18"/>
      <c r="H651" s="18"/>
      <c r="I651" s="25"/>
      <c r="J651" s="18"/>
      <c r="K651" s="18"/>
      <c r="L651" s="18"/>
      <c r="M651" s="18"/>
      <c r="N651" s="18"/>
      <c r="O651" s="18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>
      <c r="A652" s="1"/>
      <c r="B652" s="1"/>
      <c r="C652" s="18"/>
      <c r="D652" s="47"/>
      <c r="E652" s="18"/>
      <c r="F652" s="18"/>
      <c r="G652" s="18"/>
      <c r="H652" s="18"/>
      <c r="I652" s="25"/>
      <c r="J652" s="18"/>
      <c r="K652" s="18"/>
      <c r="L652" s="18"/>
      <c r="M652" s="18"/>
      <c r="N652" s="18"/>
      <c r="O652" s="18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>
      <c r="A653" s="1"/>
      <c r="B653" s="1"/>
      <c r="C653" s="18"/>
      <c r="D653" s="47"/>
      <c r="E653" s="18"/>
      <c r="F653" s="18"/>
      <c r="G653" s="18"/>
      <c r="H653" s="18"/>
      <c r="I653" s="25"/>
      <c r="J653" s="18"/>
      <c r="K653" s="18"/>
      <c r="L653" s="18"/>
      <c r="M653" s="18"/>
      <c r="N653" s="18"/>
      <c r="O653" s="18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>
      <c r="A654" s="1"/>
      <c r="B654" s="1"/>
      <c r="C654" s="18"/>
      <c r="D654" s="47"/>
      <c r="E654" s="18"/>
      <c r="F654" s="18"/>
      <c r="G654" s="18"/>
      <c r="H654" s="18"/>
      <c r="I654" s="25"/>
      <c r="J654" s="18"/>
      <c r="K654" s="18"/>
      <c r="L654" s="18"/>
      <c r="M654" s="18"/>
      <c r="N654" s="18"/>
      <c r="O654" s="18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>
      <c r="A655" s="1"/>
      <c r="B655" s="1"/>
      <c r="C655" s="18"/>
      <c r="D655" s="47"/>
      <c r="E655" s="18"/>
      <c r="F655" s="18"/>
      <c r="G655" s="18"/>
      <c r="H655" s="18"/>
      <c r="I655" s="25"/>
      <c r="J655" s="18"/>
      <c r="K655" s="18"/>
      <c r="L655" s="18"/>
      <c r="M655" s="18"/>
      <c r="N655" s="18"/>
      <c r="O655" s="18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>
      <c r="A656" s="1"/>
      <c r="B656" s="1"/>
      <c r="C656" s="18"/>
      <c r="D656" s="47"/>
      <c r="E656" s="18"/>
      <c r="F656" s="18"/>
      <c r="G656" s="18"/>
      <c r="H656" s="18"/>
      <c r="I656" s="25"/>
      <c r="J656" s="18"/>
      <c r="K656" s="18"/>
      <c r="L656" s="18"/>
      <c r="M656" s="18"/>
      <c r="N656" s="18"/>
      <c r="O656" s="18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>
      <c r="A657" s="1"/>
      <c r="B657" s="1"/>
      <c r="C657" s="18"/>
      <c r="D657" s="47"/>
      <c r="E657" s="18"/>
      <c r="F657" s="18"/>
      <c r="G657" s="18"/>
      <c r="H657" s="18"/>
      <c r="I657" s="25"/>
      <c r="J657" s="18"/>
      <c r="K657" s="18"/>
      <c r="L657" s="18"/>
      <c r="M657" s="18"/>
      <c r="N657" s="18"/>
      <c r="O657" s="18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>
      <c r="A658" s="1"/>
      <c r="B658" s="1"/>
      <c r="C658" s="18"/>
      <c r="D658" s="47"/>
      <c r="E658" s="18"/>
      <c r="F658" s="18"/>
      <c r="G658" s="18"/>
      <c r="H658" s="18"/>
      <c r="I658" s="25"/>
      <c r="J658" s="18"/>
      <c r="K658" s="18"/>
      <c r="L658" s="18"/>
      <c r="M658" s="18"/>
      <c r="N658" s="18"/>
      <c r="O658" s="18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>
      <c r="A659" s="1"/>
      <c r="B659" s="1"/>
      <c r="C659" s="18"/>
      <c r="D659" s="47"/>
      <c r="E659" s="18"/>
      <c r="F659" s="18"/>
      <c r="G659" s="18"/>
      <c r="H659" s="18"/>
      <c r="I659" s="25"/>
      <c r="J659" s="18"/>
      <c r="K659" s="18"/>
      <c r="L659" s="18"/>
      <c r="M659" s="18"/>
      <c r="N659" s="18"/>
      <c r="O659" s="18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>
      <c r="A660" s="1"/>
      <c r="B660" s="1"/>
      <c r="C660" s="18"/>
      <c r="D660" s="47"/>
      <c r="E660" s="18"/>
      <c r="F660" s="18"/>
      <c r="G660" s="18"/>
      <c r="H660" s="18"/>
      <c r="I660" s="25"/>
      <c r="J660" s="18"/>
      <c r="K660" s="18"/>
      <c r="L660" s="18"/>
      <c r="M660" s="18"/>
      <c r="N660" s="18"/>
      <c r="O660" s="18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>
      <c r="A661" s="1"/>
      <c r="B661" s="1"/>
      <c r="C661" s="18"/>
      <c r="D661" s="47"/>
      <c r="E661" s="18"/>
      <c r="F661" s="18"/>
      <c r="G661" s="18"/>
      <c r="H661" s="18"/>
      <c r="I661" s="25"/>
      <c r="J661" s="18"/>
      <c r="K661" s="18"/>
      <c r="L661" s="18"/>
      <c r="M661" s="18"/>
      <c r="N661" s="18"/>
      <c r="O661" s="18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>
      <c r="A662" s="1"/>
      <c r="B662" s="1"/>
      <c r="C662" s="18"/>
      <c r="D662" s="47"/>
      <c r="E662" s="18"/>
      <c r="F662" s="18"/>
      <c r="G662" s="18"/>
      <c r="H662" s="18"/>
      <c r="I662" s="25"/>
      <c r="J662" s="18"/>
      <c r="K662" s="18"/>
      <c r="L662" s="18"/>
      <c r="M662" s="18"/>
      <c r="N662" s="18"/>
      <c r="O662" s="18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>
      <c r="A663" s="1"/>
      <c r="B663" s="1"/>
      <c r="C663" s="18"/>
      <c r="D663" s="47"/>
      <c r="E663" s="18"/>
      <c r="F663" s="18"/>
      <c r="G663" s="18"/>
      <c r="H663" s="18"/>
      <c r="I663" s="25"/>
      <c r="J663" s="18"/>
      <c r="K663" s="18"/>
      <c r="L663" s="18"/>
      <c r="M663" s="18"/>
      <c r="N663" s="18"/>
      <c r="O663" s="18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>
      <c r="A664" s="1"/>
      <c r="B664" s="1"/>
      <c r="C664" s="18"/>
      <c r="D664" s="47"/>
      <c r="E664" s="18"/>
      <c r="F664" s="18"/>
      <c r="G664" s="18"/>
      <c r="H664" s="18"/>
      <c r="I664" s="25"/>
      <c r="J664" s="18"/>
      <c r="K664" s="18"/>
      <c r="L664" s="18"/>
      <c r="M664" s="18"/>
      <c r="N664" s="18"/>
      <c r="O664" s="18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>
      <c r="A665" s="1"/>
      <c r="B665" s="1"/>
      <c r="C665" s="18"/>
      <c r="D665" s="47"/>
      <c r="E665" s="18"/>
      <c r="F665" s="18"/>
      <c r="G665" s="18"/>
      <c r="H665" s="18"/>
      <c r="I665" s="25"/>
      <c r="J665" s="18"/>
      <c r="K665" s="18"/>
      <c r="L665" s="18"/>
      <c r="M665" s="18"/>
      <c r="N665" s="18"/>
      <c r="O665" s="18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>
      <c r="A666" s="1"/>
      <c r="B666" s="1"/>
      <c r="C666" s="18"/>
      <c r="D666" s="47"/>
      <c r="E666" s="18"/>
      <c r="F666" s="18"/>
      <c r="G666" s="18"/>
      <c r="H666" s="18"/>
      <c r="I666" s="25"/>
      <c r="J666" s="18"/>
      <c r="K666" s="18"/>
      <c r="L666" s="18"/>
      <c r="M666" s="18"/>
      <c r="N666" s="18"/>
      <c r="O666" s="18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>
      <c r="A667" s="1"/>
      <c r="B667" s="1"/>
      <c r="C667" s="18"/>
      <c r="D667" s="47"/>
      <c r="E667" s="18"/>
      <c r="F667" s="18"/>
      <c r="G667" s="18"/>
      <c r="H667" s="18"/>
      <c r="I667" s="25"/>
      <c r="J667" s="18"/>
      <c r="K667" s="18"/>
      <c r="L667" s="18"/>
      <c r="M667" s="18"/>
      <c r="N667" s="18"/>
      <c r="O667" s="18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>
      <c r="A668" s="1"/>
      <c r="B668" s="1"/>
      <c r="C668" s="18"/>
      <c r="D668" s="47"/>
      <c r="E668" s="18"/>
      <c r="F668" s="18"/>
      <c r="G668" s="18"/>
      <c r="H668" s="18"/>
      <c r="I668" s="25"/>
      <c r="J668" s="18"/>
      <c r="K668" s="18"/>
      <c r="L668" s="18"/>
      <c r="M668" s="18"/>
      <c r="N668" s="18"/>
      <c r="O668" s="18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>
      <c r="A669" s="1"/>
      <c r="B669" s="1"/>
      <c r="C669" s="18"/>
      <c r="D669" s="47"/>
      <c r="E669" s="18"/>
      <c r="F669" s="18"/>
      <c r="G669" s="18"/>
      <c r="H669" s="18"/>
      <c r="I669" s="25"/>
      <c r="J669" s="18"/>
      <c r="K669" s="18"/>
      <c r="L669" s="18"/>
      <c r="M669" s="18"/>
      <c r="N669" s="18"/>
      <c r="O669" s="18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>
      <c r="A670" s="1"/>
      <c r="B670" s="1"/>
      <c r="C670" s="18"/>
      <c r="D670" s="47"/>
      <c r="E670" s="18"/>
      <c r="F670" s="18"/>
      <c r="G670" s="18"/>
      <c r="H670" s="18"/>
      <c r="I670" s="25"/>
      <c r="J670" s="18"/>
      <c r="K670" s="18"/>
      <c r="L670" s="18"/>
      <c r="M670" s="18"/>
      <c r="N670" s="18"/>
      <c r="O670" s="18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>
      <c r="A671" s="1"/>
      <c r="B671" s="1"/>
      <c r="C671" s="18"/>
      <c r="D671" s="47"/>
      <c r="E671" s="18"/>
      <c r="F671" s="18"/>
      <c r="G671" s="18"/>
      <c r="H671" s="18"/>
      <c r="I671" s="25"/>
      <c r="J671" s="18"/>
      <c r="K671" s="18"/>
      <c r="L671" s="18"/>
      <c r="M671" s="18"/>
      <c r="N671" s="18"/>
      <c r="O671" s="18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>
      <c r="A672" s="1"/>
      <c r="B672" s="1"/>
      <c r="C672" s="18"/>
      <c r="D672" s="47"/>
      <c r="E672" s="18"/>
      <c r="F672" s="18"/>
      <c r="G672" s="18"/>
      <c r="H672" s="18"/>
      <c r="I672" s="25"/>
      <c r="J672" s="18"/>
      <c r="K672" s="18"/>
      <c r="L672" s="18"/>
      <c r="M672" s="18"/>
      <c r="N672" s="18"/>
      <c r="O672" s="18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>
      <c r="A673" s="1"/>
      <c r="B673" s="1"/>
      <c r="C673" s="18"/>
      <c r="D673" s="47"/>
      <c r="E673" s="18"/>
      <c r="F673" s="18"/>
      <c r="G673" s="18"/>
      <c r="H673" s="18"/>
      <c r="I673" s="25"/>
      <c r="J673" s="18"/>
      <c r="K673" s="18"/>
      <c r="L673" s="18"/>
      <c r="M673" s="18"/>
      <c r="N673" s="18"/>
      <c r="O673" s="18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>
      <c r="A674" s="1"/>
      <c r="B674" s="1"/>
      <c r="C674" s="18"/>
      <c r="D674" s="47"/>
      <c r="E674" s="18"/>
      <c r="F674" s="18"/>
      <c r="G674" s="18"/>
      <c r="H674" s="18"/>
      <c r="I674" s="25"/>
      <c r="J674" s="18"/>
      <c r="K674" s="18"/>
      <c r="L674" s="18"/>
      <c r="M674" s="18"/>
      <c r="N674" s="18"/>
      <c r="O674" s="18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>
      <c r="A675" s="1"/>
      <c r="B675" s="1"/>
      <c r="C675" s="18"/>
      <c r="D675" s="47"/>
      <c r="E675" s="18"/>
      <c r="F675" s="18"/>
      <c r="G675" s="18"/>
      <c r="H675" s="18"/>
      <c r="I675" s="25"/>
      <c r="J675" s="18"/>
      <c r="K675" s="18"/>
      <c r="L675" s="18"/>
      <c r="M675" s="18"/>
      <c r="N675" s="18"/>
      <c r="O675" s="18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>
      <c r="A676" s="1"/>
      <c r="B676" s="1"/>
      <c r="C676" s="18"/>
      <c r="D676" s="47"/>
      <c r="E676" s="18"/>
      <c r="F676" s="18"/>
      <c r="G676" s="18"/>
      <c r="H676" s="18"/>
      <c r="I676" s="25"/>
      <c r="J676" s="18"/>
      <c r="K676" s="18"/>
      <c r="L676" s="18"/>
      <c r="M676" s="18"/>
      <c r="N676" s="18"/>
      <c r="O676" s="18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>
      <c r="A677" s="1"/>
      <c r="B677" s="1"/>
      <c r="C677" s="18"/>
      <c r="D677" s="47"/>
      <c r="E677" s="18"/>
      <c r="F677" s="18"/>
      <c r="G677" s="18"/>
      <c r="H677" s="18"/>
      <c r="I677" s="25"/>
      <c r="J677" s="18"/>
      <c r="K677" s="18"/>
      <c r="L677" s="18"/>
      <c r="M677" s="18"/>
      <c r="N677" s="18"/>
      <c r="O677" s="18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>
      <c r="A678" s="1"/>
      <c r="B678" s="1"/>
      <c r="C678" s="18"/>
      <c r="D678" s="47"/>
      <c r="E678" s="18"/>
      <c r="F678" s="18"/>
      <c r="G678" s="18"/>
      <c r="H678" s="18"/>
      <c r="I678" s="25"/>
      <c r="J678" s="18"/>
      <c r="K678" s="18"/>
      <c r="L678" s="18"/>
      <c r="M678" s="18"/>
      <c r="N678" s="18"/>
      <c r="O678" s="18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>
      <c r="A679" s="1"/>
      <c r="B679" s="1"/>
      <c r="C679" s="18"/>
      <c r="D679" s="47"/>
      <c r="E679" s="18"/>
      <c r="F679" s="18"/>
      <c r="G679" s="18"/>
      <c r="H679" s="18"/>
      <c r="I679" s="25"/>
      <c r="J679" s="18"/>
      <c r="K679" s="18"/>
      <c r="L679" s="18"/>
      <c r="M679" s="18"/>
      <c r="N679" s="18"/>
      <c r="O679" s="18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>
      <c r="A680" s="1"/>
      <c r="B680" s="1"/>
      <c r="C680" s="18"/>
      <c r="D680" s="47"/>
      <c r="E680" s="18"/>
      <c r="F680" s="18"/>
      <c r="G680" s="18"/>
      <c r="H680" s="18"/>
      <c r="I680" s="25"/>
      <c r="J680" s="18"/>
      <c r="K680" s="18"/>
      <c r="L680" s="18"/>
      <c r="M680" s="18"/>
      <c r="N680" s="18"/>
      <c r="O680" s="18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>
      <c r="A681" s="1"/>
      <c r="B681" s="1"/>
      <c r="C681" s="18"/>
      <c r="D681" s="47"/>
      <c r="E681" s="18"/>
      <c r="F681" s="18"/>
      <c r="G681" s="18"/>
      <c r="H681" s="18"/>
      <c r="I681" s="25"/>
      <c r="J681" s="18"/>
      <c r="K681" s="18"/>
      <c r="L681" s="18"/>
      <c r="M681" s="18"/>
      <c r="N681" s="18"/>
      <c r="O681" s="18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>
      <c r="A682" s="1"/>
      <c r="B682" s="1"/>
      <c r="C682" s="18"/>
      <c r="D682" s="47"/>
      <c r="E682" s="18"/>
      <c r="F682" s="18"/>
      <c r="G682" s="18"/>
      <c r="H682" s="18"/>
      <c r="I682" s="25"/>
      <c r="J682" s="18"/>
      <c r="K682" s="18"/>
      <c r="L682" s="18"/>
      <c r="M682" s="18"/>
      <c r="N682" s="18"/>
      <c r="O682" s="18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>
      <c r="A683" s="1"/>
      <c r="B683" s="1"/>
      <c r="C683" s="18"/>
      <c r="D683" s="47"/>
      <c r="E683" s="18"/>
      <c r="F683" s="18"/>
      <c r="G683" s="18"/>
      <c r="H683" s="18"/>
      <c r="I683" s="25"/>
      <c r="J683" s="18"/>
      <c r="K683" s="18"/>
      <c r="L683" s="18"/>
      <c r="M683" s="18"/>
      <c r="N683" s="18"/>
      <c r="O683" s="18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>
      <c r="A684" s="1"/>
      <c r="B684" s="1"/>
      <c r="C684" s="18"/>
      <c r="D684" s="47"/>
      <c r="E684" s="18"/>
      <c r="F684" s="18"/>
      <c r="G684" s="18"/>
      <c r="H684" s="18"/>
      <c r="I684" s="25"/>
      <c r="J684" s="18"/>
      <c r="K684" s="18"/>
      <c r="L684" s="18"/>
      <c r="M684" s="18"/>
      <c r="N684" s="18"/>
      <c r="O684" s="18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>
      <c r="A685" s="1"/>
      <c r="B685" s="1"/>
      <c r="C685" s="18"/>
      <c r="D685" s="47"/>
      <c r="E685" s="18"/>
      <c r="F685" s="18"/>
      <c r="G685" s="18"/>
      <c r="H685" s="18"/>
      <c r="I685" s="25"/>
      <c r="J685" s="18"/>
      <c r="K685" s="18"/>
      <c r="L685" s="18"/>
      <c r="M685" s="18"/>
      <c r="N685" s="18"/>
      <c r="O685" s="18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>
      <c r="A686" s="1"/>
      <c r="B686" s="1"/>
      <c r="C686" s="18"/>
      <c r="D686" s="47"/>
      <c r="E686" s="18"/>
      <c r="F686" s="18"/>
      <c r="G686" s="18"/>
      <c r="H686" s="18"/>
      <c r="I686" s="25"/>
      <c r="J686" s="18"/>
      <c r="K686" s="18"/>
      <c r="L686" s="18"/>
      <c r="M686" s="18"/>
      <c r="N686" s="18"/>
      <c r="O686" s="18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>
      <c r="A687" s="1"/>
      <c r="B687" s="1"/>
      <c r="C687" s="18"/>
      <c r="D687" s="47"/>
      <c r="E687" s="18"/>
      <c r="F687" s="18"/>
      <c r="G687" s="18"/>
      <c r="H687" s="18"/>
      <c r="I687" s="25"/>
      <c r="J687" s="18"/>
      <c r="K687" s="18"/>
      <c r="L687" s="18"/>
      <c r="M687" s="18"/>
      <c r="N687" s="18"/>
      <c r="O687" s="18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>
      <c r="A688" s="1"/>
      <c r="B688" s="1"/>
      <c r="C688" s="18"/>
      <c r="D688" s="47"/>
      <c r="E688" s="18"/>
      <c r="F688" s="18"/>
      <c r="G688" s="18"/>
      <c r="H688" s="18"/>
      <c r="I688" s="25"/>
      <c r="J688" s="18"/>
      <c r="K688" s="18"/>
      <c r="L688" s="18"/>
      <c r="M688" s="18"/>
      <c r="N688" s="18"/>
      <c r="O688" s="18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>
      <c r="A689" s="1"/>
      <c r="B689" s="1"/>
      <c r="C689" s="18"/>
      <c r="D689" s="47"/>
      <c r="E689" s="18"/>
      <c r="F689" s="18"/>
      <c r="G689" s="18"/>
      <c r="H689" s="18"/>
      <c r="I689" s="25"/>
      <c r="J689" s="18"/>
      <c r="K689" s="18"/>
      <c r="L689" s="18"/>
      <c r="M689" s="18"/>
      <c r="N689" s="18"/>
      <c r="O689" s="18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>
      <c r="A690" s="1"/>
      <c r="B690" s="1"/>
      <c r="C690" s="18"/>
      <c r="D690" s="47"/>
      <c r="E690" s="18"/>
      <c r="F690" s="18"/>
      <c r="G690" s="18"/>
      <c r="H690" s="18"/>
      <c r="I690" s="25"/>
      <c r="J690" s="18"/>
      <c r="K690" s="18"/>
      <c r="L690" s="18"/>
      <c r="M690" s="18"/>
      <c r="N690" s="18"/>
      <c r="O690" s="18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>
      <c r="A691" s="1"/>
      <c r="B691" s="1"/>
      <c r="C691" s="18"/>
      <c r="D691" s="47"/>
      <c r="E691" s="18"/>
      <c r="F691" s="18"/>
      <c r="G691" s="18"/>
      <c r="H691" s="18"/>
      <c r="I691" s="25"/>
      <c r="J691" s="18"/>
      <c r="K691" s="18"/>
      <c r="L691" s="18"/>
      <c r="M691" s="18"/>
      <c r="N691" s="18"/>
      <c r="O691" s="18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>
      <c r="A692" s="1"/>
      <c r="B692" s="1"/>
      <c r="C692" s="18"/>
      <c r="D692" s="47"/>
      <c r="E692" s="18"/>
      <c r="F692" s="18"/>
      <c r="G692" s="18"/>
      <c r="H692" s="18"/>
      <c r="I692" s="25"/>
      <c r="J692" s="18"/>
      <c r="K692" s="18"/>
      <c r="L692" s="18"/>
      <c r="M692" s="18"/>
      <c r="N692" s="18"/>
      <c r="O692" s="18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>
      <c r="A693" s="1"/>
      <c r="B693" s="1"/>
      <c r="C693" s="18"/>
      <c r="D693" s="47"/>
      <c r="E693" s="18"/>
      <c r="F693" s="18"/>
      <c r="G693" s="18"/>
      <c r="H693" s="18"/>
      <c r="I693" s="25"/>
      <c r="J693" s="18"/>
      <c r="K693" s="18"/>
      <c r="L693" s="18"/>
      <c r="M693" s="18"/>
      <c r="N693" s="18"/>
      <c r="O693" s="18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>
      <c r="A694" s="1"/>
      <c r="B694" s="1"/>
      <c r="C694" s="18"/>
      <c r="D694" s="47"/>
      <c r="E694" s="18"/>
      <c r="F694" s="18"/>
      <c r="G694" s="18"/>
      <c r="H694" s="18"/>
      <c r="I694" s="25"/>
      <c r="J694" s="18"/>
      <c r="K694" s="18"/>
      <c r="L694" s="18"/>
      <c r="M694" s="18"/>
      <c r="N694" s="18"/>
      <c r="O694" s="18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>
      <c r="A695" s="1"/>
      <c r="B695" s="1"/>
      <c r="C695" s="18"/>
      <c r="D695" s="47"/>
      <c r="E695" s="18"/>
      <c r="F695" s="18"/>
      <c r="G695" s="18"/>
      <c r="H695" s="18"/>
      <c r="I695" s="25"/>
      <c r="J695" s="18"/>
      <c r="K695" s="18"/>
      <c r="L695" s="18"/>
      <c r="M695" s="18"/>
      <c r="N695" s="18"/>
      <c r="O695" s="18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>
      <c r="A696" s="1"/>
      <c r="B696" s="1"/>
      <c r="C696" s="18"/>
      <c r="D696" s="47"/>
      <c r="E696" s="18"/>
      <c r="F696" s="18"/>
      <c r="G696" s="18"/>
      <c r="H696" s="18"/>
      <c r="I696" s="25"/>
      <c r="J696" s="18"/>
      <c r="K696" s="18"/>
      <c r="L696" s="18"/>
      <c r="M696" s="18"/>
      <c r="N696" s="18"/>
      <c r="O696" s="18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>
      <c r="A697" s="1"/>
      <c r="B697" s="1"/>
      <c r="C697" s="18"/>
      <c r="D697" s="47"/>
      <c r="E697" s="18"/>
      <c r="F697" s="18"/>
      <c r="G697" s="18"/>
      <c r="H697" s="18"/>
      <c r="I697" s="25"/>
      <c r="J697" s="18"/>
      <c r="K697" s="18"/>
      <c r="L697" s="18"/>
      <c r="M697" s="18"/>
      <c r="N697" s="18"/>
      <c r="O697" s="18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>
      <c r="A698" s="1"/>
      <c r="B698" s="1"/>
      <c r="C698" s="18"/>
      <c r="D698" s="47"/>
      <c r="E698" s="18"/>
      <c r="F698" s="18"/>
      <c r="G698" s="18"/>
      <c r="H698" s="18"/>
      <c r="I698" s="25"/>
      <c r="J698" s="18"/>
      <c r="K698" s="18"/>
      <c r="L698" s="18"/>
      <c r="M698" s="18"/>
      <c r="N698" s="18"/>
      <c r="O698" s="18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>
      <c r="A699" s="1"/>
      <c r="B699" s="1"/>
      <c r="C699" s="18"/>
      <c r="D699" s="47"/>
      <c r="E699" s="18"/>
      <c r="F699" s="18"/>
      <c r="G699" s="18"/>
      <c r="H699" s="18"/>
      <c r="I699" s="25"/>
      <c r="J699" s="18"/>
      <c r="K699" s="18"/>
      <c r="L699" s="18"/>
      <c r="M699" s="18"/>
      <c r="N699" s="18"/>
      <c r="O699" s="18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>
      <c r="A700" s="1"/>
      <c r="B700" s="1"/>
      <c r="C700" s="18"/>
      <c r="D700" s="47"/>
      <c r="E700" s="18"/>
      <c r="F700" s="18"/>
      <c r="G700" s="18"/>
      <c r="H700" s="18"/>
      <c r="I700" s="25"/>
      <c r="J700" s="18"/>
      <c r="K700" s="18"/>
      <c r="L700" s="18"/>
      <c r="M700" s="18"/>
      <c r="N700" s="18"/>
      <c r="O700" s="18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>
      <c r="A701" s="1"/>
      <c r="B701" s="1"/>
      <c r="C701" s="18"/>
      <c r="D701" s="47"/>
      <c r="E701" s="18"/>
      <c r="F701" s="18"/>
      <c r="G701" s="18"/>
      <c r="H701" s="18"/>
      <c r="I701" s="25"/>
      <c r="J701" s="18"/>
      <c r="K701" s="18"/>
      <c r="L701" s="18"/>
      <c r="M701" s="18"/>
      <c r="N701" s="18"/>
      <c r="O701" s="18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>
      <c r="A702" s="1"/>
      <c r="B702" s="1"/>
      <c r="C702" s="18"/>
      <c r="D702" s="47"/>
      <c r="E702" s="18"/>
      <c r="F702" s="18"/>
      <c r="G702" s="18"/>
      <c r="H702" s="18"/>
      <c r="I702" s="25"/>
      <c r="J702" s="18"/>
      <c r="K702" s="18"/>
      <c r="L702" s="18"/>
      <c r="M702" s="18"/>
      <c r="N702" s="18"/>
      <c r="O702" s="18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>
      <c r="A703" s="1"/>
      <c r="B703" s="1"/>
      <c r="C703" s="18"/>
      <c r="D703" s="47"/>
      <c r="E703" s="18"/>
      <c r="F703" s="18"/>
      <c r="G703" s="18"/>
      <c r="H703" s="18"/>
      <c r="I703" s="25"/>
      <c r="J703" s="18"/>
      <c r="K703" s="18"/>
      <c r="L703" s="18"/>
      <c r="M703" s="18"/>
      <c r="N703" s="18"/>
      <c r="O703" s="18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>
      <c r="A704" s="1"/>
      <c r="B704" s="1"/>
      <c r="C704" s="18"/>
      <c r="D704" s="47"/>
      <c r="E704" s="18"/>
      <c r="F704" s="18"/>
      <c r="G704" s="18"/>
      <c r="H704" s="18"/>
      <c r="I704" s="25"/>
      <c r="J704" s="18"/>
      <c r="K704" s="18"/>
      <c r="L704" s="18"/>
      <c r="M704" s="18"/>
      <c r="N704" s="18"/>
      <c r="O704" s="18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>
      <c r="A705" s="1"/>
      <c r="B705" s="1"/>
      <c r="C705" s="18"/>
      <c r="D705" s="47"/>
      <c r="E705" s="18"/>
      <c r="F705" s="18"/>
      <c r="G705" s="18"/>
      <c r="H705" s="18"/>
      <c r="I705" s="25"/>
      <c r="J705" s="18"/>
      <c r="K705" s="18"/>
      <c r="L705" s="18"/>
      <c r="M705" s="18"/>
      <c r="N705" s="18"/>
      <c r="O705" s="18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>
      <c r="A706" s="1"/>
      <c r="B706" s="1"/>
      <c r="C706" s="18"/>
      <c r="D706" s="47"/>
      <c r="E706" s="18"/>
      <c r="F706" s="18"/>
      <c r="G706" s="18"/>
      <c r="H706" s="18"/>
      <c r="I706" s="25"/>
      <c r="J706" s="18"/>
      <c r="K706" s="18"/>
      <c r="L706" s="18"/>
      <c r="M706" s="18"/>
      <c r="N706" s="18"/>
      <c r="O706" s="18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>
      <c r="A707" s="1"/>
      <c r="B707" s="1"/>
      <c r="C707" s="18"/>
      <c r="D707" s="47"/>
      <c r="E707" s="18"/>
      <c r="F707" s="18"/>
      <c r="G707" s="18"/>
      <c r="H707" s="18"/>
      <c r="I707" s="25"/>
      <c r="J707" s="18"/>
      <c r="K707" s="18"/>
      <c r="L707" s="18"/>
      <c r="M707" s="18"/>
      <c r="N707" s="18"/>
      <c r="O707" s="18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>
      <c r="A708" s="1"/>
      <c r="B708" s="1"/>
      <c r="C708" s="18"/>
      <c r="D708" s="47"/>
      <c r="E708" s="18"/>
      <c r="F708" s="18"/>
      <c r="G708" s="18"/>
      <c r="H708" s="18"/>
      <c r="I708" s="25"/>
      <c r="J708" s="18"/>
      <c r="K708" s="18"/>
      <c r="L708" s="18"/>
      <c r="M708" s="18"/>
      <c r="N708" s="18"/>
      <c r="O708" s="18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>
      <c r="A709" s="1"/>
      <c r="B709" s="1"/>
      <c r="C709" s="18"/>
      <c r="D709" s="47"/>
      <c r="E709" s="18"/>
      <c r="F709" s="18"/>
      <c r="G709" s="18"/>
      <c r="H709" s="18"/>
      <c r="I709" s="25"/>
      <c r="J709" s="18"/>
      <c r="K709" s="18"/>
      <c r="L709" s="18"/>
      <c r="M709" s="18"/>
      <c r="N709" s="18"/>
      <c r="O709" s="18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>
      <c r="A710" s="1"/>
      <c r="B710" s="1"/>
      <c r="C710" s="18"/>
      <c r="D710" s="47"/>
      <c r="E710" s="18"/>
      <c r="F710" s="18"/>
      <c r="G710" s="18"/>
      <c r="H710" s="18"/>
      <c r="I710" s="25"/>
      <c r="J710" s="18"/>
      <c r="K710" s="18"/>
      <c r="L710" s="18"/>
      <c r="M710" s="18"/>
      <c r="N710" s="18"/>
      <c r="O710" s="18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>
      <c r="A711" s="1"/>
      <c r="B711" s="1"/>
      <c r="C711" s="18"/>
      <c r="D711" s="47"/>
      <c r="E711" s="18"/>
      <c r="F711" s="18"/>
      <c r="G711" s="18"/>
      <c r="H711" s="18"/>
      <c r="I711" s="25"/>
      <c r="J711" s="18"/>
      <c r="K711" s="18"/>
      <c r="L711" s="18"/>
      <c r="M711" s="18"/>
      <c r="N711" s="18"/>
      <c r="O711" s="18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>
      <c r="A712" s="1"/>
      <c r="B712" s="1"/>
      <c r="C712" s="18"/>
      <c r="D712" s="47"/>
      <c r="E712" s="18"/>
      <c r="F712" s="18"/>
      <c r="G712" s="18"/>
      <c r="H712" s="18"/>
      <c r="I712" s="25"/>
      <c r="J712" s="18"/>
      <c r="K712" s="18"/>
      <c r="L712" s="18"/>
      <c r="M712" s="18"/>
      <c r="N712" s="18"/>
      <c r="O712" s="18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>
      <c r="A713" s="1"/>
      <c r="B713" s="1"/>
      <c r="C713" s="18"/>
      <c r="D713" s="47"/>
      <c r="E713" s="18"/>
      <c r="F713" s="18"/>
      <c r="G713" s="18"/>
      <c r="H713" s="18"/>
      <c r="I713" s="25"/>
      <c r="J713" s="18"/>
      <c r="K713" s="18"/>
      <c r="L713" s="18"/>
      <c r="M713" s="18"/>
      <c r="N713" s="18"/>
      <c r="O713" s="18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>
      <c r="A714" s="1"/>
      <c r="B714" s="1"/>
      <c r="C714" s="18"/>
      <c r="D714" s="47"/>
      <c r="E714" s="18"/>
      <c r="F714" s="18"/>
      <c r="G714" s="18"/>
      <c r="H714" s="18"/>
      <c r="I714" s="25"/>
      <c r="J714" s="18"/>
      <c r="K714" s="18"/>
      <c r="L714" s="18"/>
      <c r="M714" s="18"/>
      <c r="N714" s="18"/>
      <c r="O714" s="18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>
      <c r="A715" s="1"/>
      <c r="B715" s="1"/>
      <c r="C715" s="18"/>
      <c r="D715" s="47"/>
      <c r="E715" s="18"/>
      <c r="F715" s="18"/>
      <c r="G715" s="18"/>
      <c r="H715" s="18"/>
      <c r="I715" s="25"/>
      <c r="J715" s="18"/>
      <c r="K715" s="18"/>
      <c r="L715" s="18"/>
      <c r="M715" s="18"/>
      <c r="N715" s="18"/>
      <c r="O715" s="18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>
      <c r="A716" s="1"/>
      <c r="B716" s="1"/>
      <c r="C716" s="18"/>
      <c r="D716" s="47"/>
      <c r="E716" s="18"/>
      <c r="F716" s="18"/>
      <c r="G716" s="18"/>
      <c r="H716" s="18"/>
      <c r="I716" s="25"/>
      <c r="J716" s="18"/>
      <c r="K716" s="18"/>
      <c r="L716" s="18"/>
      <c r="M716" s="18"/>
      <c r="N716" s="18"/>
      <c r="O716" s="18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>
      <c r="A717" s="1"/>
      <c r="B717" s="1"/>
      <c r="C717" s="18"/>
      <c r="D717" s="47"/>
      <c r="E717" s="18"/>
      <c r="F717" s="18"/>
      <c r="G717" s="18"/>
      <c r="H717" s="18"/>
      <c r="I717" s="25"/>
      <c r="J717" s="18"/>
      <c r="K717" s="18"/>
      <c r="L717" s="18"/>
      <c r="M717" s="18"/>
      <c r="N717" s="18"/>
      <c r="O717" s="18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>
      <c r="A718" s="1"/>
      <c r="B718" s="1"/>
      <c r="C718" s="18"/>
      <c r="D718" s="47"/>
      <c r="E718" s="18"/>
      <c r="F718" s="18"/>
      <c r="G718" s="18"/>
      <c r="H718" s="18"/>
      <c r="I718" s="25"/>
      <c r="J718" s="18"/>
      <c r="K718" s="18"/>
      <c r="L718" s="18"/>
      <c r="M718" s="18"/>
      <c r="N718" s="18"/>
      <c r="O718" s="18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>
      <c r="A719" s="1"/>
      <c r="B719" s="1"/>
      <c r="C719" s="18"/>
      <c r="D719" s="47"/>
      <c r="E719" s="18"/>
      <c r="F719" s="18"/>
      <c r="G719" s="18"/>
      <c r="H719" s="18"/>
      <c r="I719" s="25"/>
      <c r="J719" s="18"/>
      <c r="K719" s="18"/>
      <c r="L719" s="18"/>
      <c r="M719" s="18"/>
      <c r="N719" s="18"/>
      <c r="O719" s="18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>
      <c r="A720" s="1"/>
      <c r="B720" s="1"/>
      <c r="C720" s="18"/>
      <c r="D720" s="47"/>
      <c r="E720" s="18"/>
      <c r="F720" s="18"/>
      <c r="G720" s="18"/>
      <c r="H720" s="18"/>
      <c r="I720" s="25"/>
      <c r="J720" s="18"/>
      <c r="K720" s="18"/>
      <c r="L720" s="18"/>
      <c r="M720" s="18"/>
      <c r="N720" s="18"/>
      <c r="O720" s="18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>
      <c r="A721" s="1"/>
      <c r="B721" s="1"/>
      <c r="C721" s="18"/>
      <c r="D721" s="47"/>
      <c r="E721" s="18"/>
      <c r="F721" s="18"/>
      <c r="G721" s="18"/>
      <c r="H721" s="18"/>
      <c r="I721" s="25"/>
      <c r="J721" s="18"/>
      <c r="K721" s="18"/>
      <c r="L721" s="18"/>
      <c r="M721" s="18"/>
      <c r="N721" s="18"/>
      <c r="O721" s="18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>
      <c r="A722" s="1"/>
      <c r="B722" s="1"/>
      <c r="C722" s="18"/>
      <c r="D722" s="47"/>
      <c r="E722" s="18"/>
      <c r="F722" s="18"/>
      <c r="G722" s="18"/>
      <c r="H722" s="18"/>
      <c r="I722" s="25"/>
      <c r="J722" s="18"/>
      <c r="K722" s="18"/>
      <c r="L722" s="18"/>
      <c r="M722" s="18"/>
      <c r="N722" s="18"/>
      <c r="O722" s="18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>
      <c r="A723" s="1"/>
      <c r="B723" s="1"/>
      <c r="C723" s="18"/>
      <c r="D723" s="47"/>
      <c r="E723" s="18"/>
      <c r="F723" s="18"/>
      <c r="G723" s="18"/>
      <c r="H723" s="18"/>
      <c r="I723" s="25"/>
      <c r="J723" s="18"/>
      <c r="K723" s="18"/>
      <c r="L723" s="18"/>
      <c r="M723" s="18"/>
      <c r="N723" s="18"/>
      <c r="O723" s="18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>
      <c r="A724" s="1"/>
      <c r="B724" s="1"/>
      <c r="C724" s="18"/>
      <c r="D724" s="47"/>
      <c r="E724" s="18"/>
      <c r="F724" s="18"/>
      <c r="G724" s="18"/>
      <c r="H724" s="18"/>
      <c r="I724" s="25"/>
      <c r="J724" s="18"/>
      <c r="K724" s="18"/>
      <c r="L724" s="18"/>
      <c r="M724" s="18"/>
      <c r="N724" s="18"/>
      <c r="O724" s="18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>
      <c r="A725" s="1"/>
      <c r="B725" s="1"/>
      <c r="C725" s="18"/>
      <c r="D725" s="47"/>
      <c r="E725" s="18"/>
      <c r="F725" s="18"/>
      <c r="G725" s="18"/>
      <c r="H725" s="18"/>
      <c r="I725" s="25"/>
      <c r="J725" s="18"/>
      <c r="K725" s="18"/>
      <c r="L725" s="18"/>
      <c r="M725" s="18"/>
      <c r="N725" s="18"/>
      <c r="O725" s="18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>
      <c r="A726" s="1"/>
      <c r="B726" s="1"/>
      <c r="C726" s="18"/>
      <c r="D726" s="47"/>
      <c r="E726" s="18"/>
      <c r="F726" s="18"/>
      <c r="G726" s="18"/>
      <c r="H726" s="18"/>
      <c r="I726" s="25"/>
      <c r="J726" s="18"/>
      <c r="K726" s="18"/>
      <c r="L726" s="18"/>
      <c r="M726" s="18"/>
      <c r="N726" s="18"/>
      <c r="O726" s="18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>
      <c r="A727" s="1"/>
      <c r="B727" s="1"/>
      <c r="C727" s="18"/>
      <c r="D727" s="47"/>
      <c r="E727" s="18"/>
      <c r="F727" s="18"/>
      <c r="G727" s="18"/>
      <c r="H727" s="18"/>
      <c r="I727" s="25"/>
      <c r="J727" s="18"/>
      <c r="K727" s="18"/>
      <c r="L727" s="18"/>
      <c r="M727" s="18"/>
      <c r="N727" s="18"/>
      <c r="O727" s="18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>
      <c r="A728" s="1"/>
      <c r="B728" s="1"/>
      <c r="C728" s="18"/>
      <c r="D728" s="47"/>
      <c r="E728" s="18"/>
      <c r="F728" s="18"/>
      <c r="G728" s="18"/>
      <c r="H728" s="18"/>
      <c r="I728" s="25"/>
      <c r="J728" s="18"/>
      <c r="K728" s="18"/>
      <c r="L728" s="18"/>
      <c r="M728" s="18"/>
      <c r="N728" s="18"/>
      <c r="O728" s="18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>
      <c r="A729" s="1"/>
      <c r="B729" s="1"/>
      <c r="C729" s="18"/>
      <c r="D729" s="47"/>
      <c r="E729" s="18"/>
      <c r="F729" s="18"/>
      <c r="G729" s="18"/>
      <c r="H729" s="18"/>
      <c r="I729" s="25"/>
      <c r="J729" s="18"/>
      <c r="K729" s="18"/>
      <c r="L729" s="18"/>
      <c r="M729" s="18"/>
      <c r="N729" s="18"/>
      <c r="O729" s="18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>
      <c r="A730" s="1"/>
      <c r="B730" s="1"/>
      <c r="C730" s="18"/>
      <c r="D730" s="47"/>
      <c r="E730" s="18"/>
      <c r="F730" s="18"/>
      <c r="G730" s="18"/>
      <c r="H730" s="18"/>
      <c r="I730" s="25"/>
      <c r="J730" s="18"/>
      <c r="K730" s="18"/>
      <c r="L730" s="18"/>
      <c r="M730" s="18"/>
      <c r="N730" s="18"/>
      <c r="O730" s="18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>
      <c r="A731" s="1"/>
      <c r="B731" s="1"/>
      <c r="C731" s="18"/>
      <c r="D731" s="47"/>
      <c r="E731" s="18"/>
      <c r="F731" s="18"/>
      <c r="G731" s="18"/>
      <c r="H731" s="18"/>
      <c r="I731" s="25"/>
      <c r="J731" s="18"/>
      <c r="K731" s="18"/>
      <c r="L731" s="18"/>
      <c r="M731" s="18"/>
      <c r="N731" s="18"/>
      <c r="O731" s="18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>
      <c r="A732" s="1"/>
      <c r="B732" s="1"/>
      <c r="C732" s="18"/>
      <c r="D732" s="47"/>
      <c r="E732" s="18"/>
      <c r="F732" s="18"/>
      <c r="G732" s="18"/>
      <c r="H732" s="18"/>
      <c r="I732" s="25"/>
      <c r="J732" s="18"/>
      <c r="K732" s="18"/>
      <c r="L732" s="18"/>
      <c r="M732" s="18"/>
      <c r="N732" s="18"/>
      <c r="O732" s="18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>
      <c r="A733" s="1"/>
      <c r="B733" s="1"/>
      <c r="C733" s="18"/>
      <c r="D733" s="47"/>
      <c r="E733" s="18"/>
      <c r="F733" s="18"/>
      <c r="G733" s="18"/>
      <c r="H733" s="18"/>
      <c r="I733" s="25"/>
      <c r="J733" s="18"/>
      <c r="K733" s="18"/>
      <c r="L733" s="18"/>
      <c r="M733" s="18"/>
      <c r="N733" s="18"/>
      <c r="O733" s="18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>
      <c r="A734" s="1"/>
      <c r="B734" s="1"/>
      <c r="C734" s="18"/>
      <c r="D734" s="47"/>
      <c r="E734" s="18"/>
      <c r="F734" s="18"/>
      <c r="G734" s="18"/>
      <c r="H734" s="18"/>
      <c r="I734" s="25"/>
      <c r="J734" s="18"/>
      <c r="K734" s="18"/>
      <c r="L734" s="18"/>
      <c r="M734" s="18"/>
      <c r="N734" s="18"/>
      <c r="O734" s="18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>
      <c r="A735" s="1"/>
      <c r="B735" s="1"/>
      <c r="C735" s="18"/>
      <c r="D735" s="47"/>
      <c r="E735" s="18"/>
      <c r="F735" s="18"/>
      <c r="G735" s="18"/>
      <c r="H735" s="18"/>
      <c r="I735" s="25"/>
      <c r="J735" s="18"/>
      <c r="K735" s="18"/>
      <c r="L735" s="18"/>
      <c r="M735" s="18"/>
      <c r="N735" s="18"/>
      <c r="O735" s="18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>
      <c r="A736" s="1"/>
      <c r="B736" s="1"/>
      <c r="C736" s="18"/>
      <c r="D736" s="47"/>
      <c r="E736" s="18"/>
      <c r="F736" s="18"/>
      <c r="G736" s="18"/>
      <c r="H736" s="18"/>
      <c r="I736" s="25"/>
      <c r="J736" s="18"/>
      <c r="K736" s="18"/>
      <c r="L736" s="18"/>
      <c r="M736" s="18"/>
      <c r="N736" s="18"/>
      <c r="O736" s="18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>
      <c r="A737" s="1"/>
      <c r="B737" s="1"/>
      <c r="C737" s="18"/>
      <c r="D737" s="47"/>
      <c r="E737" s="18"/>
      <c r="F737" s="18"/>
      <c r="G737" s="18"/>
      <c r="H737" s="18"/>
      <c r="I737" s="25"/>
      <c r="J737" s="18"/>
      <c r="K737" s="18"/>
      <c r="L737" s="18"/>
      <c r="M737" s="18"/>
      <c r="N737" s="18"/>
      <c r="O737" s="18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>
      <c r="A738" s="1"/>
      <c r="B738" s="1"/>
      <c r="C738" s="18"/>
      <c r="D738" s="47"/>
      <c r="E738" s="18"/>
      <c r="F738" s="18"/>
      <c r="G738" s="18"/>
      <c r="H738" s="18"/>
      <c r="I738" s="25"/>
      <c r="J738" s="18"/>
      <c r="K738" s="18"/>
      <c r="L738" s="18"/>
      <c r="M738" s="18"/>
      <c r="N738" s="18"/>
      <c r="O738" s="18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>
      <c r="A739" s="1"/>
      <c r="B739" s="1"/>
      <c r="C739" s="18"/>
      <c r="D739" s="47"/>
      <c r="E739" s="18"/>
      <c r="F739" s="18"/>
      <c r="G739" s="18"/>
      <c r="H739" s="18"/>
      <c r="I739" s="25"/>
      <c r="J739" s="18"/>
      <c r="K739" s="18"/>
      <c r="L739" s="18"/>
      <c r="M739" s="18"/>
      <c r="N739" s="18"/>
      <c r="O739" s="18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>
      <c r="A740" s="1"/>
      <c r="B740" s="1"/>
      <c r="C740" s="18"/>
      <c r="D740" s="47"/>
      <c r="E740" s="18"/>
      <c r="F740" s="18"/>
      <c r="G740" s="18"/>
      <c r="H740" s="18"/>
      <c r="I740" s="25"/>
      <c r="J740" s="18"/>
      <c r="K740" s="18"/>
      <c r="L740" s="18"/>
      <c r="M740" s="18"/>
      <c r="N740" s="18"/>
      <c r="O740" s="18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>
      <c r="A741" s="1"/>
      <c r="B741" s="1"/>
      <c r="C741" s="18"/>
      <c r="D741" s="47"/>
      <c r="E741" s="18"/>
      <c r="F741" s="18"/>
      <c r="G741" s="18"/>
      <c r="H741" s="18"/>
      <c r="I741" s="25"/>
      <c r="J741" s="18"/>
      <c r="K741" s="18"/>
      <c r="L741" s="18"/>
      <c r="M741" s="18"/>
      <c r="N741" s="18"/>
      <c r="O741" s="18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>
      <c r="A742" s="1"/>
      <c r="B742" s="1"/>
      <c r="C742" s="18"/>
      <c r="D742" s="47"/>
      <c r="E742" s="18"/>
      <c r="F742" s="18"/>
      <c r="G742" s="18"/>
      <c r="H742" s="18"/>
      <c r="I742" s="25"/>
      <c r="J742" s="18"/>
      <c r="K742" s="18"/>
      <c r="L742" s="18"/>
      <c r="M742" s="18"/>
      <c r="N742" s="18"/>
      <c r="O742" s="18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>
      <c r="A743" s="1"/>
      <c r="B743" s="1"/>
      <c r="C743" s="18"/>
      <c r="D743" s="47"/>
      <c r="E743" s="18"/>
      <c r="F743" s="18"/>
      <c r="G743" s="18"/>
      <c r="H743" s="18"/>
      <c r="I743" s="25"/>
      <c r="J743" s="18"/>
      <c r="K743" s="18"/>
      <c r="L743" s="18"/>
      <c r="M743" s="18"/>
      <c r="N743" s="18"/>
      <c r="O743" s="18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>
      <c r="A744" s="1"/>
      <c r="B744" s="1"/>
      <c r="C744" s="18"/>
      <c r="D744" s="47"/>
      <c r="E744" s="18"/>
      <c r="F744" s="18"/>
      <c r="G744" s="18"/>
      <c r="H744" s="18"/>
      <c r="I744" s="25"/>
      <c r="J744" s="18"/>
      <c r="K744" s="18"/>
      <c r="L744" s="18"/>
      <c r="M744" s="18"/>
      <c r="N744" s="18"/>
      <c r="O744" s="18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>
      <c r="A745" s="1"/>
      <c r="B745" s="1"/>
      <c r="C745" s="18"/>
      <c r="D745" s="47"/>
      <c r="E745" s="18"/>
      <c r="F745" s="18"/>
      <c r="G745" s="18"/>
      <c r="H745" s="18"/>
      <c r="I745" s="25"/>
      <c r="J745" s="18"/>
      <c r="K745" s="18"/>
      <c r="L745" s="18"/>
      <c r="M745" s="18"/>
      <c r="N745" s="18"/>
      <c r="O745" s="18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>
      <c r="A746" s="1"/>
      <c r="B746" s="1"/>
      <c r="C746" s="18"/>
      <c r="D746" s="47"/>
      <c r="E746" s="18"/>
      <c r="F746" s="18"/>
      <c r="G746" s="18"/>
      <c r="H746" s="18"/>
      <c r="I746" s="25"/>
      <c r="J746" s="18"/>
      <c r="K746" s="18"/>
      <c r="L746" s="18"/>
      <c r="M746" s="18"/>
      <c r="N746" s="18"/>
      <c r="O746" s="18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>
      <c r="A747" s="1"/>
      <c r="B747" s="1"/>
      <c r="C747" s="18"/>
      <c r="D747" s="47"/>
      <c r="E747" s="18"/>
      <c r="F747" s="18"/>
      <c r="G747" s="18"/>
      <c r="H747" s="18"/>
      <c r="I747" s="25"/>
      <c r="J747" s="18"/>
      <c r="K747" s="18"/>
      <c r="L747" s="18"/>
      <c r="M747" s="18"/>
      <c r="N747" s="18"/>
      <c r="O747" s="18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>
      <c r="A748" s="1"/>
      <c r="B748" s="1"/>
      <c r="C748" s="18"/>
      <c r="D748" s="47"/>
      <c r="E748" s="18"/>
      <c r="F748" s="18"/>
      <c r="G748" s="18"/>
      <c r="H748" s="18"/>
      <c r="I748" s="25"/>
      <c r="J748" s="18"/>
      <c r="K748" s="18"/>
      <c r="L748" s="18"/>
      <c r="M748" s="18"/>
      <c r="N748" s="18"/>
      <c r="O748" s="18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>
      <c r="A749" s="1"/>
      <c r="B749" s="1"/>
      <c r="C749" s="18"/>
      <c r="D749" s="47"/>
      <c r="E749" s="18"/>
      <c r="F749" s="18"/>
      <c r="G749" s="18"/>
      <c r="H749" s="18"/>
      <c r="I749" s="25"/>
      <c r="J749" s="18"/>
      <c r="K749" s="18"/>
      <c r="L749" s="18"/>
      <c r="M749" s="18"/>
      <c r="N749" s="18"/>
      <c r="O749" s="18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>
      <c r="A750" s="1"/>
      <c r="B750" s="1"/>
      <c r="C750" s="18"/>
      <c r="D750" s="47"/>
      <c r="E750" s="18"/>
      <c r="F750" s="18"/>
      <c r="G750" s="18"/>
      <c r="H750" s="18"/>
      <c r="I750" s="25"/>
      <c r="J750" s="18"/>
      <c r="K750" s="18"/>
      <c r="L750" s="18"/>
      <c r="M750" s="18"/>
      <c r="N750" s="18"/>
      <c r="O750" s="18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>
      <c r="A751" s="1"/>
      <c r="B751" s="1"/>
      <c r="C751" s="18"/>
      <c r="D751" s="47"/>
      <c r="E751" s="18"/>
      <c r="F751" s="18"/>
      <c r="G751" s="18"/>
      <c r="H751" s="18"/>
      <c r="I751" s="25"/>
      <c r="J751" s="18"/>
      <c r="K751" s="18"/>
      <c r="L751" s="18"/>
      <c r="M751" s="18"/>
      <c r="N751" s="18"/>
      <c r="O751" s="18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>
      <c r="A752" s="1"/>
      <c r="B752" s="1"/>
      <c r="C752" s="18"/>
      <c r="D752" s="47"/>
      <c r="E752" s="18"/>
      <c r="F752" s="18"/>
      <c r="G752" s="18"/>
      <c r="H752" s="18"/>
      <c r="I752" s="25"/>
      <c r="J752" s="18"/>
      <c r="K752" s="18"/>
      <c r="L752" s="18"/>
      <c r="M752" s="18"/>
      <c r="N752" s="18"/>
      <c r="O752" s="18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>
      <c r="A753" s="1"/>
      <c r="B753" s="1"/>
      <c r="C753" s="18"/>
      <c r="D753" s="47"/>
      <c r="E753" s="18"/>
      <c r="F753" s="18"/>
      <c r="G753" s="18"/>
      <c r="H753" s="18"/>
      <c r="I753" s="25"/>
      <c r="J753" s="18"/>
      <c r="K753" s="18"/>
      <c r="L753" s="18"/>
      <c r="M753" s="18"/>
      <c r="N753" s="18"/>
      <c r="O753" s="18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>
      <c r="A754" s="1"/>
      <c r="B754" s="1"/>
      <c r="C754" s="18"/>
      <c r="D754" s="47"/>
      <c r="E754" s="18"/>
      <c r="F754" s="18"/>
      <c r="G754" s="18"/>
      <c r="H754" s="18"/>
      <c r="I754" s="25"/>
      <c r="J754" s="18"/>
      <c r="K754" s="18"/>
      <c r="L754" s="18"/>
      <c r="M754" s="18"/>
      <c r="N754" s="18"/>
      <c r="O754" s="18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>
      <c r="A755" s="1"/>
      <c r="B755" s="1"/>
      <c r="C755" s="18"/>
      <c r="D755" s="47"/>
      <c r="E755" s="18"/>
      <c r="F755" s="18"/>
      <c r="G755" s="18"/>
      <c r="H755" s="18"/>
      <c r="I755" s="25"/>
      <c r="J755" s="18"/>
      <c r="K755" s="18"/>
      <c r="L755" s="18"/>
      <c r="M755" s="18"/>
      <c r="N755" s="18"/>
      <c r="O755" s="18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>
      <c r="A756" s="1"/>
      <c r="B756" s="1"/>
      <c r="C756" s="18"/>
      <c r="D756" s="47"/>
      <c r="E756" s="18"/>
      <c r="F756" s="18"/>
      <c r="G756" s="18"/>
      <c r="H756" s="18"/>
      <c r="I756" s="25"/>
      <c r="J756" s="18"/>
      <c r="K756" s="18"/>
      <c r="L756" s="18"/>
      <c r="M756" s="18"/>
      <c r="N756" s="18"/>
      <c r="O756" s="18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>
      <c r="A757" s="1"/>
      <c r="B757" s="1"/>
      <c r="C757" s="18"/>
      <c r="D757" s="47"/>
      <c r="E757" s="18"/>
      <c r="F757" s="18"/>
      <c r="G757" s="18"/>
      <c r="H757" s="18"/>
      <c r="I757" s="25"/>
      <c r="J757" s="18"/>
      <c r="K757" s="18"/>
      <c r="L757" s="18"/>
      <c r="M757" s="18"/>
      <c r="N757" s="18"/>
      <c r="O757" s="18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>
      <c r="A758" s="1"/>
      <c r="B758" s="1"/>
      <c r="C758" s="18"/>
      <c r="D758" s="47"/>
      <c r="E758" s="18"/>
      <c r="F758" s="18"/>
      <c r="G758" s="18"/>
      <c r="H758" s="18"/>
      <c r="I758" s="25"/>
      <c r="J758" s="18"/>
      <c r="K758" s="18"/>
      <c r="L758" s="18"/>
      <c r="M758" s="18"/>
      <c r="N758" s="18"/>
      <c r="O758" s="18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>
      <c r="A759" s="1"/>
      <c r="B759" s="1"/>
      <c r="C759" s="18"/>
      <c r="D759" s="47"/>
      <c r="E759" s="18"/>
      <c r="F759" s="18"/>
      <c r="G759" s="18"/>
      <c r="H759" s="18"/>
      <c r="I759" s="25"/>
      <c r="J759" s="18"/>
      <c r="K759" s="18"/>
      <c r="L759" s="18"/>
      <c r="M759" s="18"/>
      <c r="N759" s="18"/>
      <c r="O759" s="18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>
      <c r="A760" s="1"/>
      <c r="B760" s="1"/>
      <c r="C760" s="18"/>
      <c r="D760" s="47"/>
      <c r="E760" s="18"/>
      <c r="F760" s="18"/>
      <c r="G760" s="18"/>
      <c r="H760" s="18"/>
      <c r="I760" s="25"/>
      <c r="J760" s="18"/>
      <c r="K760" s="18"/>
      <c r="L760" s="18"/>
      <c r="M760" s="18"/>
      <c r="N760" s="18"/>
      <c r="O760" s="18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>
      <c r="A761" s="1"/>
      <c r="B761" s="1"/>
      <c r="C761" s="18"/>
      <c r="D761" s="47"/>
      <c r="E761" s="18"/>
      <c r="F761" s="18"/>
      <c r="G761" s="18"/>
      <c r="H761" s="18"/>
      <c r="I761" s="25"/>
      <c r="J761" s="18"/>
      <c r="K761" s="18"/>
      <c r="L761" s="18"/>
      <c r="M761" s="18"/>
      <c r="N761" s="18"/>
      <c r="O761" s="18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>
      <c r="A762" s="1"/>
      <c r="B762" s="1"/>
      <c r="C762" s="18"/>
      <c r="D762" s="47"/>
      <c r="E762" s="18"/>
      <c r="F762" s="18"/>
      <c r="G762" s="18"/>
      <c r="H762" s="18"/>
      <c r="I762" s="25"/>
      <c r="J762" s="18"/>
      <c r="K762" s="18"/>
      <c r="L762" s="18"/>
      <c r="M762" s="18"/>
      <c r="N762" s="18"/>
      <c r="O762" s="18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>
      <c r="A763" s="1"/>
      <c r="B763" s="1"/>
      <c r="C763" s="18"/>
      <c r="D763" s="47"/>
      <c r="E763" s="18"/>
      <c r="F763" s="18"/>
      <c r="G763" s="18"/>
      <c r="H763" s="18"/>
      <c r="I763" s="25"/>
      <c r="J763" s="18"/>
      <c r="K763" s="18"/>
      <c r="L763" s="18"/>
      <c r="M763" s="18"/>
      <c r="N763" s="18"/>
      <c r="O763" s="18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>
      <c r="A764" s="1"/>
      <c r="B764" s="1"/>
      <c r="C764" s="18"/>
      <c r="D764" s="47"/>
      <c r="E764" s="18"/>
      <c r="F764" s="18"/>
      <c r="G764" s="18"/>
      <c r="H764" s="18"/>
      <c r="I764" s="25"/>
      <c r="J764" s="18"/>
      <c r="K764" s="18"/>
      <c r="L764" s="18"/>
      <c r="M764" s="18"/>
      <c r="N764" s="18"/>
      <c r="O764" s="18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>
      <c r="A765" s="1"/>
      <c r="B765" s="1"/>
      <c r="C765" s="18"/>
      <c r="D765" s="47"/>
      <c r="E765" s="18"/>
      <c r="F765" s="18"/>
      <c r="G765" s="18"/>
      <c r="H765" s="18"/>
      <c r="I765" s="25"/>
      <c r="J765" s="18"/>
      <c r="K765" s="18"/>
      <c r="L765" s="18"/>
      <c r="M765" s="18"/>
      <c r="N765" s="18"/>
      <c r="O765" s="18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>
      <c r="A766" s="1"/>
      <c r="B766" s="1"/>
      <c r="C766" s="18"/>
      <c r="D766" s="47"/>
      <c r="E766" s="18"/>
      <c r="F766" s="18"/>
      <c r="G766" s="18"/>
      <c r="H766" s="18"/>
      <c r="I766" s="25"/>
      <c r="J766" s="18"/>
      <c r="K766" s="18"/>
      <c r="L766" s="18"/>
      <c r="M766" s="18"/>
      <c r="N766" s="18"/>
      <c r="O766" s="18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>
      <c r="A767" s="1"/>
      <c r="B767" s="1"/>
      <c r="C767" s="18"/>
      <c r="D767" s="47"/>
      <c r="E767" s="18"/>
      <c r="F767" s="18"/>
      <c r="G767" s="18"/>
      <c r="H767" s="18"/>
      <c r="I767" s="25"/>
      <c r="J767" s="18"/>
      <c r="K767" s="18"/>
      <c r="L767" s="18"/>
      <c r="M767" s="18"/>
      <c r="N767" s="18"/>
      <c r="O767" s="18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>
      <c r="A768" s="1"/>
      <c r="B768" s="1"/>
      <c r="C768" s="18"/>
      <c r="D768" s="47"/>
      <c r="E768" s="18"/>
      <c r="F768" s="18"/>
      <c r="G768" s="18"/>
      <c r="H768" s="18"/>
      <c r="I768" s="25"/>
      <c r="J768" s="18"/>
      <c r="K768" s="18"/>
      <c r="L768" s="18"/>
      <c r="M768" s="18"/>
      <c r="N768" s="18"/>
      <c r="O768" s="18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>
      <c r="A769" s="1"/>
      <c r="B769" s="1"/>
      <c r="C769" s="18"/>
      <c r="D769" s="47"/>
      <c r="E769" s="18"/>
      <c r="F769" s="18"/>
      <c r="G769" s="18"/>
      <c r="H769" s="18"/>
      <c r="I769" s="25"/>
      <c r="J769" s="18"/>
      <c r="K769" s="18"/>
      <c r="L769" s="18"/>
      <c r="M769" s="18"/>
      <c r="N769" s="18"/>
      <c r="O769" s="18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>
      <c r="A770" s="1"/>
      <c r="B770" s="1"/>
      <c r="C770" s="18"/>
      <c r="D770" s="47"/>
      <c r="E770" s="18"/>
      <c r="F770" s="18"/>
      <c r="G770" s="18"/>
      <c r="H770" s="18"/>
      <c r="I770" s="25"/>
      <c r="J770" s="18"/>
      <c r="K770" s="18"/>
      <c r="L770" s="18"/>
      <c r="M770" s="18"/>
      <c r="N770" s="18"/>
      <c r="O770" s="18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>
      <c r="A771" s="1"/>
      <c r="B771" s="1"/>
      <c r="C771" s="18"/>
      <c r="D771" s="47"/>
      <c r="E771" s="18"/>
      <c r="F771" s="18"/>
      <c r="G771" s="18"/>
      <c r="H771" s="18"/>
      <c r="I771" s="25"/>
      <c r="J771" s="18"/>
      <c r="K771" s="18"/>
      <c r="L771" s="18"/>
      <c r="M771" s="18"/>
      <c r="N771" s="18"/>
      <c r="O771" s="18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>
      <c r="A772" s="1"/>
      <c r="B772" s="1"/>
      <c r="C772" s="18"/>
      <c r="D772" s="47"/>
      <c r="E772" s="18"/>
      <c r="F772" s="18"/>
      <c r="G772" s="18"/>
      <c r="H772" s="18"/>
      <c r="I772" s="25"/>
      <c r="J772" s="18"/>
      <c r="K772" s="18"/>
      <c r="L772" s="18"/>
      <c r="M772" s="18"/>
      <c r="N772" s="18"/>
      <c r="O772" s="18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>
      <c r="A773" s="1"/>
      <c r="B773" s="1"/>
      <c r="C773" s="18"/>
      <c r="D773" s="47"/>
      <c r="E773" s="18"/>
      <c r="F773" s="18"/>
      <c r="G773" s="18"/>
      <c r="H773" s="18"/>
      <c r="I773" s="25"/>
      <c r="J773" s="18"/>
      <c r="K773" s="18"/>
      <c r="L773" s="18"/>
      <c r="M773" s="18"/>
      <c r="N773" s="18"/>
      <c r="O773" s="18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>
      <c r="A774" s="1"/>
      <c r="B774" s="1"/>
      <c r="C774" s="18"/>
      <c r="D774" s="47"/>
      <c r="E774" s="18"/>
      <c r="F774" s="18"/>
      <c r="G774" s="18"/>
      <c r="H774" s="18"/>
      <c r="I774" s="25"/>
      <c r="J774" s="18"/>
      <c r="K774" s="18"/>
      <c r="L774" s="18"/>
      <c r="M774" s="18"/>
      <c r="N774" s="18"/>
      <c r="O774" s="18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>
      <c r="A775" s="1"/>
      <c r="B775" s="1"/>
      <c r="C775" s="18"/>
      <c r="D775" s="47"/>
      <c r="E775" s="18"/>
      <c r="F775" s="18"/>
      <c r="G775" s="18"/>
      <c r="H775" s="18"/>
      <c r="I775" s="25"/>
      <c r="J775" s="18"/>
      <c r="K775" s="18"/>
      <c r="L775" s="18"/>
      <c r="M775" s="18"/>
      <c r="N775" s="18"/>
      <c r="O775" s="18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>
      <c r="A776" s="1"/>
      <c r="B776" s="1"/>
      <c r="C776" s="18"/>
      <c r="D776" s="47"/>
      <c r="E776" s="18"/>
      <c r="F776" s="18"/>
      <c r="G776" s="18"/>
      <c r="H776" s="18"/>
      <c r="I776" s="25"/>
      <c r="J776" s="18"/>
      <c r="K776" s="18"/>
      <c r="L776" s="18"/>
      <c r="M776" s="18"/>
      <c r="N776" s="18"/>
      <c r="O776" s="18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>
      <c r="A777" s="1"/>
      <c r="B777" s="1"/>
      <c r="C777" s="18"/>
      <c r="D777" s="47"/>
      <c r="E777" s="18"/>
      <c r="F777" s="18"/>
      <c r="G777" s="18"/>
      <c r="H777" s="18"/>
      <c r="I777" s="25"/>
      <c r="J777" s="18"/>
      <c r="K777" s="18"/>
      <c r="L777" s="18"/>
      <c r="M777" s="18"/>
      <c r="N777" s="18"/>
      <c r="O777" s="18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>
      <c r="A778" s="1"/>
      <c r="B778" s="1"/>
      <c r="C778" s="18"/>
      <c r="D778" s="47"/>
      <c r="E778" s="18"/>
      <c r="F778" s="18"/>
      <c r="G778" s="18"/>
      <c r="H778" s="18"/>
      <c r="I778" s="25"/>
      <c r="J778" s="18"/>
      <c r="K778" s="18"/>
      <c r="L778" s="18"/>
      <c r="M778" s="18"/>
      <c r="N778" s="18"/>
      <c r="O778" s="18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>
      <c r="A779" s="1"/>
      <c r="B779" s="1"/>
      <c r="C779" s="18"/>
      <c r="D779" s="47"/>
      <c r="E779" s="18"/>
      <c r="F779" s="18"/>
      <c r="G779" s="18"/>
      <c r="H779" s="18"/>
      <c r="I779" s="25"/>
      <c r="J779" s="18"/>
      <c r="K779" s="18"/>
      <c r="L779" s="18"/>
      <c r="M779" s="18"/>
      <c r="N779" s="18"/>
      <c r="O779" s="18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>
      <c r="A780" s="1"/>
      <c r="B780" s="1"/>
      <c r="C780" s="18"/>
      <c r="D780" s="47"/>
      <c r="E780" s="18"/>
      <c r="F780" s="18"/>
      <c r="G780" s="18"/>
      <c r="H780" s="18"/>
      <c r="I780" s="25"/>
      <c r="J780" s="18"/>
      <c r="K780" s="18"/>
      <c r="L780" s="18"/>
      <c r="M780" s="18"/>
      <c r="N780" s="18"/>
      <c r="O780" s="18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>
      <c r="A781" s="1"/>
      <c r="B781" s="1"/>
      <c r="C781" s="18"/>
      <c r="D781" s="47"/>
      <c r="E781" s="18"/>
      <c r="F781" s="18"/>
      <c r="G781" s="18"/>
      <c r="H781" s="18"/>
      <c r="I781" s="25"/>
      <c r="J781" s="18"/>
      <c r="K781" s="18"/>
      <c r="L781" s="18"/>
      <c r="M781" s="18"/>
      <c r="N781" s="18"/>
      <c r="O781" s="18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>
      <c r="A782" s="1"/>
      <c r="B782" s="1"/>
      <c r="C782" s="18"/>
      <c r="D782" s="47"/>
      <c r="E782" s="18"/>
      <c r="F782" s="18"/>
      <c r="G782" s="18"/>
      <c r="H782" s="18"/>
      <c r="I782" s="25"/>
      <c r="J782" s="18"/>
      <c r="K782" s="18"/>
      <c r="L782" s="18"/>
      <c r="M782" s="18"/>
      <c r="N782" s="18"/>
      <c r="O782" s="18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>
      <c r="A783" s="1"/>
      <c r="B783" s="1"/>
      <c r="C783" s="18"/>
      <c r="D783" s="47"/>
      <c r="E783" s="18"/>
      <c r="F783" s="18"/>
      <c r="G783" s="18"/>
      <c r="H783" s="18"/>
      <c r="I783" s="25"/>
      <c r="J783" s="18"/>
      <c r="K783" s="18"/>
      <c r="L783" s="18"/>
      <c r="M783" s="18"/>
      <c r="N783" s="18"/>
      <c r="O783" s="18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>
      <c r="A784" s="1"/>
      <c r="B784" s="1"/>
      <c r="C784" s="18"/>
      <c r="D784" s="47"/>
      <c r="E784" s="18"/>
      <c r="F784" s="18"/>
      <c r="G784" s="18"/>
      <c r="H784" s="18"/>
      <c r="I784" s="25"/>
      <c r="J784" s="18"/>
      <c r="K784" s="18"/>
      <c r="L784" s="18"/>
      <c r="M784" s="18"/>
      <c r="N784" s="18"/>
      <c r="O784" s="18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>
      <c r="A785" s="1"/>
      <c r="B785" s="1"/>
      <c r="C785" s="18"/>
      <c r="D785" s="47"/>
      <c r="E785" s="18"/>
      <c r="F785" s="18"/>
      <c r="G785" s="18"/>
      <c r="H785" s="18"/>
      <c r="I785" s="25"/>
      <c r="J785" s="18"/>
      <c r="K785" s="18"/>
      <c r="L785" s="18"/>
      <c r="M785" s="18"/>
      <c r="N785" s="18"/>
      <c r="O785" s="18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>
      <c r="A786" s="1"/>
      <c r="B786" s="1"/>
      <c r="C786" s="18"/>
      <c r="D786" s="47"/>
      <c r="E786" s="18"/>
      <c r="F786" s="18"/>
      <c r="G786" s="18"/>
      <c r="H786" s="18"/>
      <c r="I786" s="25"/>
      <c r="J786" s="18"/>
      <c r="K786" s="18"/>
      <c r="L786" s="18"/>
      <c r="M786" s="18"/>
      <c r="N786" s="18"/>
      <c r="O786" s="18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>
      <c r="A787" s="1"/>
      <c r="B787" s="1"/>
      <c r="C787" s="18"/>
      <c r="D787" s="47"/>
      <c r="E787" s="18"/>
      <c r="F787" s="18"/>
      <c r="G787" s="18"/>
      <c r="H787" s="18"/>
      <c r="I787" s="25"/>
      <c r="J787" s="18"/>
      <c r="K787" s="18"/>
      <c r="L787" s="18"/>
      <c r="M787" s="18"/>
      <c r="N787" s="18"/>
      <c r="O787" s="18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>
      <c r="A788" s="1"/>
      <c r="B788" s="1"/>
      <c r="C788" s="18"/>
      <c r="D788" s="47"/>
      <c r="E788" s="18"/>
      <c r="F788" s="18"/>
      <c r="G788" s="18"/>
      <c r="H788" s="18"/>
      <c r="I788" s="25"/>
      <c r="J788" s="18"/>
      <c r="K788" s="18"/>
      <c r="L788" s="18"/>
      <c r="M788" s="18"/>
      <c r="N788" s="18"/>
      <c r="O788" s="18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>
      <c r="A789" s="1"/>
      <c r="B789" s="1"/>
      <c r="C789" s="18"/>
      <c r="D789" s="47"/>
      <c r="E789" s="18"/>
      <c r="F789" s="18"/>
      <c r="G789" s="18"/>
      <c r="H789" s="18"/>
      <c r="I789" s="25"/>
      <c r="J789" s="18"/>
      <c r="K789" s="18"/>
      <c r="L789" s="18"/>
      <c r="M789" s="18"/>
      <c r="N789" s="18"/>
      <c r="O789" s="18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>
      <c r="A790" s="1"/>
      <c r="B790" s="1"/>
      <c r="C790" s="18"/>
      <c r="D790" s="47"/>
      <c r="E790" s="18"/>
      <c r="F790" s="18"/>
      <c r="G790" s="18"/>
      <c r="H790" s="18"/>
      <c r="I790" s="25"/>
      <c r="J790" s="18"/>
      <c r="K790" s="18"/>
      <c r="L790" s="18"/>
      <c r="M790" s="18"/>
      <c r="N790" s="18"/>
      <c r="O790" s="18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>
      <c r="A791" s="1"/>
      <c r="B791" s="1"/>
      <c r="C791" s="18"/>
      <c r="D791" s="47"/>
      <c r="E791" s="18"/>
      <c r="F791" s="18"/>
      <c r="G791" s="18"/>
      <c r="H791" s="18"/>
      <c r="I791" s="25"/>
      <c r="J791" s="18"/>
      <c r="K791" s="18"/>
      <c r="L791" s="18"/>
      <c r="M791" s="18"/>
      <c r="N791" s="18"/>
      <c r="O791" s="18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>
      <c r="A792" s="1"/>
      <c r="B792" s="1"/>
      <c r="C792" s="18"/>
      <c r="D792" s="47"/>
      <c r="E792" s="18"/>
      <c r="F792" s="18"/>
      <c r="G792" s="18"/>
      <c r="H792" s="18"/>
      <c r="I792" s="25"/>
      <c r="J792" s="18"/>
      <c r="K792" s="18"/>
      <c r="L792" s="18"/>
      <c r="M792" s="18"/>
      <c r="N792" s="18"/>
      <c r="O792" s="18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>
      <c r="A793" s="1"/>
      <c r="B793" s="1"/>
      <c r="C793" s="18"/>
      <c r="D793" s="47"/>
      <c r="E793" s="18"/>
      <c r="F793" s="18"/>
      <c r="G793" s="18"/>
      <c r="H793" s="18"/>
      <c r="I793" s="25"/>
      <c r="J793" s="18"/>
      <c r="K793" s="18"/>
      <c r="L793" s="18"/>
      <c r="M793" s="18"/>
      <c r="N793" s="18"/>
      <c r="O793" s="18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>
      <c r="A794" s="1"/>
      <c r="B794" s="1"/>
      <c r="C794" s="18"/>
      <c r="D794" s="47"/>
      <c r="E794" s="18"/>
      <c r="F794" s="18"/>
      <c r="G794" s="18"/>
      <c r="H794" s="18"/>
      <c r="I794" s="25"/>
      <c r="J794" s="18"/>
      <c r="K794" s="18"/>
      <c r="L794" s="18"/>
      <c r="M794" s="18"/>
      <c r="N794" s="18"/>
      <c r="O794" s="18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>
      <c r="A795" s="1"/>
      <c r="B795" s="1"/>
      <c r="C795" s="18"/>
      <c r="D795" s="47"/>
      <c r="E795" s="18"/>
      <c r="F795" s="18"/>
      <c r="G795" s="18"/>
      <c r="H795" s="18"/>
      <c r="I795" s="25"/>
      <c r="J795" s="18"/>
      <c r="K795" s="18"/>
      <c r="L795" s="18"/>
      <c r="M795" s="18"/>
      <c r="N795" s="18"/>
      <c r="O795" s="18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>
      <c r="A796" s="1"/>
      <c r="B796" s="1"/>
      <c r="C796" s="18"/>
      <c r="D796" s="47"/>
      <c r="E796" s="18"/>
      <c r="F796" s="18"/>
      <c r="G796" s="18"/>
      <c r="H796" s="18"/>
      <c r="I796" s="25"/>
      <c r="J796" s="18"/>
      <c r="K796" s="18"/>
      <c r="L796" s="18"/>
      <c r="M796" s="18"/>
      <c r="N796" s="18"/>
      <c r="O796" s="18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>
      <c r="A797" s="1"/>
      <c r="B797" s="1"/>
      <c r="C797" s="18"/>
      <c r="D797" s="47"/>
      <c r="E797" s="18"/>
      <c r="F797" s="18"/>
      <c r="G797" s="18"/>
      <c r="H797" s="18"/>
      <c r="I797" s="25"/>
      <c r="J797" s="18"/>
      <c r="K797" s="18"/>
      <c r="L797" s="18"/>
      <c r="M797" s="18"/>
      <c r="N797" s="18"/>
      <c r="O797" s="18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>
      <c r="A798" s="1"/>
      <c r="B798" s="1"/>
      <c r="C798" s="18"/>
      <c r="D798" s="47"/>
      <c r="E798" s="18"/>
      <c r="F798" s="18"/>
      <c r="G798" s="18"/>
      <c r="H798" s="18"/>
      <c r="I798" s="25"/>
      <c r="J798" s="18"/>
      <c r="K798" s="18"/>
      <c r="L798" s="18"/>
      <c r="M798" s="18"/>
      <c r="N798" s="18"/>
      <c r="O798" s="18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>
      <c r="A799" s="1"/>
      <c r="B799" s="1"/>
      <c r="C799" s="18"/>
      <c r="D799" s="47"/>
      <c r="E799" s="18"/>
      <c r="F799" s="18"/>
      <c r="G799" s="18"/>
      <c r="H799" s="18"/>
      <c r="I799" s="25"/>
      <c r="J799" s="18"/>
      <c r="K799" s="18"/>
      <c r="L799" s="18"/>
      <c r="M799" s="18"/>
      <c r="N799" s="18"/>
      <c r="O799" s="18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>
      <c r="A800" s="1"/>
      <c r="B800" s="1"/>
      <c r="C800" s="18"/>
      <c r="D800" s="47"/>
      <c r="E800" s="18"/>
      <c r="F800" s="18"/>
      <c r="G800" s="18"/>
      <c r="H800" s="18"/>
      <c r="I800" s="25"/>
      <c r="J800" s="18"/>
      <c r="K800" s="18"/>
      <c r="L800" s="18"/>
      <c r="M800" s="18"/>
      <c r="N800" s="18"/>
      <c r="O800" s="18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>
      <c r="A801" s="1"/>
      <c r="B801" s="1"/>
      <c r="C801" s="18"/>
      <c r="D801" s="47"/>
      <c r="E801" s="18"/>
      <c r="F801" s="18"/>
      <c r="G801" s="18"/>
      <c r="H801" s="18"/>
      <c r="I801" s="25"/>
      <c r="J801" s="18"/>
      <c r="K801" s="18"/>
      <c r="L801" s="18"/>
      <c r="M801" s="18"/>
      <c r="N801" s="18"/>
      <c r="O801" s="18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>
      <c r="A802" s="1"/>
      <c r="B802" s="1"/>
      <c r="C802" s="18"/>
      <c r="D802" s="47"/>
      <c r="E802" s="18"/>
      <c r="F802" s="18"/>
      <c r="G802" s="18"/>
      <c r="H802" s="18"/>
      <c r="I802" s="25"/>
      <c r="J802" s="18"/>
      <c r="K802" s="18"/>
      <c r="L802" s="18"/>
      <c r="M802" s="18"/>
      <c r="N802" s="18"/>
      <c r="O802" s="18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>
      <c r="A803" s="1"/>
      <c r="B803" s="1"/>
      <c r="C803" s="18"/>
      <c r="D803" s="47"/>
      <c r="E803" s="18"/>
      <c r="F803" s="18"/>
      <c r="G803" s="18"/>
      <c r="H803" s="18"/>
      <c r="I803" s="25"/>
      <c r="J803" s="18"/>
      <c r="K803" s="18"/>
      <c r="L803" s="18"/>
      <c r="M803" s="18"/>
      <c r="N803" s="18"/>
      <c r="O803" s="18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>
      <c r="A804" s="1"/>
      <c r="B804" s="1"/>
      <c r="C804" s="18"/>
      <c r="D804" s="47"/>
      <c r="E804" s="18"/>
      <c r="F804" s="18"/>
      <c r="G804" s="18"/>
      <c r="H804" s="18"/>
      <c r="I804" s="25"/>
      <c r="J804" s="18"/>
      <c r="K804" s="18"/>
      <c r="L804" s="18"/>
      <c r="M804" s="18"/>
      <c r="N804" s="18"/>
      <c r="O804" s="18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>
      <c r="A805" s="1"/>
      <c r="B805" s="1"/>
      <c r="C805" s="18"/>
      <c r="D805" s="47"/>
      <c r="E805" s="18"/>
      <c r="F805" s="18"/>
      <c r="G805" s="18"/>
      <c r="H805" s="18"/>
      <c r="I805" s="25"/>
      <c r="J805" s="18"/>
      <c r="K805" s="18"/>
      <c r="L805" s="18"/>
      <c r="M805" s="18"/>
      <c r="N805" s="18"/>
      <c r="O805" s="18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>
      <c r="A806" s="1"/>
      <c r="B806" s="1"/>
      <c r="C806" s="18"/>
      <c r="D806" s="47"/>
      <c r="E806" s="18"/>
      <c r="F806" s="18"/>
      <c r="G806" s="18"/>
      <c r="H806" s="18"/>
      <c r="I806" s="25"/>
      <c r="J806" s="18"/>
      <c r="K806" s="18"/>
      <c r="L806" s="18"/>
      <c r="M806" s="18"/>
      <c r="N806" s="18"/>
      <c r="O806" s="18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>
      <c r="A807" s="1"/>
      <c r="B807" s="1"/>
      <c r="C807" s="18"/>
      <c r="D807" s="47"/>
      <c r="E807" s="18"/>
      <c r="F807" s="18"/>
      <c r="G807" s="18"/>
      <c r="H807" s="18"/>
      <c r="I807" s="25"/>
      <c r="J807" s="18"/>
      <c r="K807" s="18"/>
      <c r="L807" s="18"/>
      <c r="M807" s="18"/>
      <c r="N807" s="18"/>
      <c r="O807" s="18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>
      <c r="A808" s="1"/>
      <c r="B808" s="1"/>
      <c r="C808" s="18"/>
      <c r="D808" s="47"/>
      <c r="E808" s="18"/>
      <c r="F808" s="18"/>
      <c r="G808" s="18"/>
      <c r="H808" s="18"/>
      <c r="I808" s="25"/>
      <c r="J808" s="18"/>
      <c r="K808" s="18"/>
      <c r="L808" s="18"/>
      <c r="M808" s="18"/>
      <c r="N808" s="18"/>
      <c r="O808" s="18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>
      <c r="A809" s="1"/>
      <c r="B809" s="1"/>
      <c r="C809" s="18"/>
      <c r="D809" s="47"/>
      <c r="E809" s="18"/>
      <c r="F809" s="18"/>
      <c r="G809" s="18"/>
      <c r="H809" s="18"/>
      <c r="I809" s="25"/>
      <c r="J809" s="18"/>
      <c r="K809" s="18"/>
      <c r="L809" s="18"/>
      <c r="M809" s="18"/>
      <c r="N809" s="18"/>
      <c r="O809" s="18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>
      <c r="A810" s="1"/>
      <c r="B810" s="1"/>
      <c r="C810" s="18"/>
      <c r="D810" s="47"/>
      <c r="E810" s="18"/>
      <c r="F810" s="18"/>
      <c r="G810" s="18"/>
      <c r="H810" s="18"/>
      <c r="I810" s="25"/>
      <c r="J810" s="18"/>
      <c r="K810" s="18"/>
      <c r="L810" s="18"/>
      <c r="M810" s="18"/>
      <c r="N810" s="18"/>
      <c r="O810" s="18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>
      <c r="A811" s="1"/>
      <c r="B811" s="1"/>
      <c r="C811" s="18"/>
      <c r="D811" s="47"/>
      <c r="E811" s="18"/>
      <c r="F811" s="18"/>
      <c r="G811" s="18"/>
      <c r="H811" s="18"/>
      <c r="I811" s="25"/>
      <c r="J811" s="18"/>
      <c r="K811" s="18"/>
      <c r="L811" s="18"/>
      <c r="M811" s="18"/>
      <c r="N811" s="18"/>
      <c r="O811" s="18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>
      <c r="A812" s="1"/>
      <c r="B812" s="1"/>
      <c r="C812" s="18"/>
      <c r="D812" s="47"/>
      <c r="E812" s="18"/>
      <c r="F812" s="18"/>
      <c r="G812" s="18"/>
      <c r="H812" s="18"/>
      <c r="I812" s="25"/>
      <c r="J812" s="18"/>
      <c r="K812" s="18"/>
      <c r="L812" s="18"/>
      <c r="M812" s="18"/>
      <c r="N812" s="18"/>
      <c r="O812" s="18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>
      <c r="A813" s="1"/>
      <c r="B813" s="1"/>
      <c r="C813" s="18"/>
      <c r="D813" s="47"/>
      <c r="E813" s="18"/>
      <c r="F813" s="18"/>
      <c r="G813" s="18"/>
      <c r="H813" s="18"/>
      <c r="I813" s="25"/>
      <c r="J813" s="18"/>
      <c r="K813" s="18"/>
      <c r="L813" s="18"/>
      <c r="M813" s="18"/>
      <c r="N813" s="18"/>
      <c r="O813" s="18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>
      <c r="A814" s="1"/>
      <c r="B814" s="1"/>
      <c r="C814" s="18"/>
      <c r="D814" s="47"/>
      <c r="E814" s="18"/>
      <c r="F814" s="18"/>
      <c r="G814" s="18"/>
      <c r="H814" s="18"/>
      <c r="I814" s="25"/>
      <c r="J814" s="18"/>
      <c r="K814" s="18"/>
      <c r="L814" s="18"/>
      <c r="M814" s="18"/>
      <c r="N814" s="18"/>
      <c r="O814" s="18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>
      <c r="A815" s="1"/>
      <c r="B815" s="1"/>
      <c r="C815" s="18"/>
      <c r="D815" s="47"/>
      <c r="E815" s="18"/>
      <c r="F815" s="18"/>
      <c r="G815" s="18"/>
      <c r="H815" s="18"/>
      <c r="I815" s="25"/>
      <c r="J815" s="18"/>
      <c r="K815" s="18"/>
      <c r="L815" s="18"/>
      <c r="M815" s="18"/>
      <c r="N815" s="18"/>
      <c r="O815" s="18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>
      <c r="A816" s="1"/>
      <c r="B816" s="1"/>
      <c r="C816" s="18"/>
      <c r="D816" s="47"/>
      <c r="E816" s="18"/>
      <c r="F816" s="18"/>
      <c r="G816" s="18"/>
      <c r="H816" s="18"/>
      <c r="I816" s="25"/>
      <c r="J816" s="18"/>
      <c r="K816" s="18"/>
      <c r="L816" s="18"/>
      <c r="M816" s="18"/>
      <c r="N816" s="18"/>
      <c r="O816" s="18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>
      <c r="A817" s="1"/>
      <c r="B817" s="1"/>
      <c r="C817" s="18"/>
      <c r="D817" s="47"/>
      <c r="E817" s="18"/>
      <c r="F817" s="18"/>
      <c r="G817" s="18"/>
      <c r="H817" s="18"/>
      <c r="I817" s="25"/>
      <c r="J817" s="18"/>
      <c r="K817" s="18"/>
      <c r="L817" s="18"/>
      <c r="M817" s="18"/>
      <c r="N817" s="18"/>
      <c r="O817" s="18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>
      <c r="A818" s="1"/>
      <c r="B818" s="1"/>
      <c r="C818" s="18"/>
      <c r="D818" s="47"/>
      <c r="E818" s="18"/>
      <c r="F818" s="18"/>
      <c r="G818" s="18"/>
      <c r="H818" s="18"/>
      <c r="I818" s="25"/>
      <c r="J818" s="18"/>
      <c r="K818" s="18"/>
      <c r="L818" s="18"/>
      <c r="M818" s="18"/>
      <c r="N818" s="18"/>
      <c r="O818" s="18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>
      <c r="A819" s="1"/>
      <c r="B819" s="1"/>
      <c r="C819" s="18"/>
      <c r="D819" s="47"/>
      <c r="E819" s="18"/>
      <c r="F819" s="18"/>
      <c r="G819" s="18"/>
      <c r="H819" s="18"/>
      <c r="I819" s="25"/>
      <c r="J819" s="18"/>
      <c r="K819" s="18"/>
      <c r="L819" s="18"/>
      <c r="M819" s="18"/>
      <c r="N819" s="18"/>
      <c r="O819" s="18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>
      <c r="A820" s="1"/>
      <c r="B820" s="1"/>
      <c r="C820" s="18"/>
      <c r="D820" s="47"/>
      <c r="E820" s="18"/>
      <c r="F820" s="18"/>
      <c r="G820" s="18"/>
      <c r="H820" s="18"/>
      <c r="I820" s="25"/>
      <c r="J820" s="18"/>
      <c r="K820" s="18"/>
      <c r="L820" s="18"/>
      <c r="M820" s="18"/>
      <c r="N820" s="18"/>
      <c r="O820" s="18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>
      <c r="A821" s="1"/>
      <c r="B821" s="1"/>
      <c r="C821" s="18"/>
      <c r="D821" s="47"/>
      <c r="E821" s="18"/>
      <c r="F821" s="18"/>
      <c r="G821" s="18"/>
      <c r="H821" s="18"/>
      <c r="I821" s="25"/>
      <c r="J821" s="18"/>
      <c r="K821" s="18"/>
      <c r="L821" s="18"/>
      <c r="M821" s="18"/>
      <c r="N821" s="18"/>
      <c r="O821" s="18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>
      <c r="A822" s="1"/>
      <c r="B822" s="1"/>
      <c r="C822" s="18"/>
      <c r="D822" s="47"/>
      <c r="E822" s="18"/>
      <c r="F822" s="18"/>
      <c r="G822" s="18"/>
      <c r="H822" s="18"/>
      <c r="I822" s="25"/>
      <c r="J822" s="18"/>
      <c r="K822" s="18"/>
      <c r="L822" s="18"/>
      <c r="M822" s="18"/>
      <c r="N822" s="18"/>
      <c r="O822" s="18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>
      <c r="A823" s="1"/>
      <c r="B823" s="1"/>
      <c r="C823" s="18"/>
      <c r="D823" s="47"/>
      <c r="E823" s="18"/>
      <c r="F823" s="18"/>
      <c r="G823" s="18"/>
      <c r="H823" s="18"/>
      <c r="I823" s="25"/>
      <c r="J823" s="18"/>
      <c r="K823" s="18"/>
      <c r="L823" s="18"/>
      <c r="M823" s="18"/>
      <c r="N823" s="18"/>
      <c r="O823" s="18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>
      <c r="A824" s="1"/>
      <c r="B824" s="1"/>
      <c r="C824" s="18"/>
      <c r="D824" s="47"/>
      <c r="E824" s="18"/>
      <c r="F824" s="18"/>
      <c r="G824" s="18"/>
      <c r="H824" s="18"/>
      <c r="I824" s="25"/>
      <c r="J824" s="18"/>
      <c r="K824" s="18"/>
      <c r="L824" s="18"/>
      <c r="M824" s="18"/>
      <c r="N824" s="18"/>
      <c r="O824" s="18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>
      <c r="A825" s="1"/>
      <c r="B825" s="1"/>
      <c r="C825" s="18"/>
      <c r="D825" s="47"/>
      <c r="E825" s="18"/>
      <c r="F825" s="18"/>
      <c r="G825" s="18"/>
      <c r="H825" s="18"/>
      <c r="I825" s="25"/>
      <c r="J825" s="18"/>
      <c r="K825" s="18"/>
      <c r="L825" s="18"/>
      <c r="M825" s="18"/>
      <c r="N825" s="18"/>
      <c r="O825" s="18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>
      <c r="A826" s="1"/>
      <c r="B826" s="1"/>
      <c r="C826" s="18"/>
      <c r="D826" s="47"/>
      <c r="E826" s="18"/>
      <c r="F826" s="18"/>
      <c r="G826" s="18"/>
      <c r="H826" s="18"/>
      <c r="I826" s="25"/>
      <c r="J826" s="18"/>
      <c r="K826" s="18"/>
      <c r="L826" s="18"/>
      <c r="M826" s="18"/>
      <c r="N826" s="18"/>
      <c r="O826" s="18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>
      <c r="A827" s="1"/>
      <c r="B827" s="1"/>
      <c r="C827" s="18"/>
      <c r="D827" s="47"/>
      <c r="E827" s="18"/>
      <c r="F827" s="18"/>
      <c r="G827" s="18"/>
      <c r="H827" s="18"/>
      <c r="I827" s="25"/>
      <c r="J827" s="18"/>
      <c r="K827" s="18"/>
      <c r="L827" s="18"/>
      <c r="M827" s="18"/>
      <c r="N827" s="18"/>
      <c r="O827" s="18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>
      <c r="A828" s="1"/>
      <c r="B828" s="1"/>
      <c r="C828" s="18"/>
      <c r="D828" s="47"/>
      <c r="E828" s="18"/>
      <c r="F828" s="18"/>
      <c r="G828" s="18"/>
      <c r="H828" s="18"/>
      <c r="I828" s="25"/>
      <c r="J828" s="18"/>
      <c r="K828" s="18"/>
      <c r="L828" s="18"/>
      <c r="M828" s="18"/>
      <c r="N828" s="18"/>
      <c r="O828" s="18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>
      <c r="A829" s="1"/>
      <c r="B829" s="1"/>
      <c r="C829" s="18"/>
      <c r="D829" s="47"/>
      <c r="E829" s="18"/>
      <c r="F829" s="18"/>
      <c r="G829" s="18"/>
      <c r="H829" s="18"/>
      <c r="I829" s="25"/>
      <c r="J829" s="18"/>
      <c r="K829" s="18"/>
      <c r="L829" s="18"/>
      <c r="M829" s="18"/>
      <c r="N829" s="18"/>
      <c r="O829" s="18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>
      <c r="A830" s="1"/>
      <c r="B830" s="1"/>
      <c r="C830" s="18"/>
      <c r="D830" s="47"/>
      <c r="E830" s="18"/>
      <c r="F830" s="18"/>
      <c r="G830" s="18"/>
      <c r="H830" s="18"/>
      <c r="I830" s="25"/>
      <c r="J830" s="18"/>
      <c r="K830" s="18"/>
      <c r="L830" s="18"/>
      <c r="M830" s="18"/>
      <c r="N830" s="18"/>
      <c r="O830" s="18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>
      <c r="A831" s="1"/>
      <c r="B831" s="1"/>
      <c r="C831" s="18"/>
      <c r="D831" s="47"/>
      <c r="E831" s="18"/>
      <c r="F831" s="18"/>
      <c r="G831" s="18"/>
      <c r="H831" s="18"/>
      <c r="I831" s="25"/>
      <c r="J831" s="18"/>
      <c r="K831" s="18"/>
      <c r="L831" s="18"/>
      <c r="M831" s="18"/>
      <c r="N831" s="18"/>
      <c r="O831" s="18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>
      <c r="A832" s="1"/>
      <c r="B832" s="1"/>
      <c r="C832" s="18"/>
      <c r="D832" s="47"/>
      <c r="E832" s="18"/>
      <c r="F832" s="18"/>
      <c r="G832" s="18"/>
      <c r="H832" s="18"/>
      <c r="I832" s="25"/>
      <c r="J832" s="18"/>
      <c r="K832" s="18"/>
      <c r="L832" s="18"/>
      <c r="M832" s="18"/>
      <c r="N832" s="18"/>
      <c r="O832" s="18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>
      <c r="A833" s="1"/>
      <c r="B833" s="1"/>
      <c r="C833" s="18"/>
      <c r="D833" s="47"/>
      <c r="E833" s="18"/>
      <c r="F833" s="18"/>
      <c r="G833" s="18"/>
      <c r="H833" s="18"/>
      <c r="I833" s="25"/>
      <c r="J833" s="18"/>
      <c r="K833" s="18"/>
      <c r="L833" s="18"/>
      <c r="M833" s="18"/>
      <c r="N833" s="18"/>
      <c r="O833" s="18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>
      <c r="A834" s="1"/>
      <c r="B834" s="1"/>
      <c r="C834" s="18"/>
      <c r="D834" s="47"/>
      <c r="E834" s="18"/>
      <c r="F834" s="18"/>
      <c r="G834" s="18"/>
      <c r="H834" s="18"/>
      <c r="I834" s="25"/>
      <c r="J834" s="18"/>
      <c r="K834" s="18"/>
      <c r="L834" s="18"/>
      <c r="M834" s="18"/>
      <c r="N834" s="18"/>
      <c r="O834" s="18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>
      <c r="A835" s="1"/>
      <c r="B835" s="1"/>
      <c r="C835" s="18"/>
      <c r="D835" s="47"/>
      <c r="E835" s="18"/>
      <c r="F835" s="18"/>
      <c r="G835" s="18"/>
      <c r="H835" s="18"/>
      <c r="I835" s="25"/>
      <c r="J835" s="18"/>
      <c r="K835" s="18"/>
      <c r="L835" s="18"/>
      <c r="M835" s="18"/>
      <c r="N835" s="18"/>
      <c r="O835" s="18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>
      <c r="A836" s="1"/>
      <c r="B836" s="1"/>
      <c r="C836" s="18"/>
      <c r="D836" s="47"/>
      <c r="E836" s="18"/>
      <c r="F836" s="18"/>
      <c r="G836" s="18"/>
      <c r="H836" s="18"/>
      <c r="I836" s="25"/>
      <c r="J836" s="18"/>
      <c r="K836" s="18"/>
      <c r="L836" s="18"/>
      <c r="M836" s="18"/>
      <c r="N836" s="18"/>
      <c r="O836" s="18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>
      <c r="A837" s="1"/>
      <c r="B837" s="1"/>
      <c r="C837" s="18"/>
      <c r="D837" s="47"/>
      <c r="E837" s="18"/>
      <c r="F837" s="18"/>
      <c r="G837" s="18"/>
      <c r="H837" s="18"/>
      <c r="I837" s="25"/>
      <c r="J837" s="18"/>
      <c r="K837" s="18"/>
      <c r="L837" s="18"/>
      <c r="M837" s="18"/>
      <c r="N837" s="18"/>
      <c r="O837" s="18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>
      <c r="A838" s="1"/>
      <c r="B838" s="1"/>
      <c r="C838" s="18"/>
      <c r="D838" s="47"/>
      <c r="E838" s="18"/>
      <c r="F838" s="18"/>
      <c r="G838" s="18"/>
      <c r="H838" s="18"/>
      <c r="I838" s="25"/>
      <c r="J838" s="18"/>
      <c r="K838" s="18"/>
      <c r="L838" s="18"/>
      <c r="M838" s="18"/>
      <c r="N838" s="18"/>
      <c r="O838" s="18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>
      <c r="A839" s="1"/>
      <c r="B839" s="1"/>
      <c r="C839" s="18"/>
      <c r="D839" s="47"/>
      <c r="E839" s="18"/>
      <c r="F839" s="18"/>
      <c r="G839" s="18"/>
      <c r="H839" s="18"/>
      <c r="I839" s="25"/>
      <c r="J839" s="18"/>
      <c r="K839" s="18"/>
      <c r="L839" s="18"/>
      <c r="M839" s="18"/>
      <c r="N839" s="18"/>
      <c r="O839" s="18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>
      <c r="A840" s="1"/>
      <c r="B840" s="1"/>
      <c r="C840" s="18"/>
      <c r="D840" s="47"/>
      <c r="E840" s="18"/>
      <c r="F840" s="18"/>
      <c r="G840" s="18"/>
      <c r="H840" s="18"/>
      <c r="I840" s="25"/>
      <c r="J840" s="18"/>
      <c r="K840" s="18"/>
      <c r="L840" s="18"/>
      <c r="M840" s="18"/>
      <c r="N840" s="18"/>
      <c r="O840" s="18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>
      <c r="A841" s="1"/>
      <c r="B841" s="1"/>
      <c r="C841" s="18"/>
      <c r="D841" s="47"/>
      <c r="E841" s="18"/>
      <c r="F841" s="18"/>
      <c r="G841" s="18"/>
      <c r="H841" s="18"/>
      <c r="I841" s="25"/>
      <c r="J841" s="18"/>
      <c r="K841" s="18"/>
      <c r="L841" s="18"/>
      <c r="M841" s="18"/>
      <c r="N841" s="18"/>
      <c r="O841" s="18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>
      <c r="A842" s="1"/>
      <c r="B842" s="1"/>
      <c r="C842" s="18"/>
      <c r="D842" s="47"/>
      <c r="E842" s="18"/>
      <c r="F842" s="18"/>
      <c r="G842" s="18"/>
      <c r="H842" s="18"/>
      <c r="I842" s="25"/>
      <c r="J842" s="18"/>
      <c r="K842" s="18"/>
      <c r="L842" s="18"/>
      <c r="M842" s="18"/>
      <c r="N842" s="18"/>
      <c r="O842" s="18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>
      <c r="A843" s="1"/>
      <c r="B843" s="1"/>
      <c r="C843" s="18"/>
      <c r="D843" s="47"/>
      <c r="E843" s="18"/>
      <c r="F843" s="18"/>
      <c r="G843" s="18"/>
      <c r="H843" s="18"/>
      <c r="I843" s="25"/>
      <c r="J843" s="18"/>
      <c r="K843" s="18"/>
      <c r="L843" s="18"/>
      <c r="M843" s="18"/>
      <c r="N843" s="18"/>
      <c r="O843" s="18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>
      <c r="A844" s="1"/>
      <c r="B844" s="1"/>
      <c r="C844" s="18"/>
      <c r="D844" s="47"/>
      <c r="E844" s="18"/>
      <c r="F844" s="18"/>
      <c r="G844" s="18"/>
      <c r="H844" s="18"/>
      <c r="I844" s="25"/>
      <c r="J844" s="18"/>
      <c r="K844" s="18"/>
      <c r="L844" s="18"/>
      <c r="M844" s="18"/>
      <c r="N844" s="18"/>
      <c r="O844" s="18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>
      <c r="A845" s="1"/>
      <c r="B845" s="1"/>
      <c r="C845" s="18"/>
      <c r="D845" s="47"/>
      <c r="E845" s="18"/>
      <c r="F845" s="18"/>
      <c r="G845" s="18"/>
      <c r="H845" s="18"/>
      <c r="I845" s="25"/>
      <c r="J845" s="18"/>
      <c r="K845" s="18"/>
      <c r="L845" s="18"/>
      <c r="M845" s="18"/>
      <c r="N845" s="18"/>
      <c r="O845" s="18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>
      <c r="A846" s="1"/>
      <c r="B846" s="1"/>
      <c r="C846" s="18"/>
      <c r="D846" s="47"/>
      <c r="E846" s="18"/>
      <c r="F846" s="18"/>
      <c r="G846" s="18"/>
      <c r="H846" s="18"/>
      <c r="I846" s="25"/>
      <c r="J846" s="18"/>
      <c r="K846" s="18"/>
      <c r="L846" s="18"/>
      <c r="M846" s="18"/>
      <c r="N846" s="18"/>
      <c r="O846" s="18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>
      <c r="A847" s="1"/>
      <c r="B847" s="1"/>
      <c r="C847" s="18"/>
      <c r="D847" s="47"/>
      <c r="E847" s="18"/>
      <c r="F847" s="18"/>
      <c r="G847" s="18"/>
      <c r="H847" s="18"/>
      <c r="I847" s="25"/>
      <c r="J847" s="18"/>
      <c r="K847" s="18"/>
      <c r="L847" s="18"/>
      <c r="M847" s="18"/>
      <c r="N847" s="18"/>
      <c r="O847" s="18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>
      <c r="A848" s="1"/>
      <c r="B848" s="1"/>
      <c r="C848" s="18"/>
      <c r="D848" s="47"/>
      <c r="E848" s="18"/>
      <c r="F848" s="18"/>
      <c r="G848" s="18"/>
      <c r="H848" s="18"/>
      <c r="I848" s="25"/>
      <c r="J848" s="18"/>
      <c r="K848" s="18"/>
      <c r="L848" s="18"/>
      <c r="M848" s="18"/>
      <c r="N848" s="18"/>
      <c r="O848" s="18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>
      <c r="A849" s="1"/>
      <c r="B849" s="1"/>
      <c r="C849" s="18"/>
      <c r="D849" s="47"/>
      <c r="E849" s="18"/>
      <c r="F849" s="18"/>
      <c r="G849" s="18"/>
      <c r="H849" s="18"/>
      <c r="I849" s="25"/>
      <c r="J849" s="18"/>
      <c r="K849" s="18"/>
      <c r="L849" s="18"/>
      <c r="M849" s="18"/>
      <c r="N849" s="18"/>
      <c r="O849" s="18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>
      <c r="A850" s="1"/>
      <c r="B850" s="1"/>
      <c r="C850" s="18"/>
      <c r="D850" s="47"/>
      <c r="E850" s="18"/>
      <c r="F850" s="18"/>
      <c r="G850" s="18"/>
      <c r="H850" s="18"/>
      <c r="I850" s="25"/>
      <c r="J850" s="18"/>
      <c r="K850" s="18"/>
      <c r="L850" s="18"/>
      <c r="M850" s="18"/>
      <c r="N850" s="18"/>
      <c r="O850" s="18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>
      <c r="A851" s="1"/>
      <c r="B851" s="1"/>
      <c r="C851" s="18"/>
      <c r="D851" s="47"/>
      <c r="E851" s="18"/>
      <c r="F851" s="18"/>
      <c r="G851" s="18"/>
      <c r="H851" s="18"/>
      <c r="I851" s="25"/>
      <c r="J851" s="18"/>
      <c r="K851" s="18"/>
      <c r="L851" s="18"/>
      <c r="M851" s="18"/>
      <c r="N851" s="18"/>
      <c r="O851" s="18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>
      <c r="A852" s="1"/>
      <c r="B852" s="1"/>
      <c r="C852" s="18"/>
      <c r="D852" s="47"/>
      <c r="E852" s="18"/>
      <c r="F852" s="18"/>
      <c r="G852" s="18"/>
      <c r="H852" s="18"/>
      <c r="I852" s="25"/>
      <c r="J852" s="18"/>
      <c r="K852" s="18"/>
      <c r="L852" s="18"/>
      <c r="M852" s="18"/>
      <c r="N852" s="18"/>
      <c r="O852" s="18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>
      <c r="A853" s="1"/>
      <c r="B853" s="1"/>
      <c r="C853" s="18"/>
      <c r="D853" s="47"/>
      <c r="E853" s="18"/>
      <c r="F853" s="18"/>
      <c r="G853" s="18"/>
      <c r="H853" s="18"/>
      <c r="I853" s="25"/>
      <c r="J853" s="18"/>
      <c r="K853" s="18"/>
      <c r="L853" s="18"/>
      <c r="M853" s="18"/>
      <c r="N853" s="18"/>
      <c r="O853" s="18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>
      <c r="A854" s="1"/>
      <c r="B854" s="1"/>
      <c r="C854" s="18"/>
      <c r="D854" s="47"/>
      <c r="E854" s="18"/>
      <c r="F854" s="18"/>
      <c r="G854" s="18"/>
      <c r="H854" s="18"/>
      <c r="I854" s="25"/>
      <c r="J854" s="18"/>
      <c r="K854" s="18"/>
      <c r="L854" s="18"/>
      <c r="M854" s="18"/>
      <c r="N854" s="18"/>
      <c r="O854" s="18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>
      <c r="A855" s="1"/>
      <c r="B855" s="1"/>
      <c r="C855" s="18"/>
      <c r="D855" s="47"/>
      <c r="E855" s="18"/>
      <c r="F855" s="18"/>
      <c r="G855" s="18"/>
      <c r="H855" s="18"/>
      <c r="I855" s="25"/>
      <c r="J855" s="18"/>
      <c r="K855" s="18"/>
      <c r="L855" s="18"/>
      <c r="M855" s="18"/>
      <c r="N855" s="18"/>
      <c r="O855" s="18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>
      <c r="A856" s="1"/>
      <c r="B856" s="1"/>
      <c r="C856" s="18"/>
      <c r="D856" s="47"/>
      <c r="E856" s="18"/>
      <c r="F856" s="18"/>
      <c r="G856" s="18"/>
      <c r="H856" s="18"/>
      <c r="I856" s="25"/>
      <c r="J856" s="18"/>
      <c r="K856" s="18"/>
      <c r="L856" s="18"/>
      <c r="M856" s="18"/>
      <c r="N856" s="18"/>
      <c r="O856" s="18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>
      <c r="A857" s="1"/>
      <c r="B857" s="1"/>
      <c r="C857" s="18"/>
      <c r="D857" s="47"/>
      <c r="E857" s="18"/>
      <c r="F857" s="18"/>
      <c r="G857" s="18"/>
      <c r="H857" s="18"/>
      <c r="I857" s="25"/>
      <c r="J857" s="18"/>
      <c r="K857" s="18"/>
      <c r="L857" s="18"/>
      <c r="M857" s="18"/>
      <c r="N857" s="18"/>
      <c r="O857" s="18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>
      <c r="A858" s="1"/>
      <c r="B858" s="1"/>
      <c r="C858" s="18"/>
      <c r="D858" s="47"/>
      <c r="E858" s="18"/>
      <c r="F858" s="18"/>
      <c r="G858" s="18"/>
      <c r="H858" s="18"/>
      <c r="I858" s="25"/>
      <c r="J858" s="18"/>
      <c r="K858" s="18"/>
      <c r="L858" s="18"/>
      <c r="M858" s="18"/>
      <c r="N858" s="18"/>
      <c r="O858" s="18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>
      <c r="A859" s="1"/>
      <c r="B859" s="1"/>
      <c r="C859" s="18"/>
      <c r="D859" s="47"/>
      <c r="E859" s="18"/>
      <c r="F859" s="18"/>
      <c r="G859" s="18"/>
      <c r="H859" s="18"/>
      <c r="I859" s="25"/>
      <c r="J859" s="18"/>
      <c r="K859" s="18"/>
      <c r="L859" s="18"/>
      <c r="M859" s="18"/>
      <c r="N859" s="18"/>
      <c r="O859" s="18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>
      <c r="A860" s="1"/>
      <c r="B860" s="1"/>
      <c r="C860" s="18"/>
      <c r="D860" s="47"/>
      <c r="E860" s="18"/>
      <c r="F860" s="18"/>
      <c r="G860" s="18"/>
      <c r="H860" s="18"/>
      <c r="I860" s="25"/>
      <c r="J860" s="18"/>
      <c r="K860" s="18"/>
      <c r="L860" s="18"/>
      <c r="M860" s="18"/>
      <c r="N860" s="18"/>
      <c r="O860" s="18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>
      <c r="A861" s="1"/>
      <c r="B861" s="1"/>
      <c r="C861" s="18"/>
      <c r="D861" s="47"/>
      <c r="E861" s="18"/>
      <c r="F861" s="18"/>
      <c r="G861" s="18"/>
      <c r="H861" s="18"/>
      <c r="I861" s="25"/>
      <c r="J861" s="18"/>
      <c r="K861" s="18"/>
      <c r="L861" s="18"/>
      <c r="M861" s="18"/>
      <c r="N861" s="18"/>
      <c r="O861" s="18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>
      <c r="A862" s="1"/>
      <c r="B862" s="1"/>
      <c r="C862" s="18"/>
      <c r="D862" s="47"/>
      <c r="E862" s="18"/>
      <c r="F862" s="18"/>
      <c r="G862" s="18"/>
      <c r="H862" s="18"/>
      <c r="I862" s="25"/>
      <c r="J862" s="18"/>
      <c r="K862" s="18"/>
      <c r="L862" s="18"/>
      <c r="M862" s="18"/>
      <c r="N862" s="18"/>
      <c r="O862" s="18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>
      <c r="A863" s="1"/>
      <c r="B863" s="1"/>
      <c r="C863" s="18"/>
      <c r="D863" s="47"/>
      <c r="E863" s="18"/>
      <c r="F863" s="18"/>
      <c r="G863" s="18"/>
      <c r="H863" s="18"/>
      <c r="I863" s="25"/>
      <c r="J863" s="18"/>
      <c r="K863" s="18"/>
      <c r="L863" s="18"/>
      <c r="M863" s="18"/>
      <c r="N863" s="18"/>
      <c r="O863" s="18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>
      <c r="A864" s="1"/>
      <c r="B864" s="1"/>
      <c r="C864" s="18"/>
      <c r="D864" s="47"/>
      <c r="E864" s="18"/>
      <c r="F864" s="18"/>
      <c r="G864" s="18"/>
      <c r="H864" s="18"/>
      <c r="I864" s="25"/>
      <c r="J864" s="18"/>
      <c r="K864" s="18"/>
      <c r="L864" s="18"/>
      <c r="M864" s="18"/>
      <c r="N864" s="18"/>
      <c r="O864" s="18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>
      <c r="A865" s="1"/>
      <c r="B865" s="1"/>
      <c r="C865" s="18"/>
      <c r="D865" s="47"/>
      <c r="E865" s="18"/>
      <c r="F865" s="18"/>
      <c r="G865" s="18"/>
      <c r="H865" s="18"/>
      <c r="I865" s="25"/>
      <c r="J865" s="18"/>
      <c r="K865" s="18"/>
      <c r="L865" s="18"/>
      <c r="M865" s="18"/>
      <c r="N865" s="18"/>
      <c r="O865" s="18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>
      <c r="A866" s="1"/>
      <c r="B866" s="1"/>
      <c r="C866" s="18"/>
      <c r="D866" s="47"/>
      <c r="E866" s="18"/>
      <c r="F866" s="18"/>
      <c r="G866" s="18"/>
      <c r="H866" s="18"/>
      <c r="I866" s="25"/>
      <c r="J866" s="18"/>
      <c r="K866" s="18"/>
      <c r="L866" s="18"/>
      <c r="M866" s="18"/>
      <c r="N866" s="18"/>
      <c r="O866" s="18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>
      <c r="A867" s="1"/>
      <c r="B867" s="1"/>
      <c r="C867" s="18"/>
      <c r="D867" s="47"/>
      <c r="E867" s="18"/>
      <c r="F867" s="18"/>
      <c r="G867" s="18"/>
      <c r="H867" s="18"/>
      <c r="I867" s="25"/>
      <c r="J867" s="18"/>
      <c r="K867" s="18"/>
      <c r="L867" s="18"/>
      <c r="M867" s="18"/>
      <c r="N867" s="18"/>
      <c r="O867" s="18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>
      <c r="A868" s="1"/>
      <c r="B868" s="1"/>
      <c r="C868" s="18"/>
      <c r="D868" s="47"/>
      <c r="E868" s="18"/>
      <c r="F868" s="18"/>
      <c r="G868" s="18"/>
      <c r="H868" s="18"/>
      <c r="I868" s="25"/>
      <c r="J868" s="18"/>
      <c r="K868" s="18"/>
      <c r="L868" s="18"/>
      <c r="M868" s="18"/>
      <c r="N868" s="18"/>
      <c r="O868" s="18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>
      <c r="A869" s="1"/>
      <c r="B869" s="1"/>
      <c r="C869" s="18"/>
      <c r="D869" s="47"/>
      <c r="E869" s="18"/>
      <c r="F869" s="18"/>
      <c r="G869" s="18"/>
      <c r="H869" s="18"/>
      <c r="I869" s="25"/>
      <c r="J869" s="18"/>
      <c r="K869" s="18"/>
      <c r="L869" s="18"/>
      <c r="M869" s="18"/>
      <c r="N869" s="18"/>
      <c r="O869" s="18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>
      <c r="A870" s="1"/>
      <c r="B870" s="1"/>
      <c r="C870" s="18"/>
      <c r="D870" s="47"/>
      <c r="E870" s="18"/>
      <c r="F870" s="18"/>
      <c r="G870" s="18"/>
      <c r="H870" s="18"/>
      <c r="I870" s="25"/>
      <c r="J870" s="18"/>
      <c r="K870" s="18"/>
      <c r="L870" s="18"/>
      <c r="M870" s="18"/>
      <c r="N870" s="18"/>
      <c r="O870" s="18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>
      <c r="A871" s="1"/>
      <c r="B871" s="1"/>
      <c r="C871" s="18"/>
      <c r="D871" s="47"/>
      <c r="E871" s="18"/>
      <c r="F871" s="18"/>
      <c r="G871" s="18"/>
      <c r="H871" s="18"/>
      <c r="I871" s="25"/>
      <c r="J871" s="18"/>
      <c r="K871" s="18"/>
      <c r="L871" s="18"/>
      <c r="M871" s="18"/>
      <c r="N871" s="18"/>
      <c r="O871" s="18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>
      <c r="A872" s="1"/>
      <c r="B872" s="1"/>
      <c r="C872" s="18"/>
      <c r="D872" s="47"/>
      <c r="E872" s="18"/>
      <c r="F872" s="18"/>
      <c r="G872" s="18"/>
      <c r="H872" s="18"/>
      <c r="I872" s="25"/>
      <c r="J872" s="18"/>
      <c r="K872" s="18"/>
      <c r="L872" s="18"/>
      <c r="M872" s="18"/>
      <c r="N872" s="18"/>
      <c r="O872" s="18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>
      <c r="A873" s="1"/>
      <c r="B873" s="1"/>
      <c r="C873" s="18"/>
      <c r="D873" s="47"/>
      <c r="E873" s="18"/>
      <c r="F873" s="18"/>
      <c r="G873" s="18"/>
      <c r="H873" s="18"/>
      <c r="I873" s="25"/>
      <c r="J873" s="18"/>
      <c r="K873" s="18"/>
      <c r="L873" s="18"/>
      <c r="M873" s="18"/>
      <c r="N873" s="18"/>
      <c r="O873" s="18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>
      <c r="A874" s="1"/>
      <c r="B874" s="1"/>
      <c r="C874" s="18"/>
      <c r="D874" s="47"/>
      <c r="E874" s="18"/>
      <c r="F874" s="18"/>
      <c r="G874" s="18"/>
      <c r="H874" s="18"/>
      <c r="I874" s="25"/>
      <c r="J874" s="18"/>
      <c r="K874" s="18"/>
      <c r="L874" s="18"/>
      <c r="M874" s="18"/>
      <c r="N874" s="18"/>
      <c r="O874" s="18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>
      <c r="A875" s="1"/>
      <c r="B875" s="1"/>
      <c r="C875" s="18"/>
      <c r="D875" s="47"/>
      <c r="E875" s="18"/>
      <c r="F875" s="18"/>
      <c r="G875" s="18"/>
      <c r="H875" s="18"/>
      <c r="I875" s="25"/>
      <c r="J875" s="18"/>
      <c r="K875" s="18"/>
      <c r="L875" s="18"/>
      <c r="M875" s="18"/>
      <c r="N875" s="18"/>
      <c r="O875" s="18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>
      <c r="A876" s="1"/>
      <c r="B876" s="1"/>
      <c r="C876" s="18"/>
      <c r="D876" s="47"/>
      <c r="E876" s="18"/>
      <c r="F876" s="18"/>
      <c r="G876" s="18"/>
      <c r="H876" s="18"/>
      <c r="I876" s="25"/>
      <c r="J876" s="18"/>
      <c r="K876" s="18"/>
      <c r="L876" s="18"/>
      <c r="M876" s="18"/>
      <c r="N876" s="18"/>
      <c r="O876" s="18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>
      <c r="A877" s="1"/>
      <c r="B877" s="1"/>
      <c r="C877" s="18"/>
      <c r="D877" s="47"/>
      <c r="E877" s="18"/>
      <c r="F877" s="18"/>
      <c r="G877" s="18"/>
      <c r="H877" s="18"/>
      <c r="I877" s="25"/>
      <c r="J877" s="18"/>
      <c r="K877" s="18"/>
      <c r="L877" s="18"/>
      <c r="M877" s="18"/>
      <c r="N877" s="18"/>
      <c r="O877" s="18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>
      <c r="A878" s="1"/>
      <c r="B878" s="1"/>
      <c r="C878" s="18"/>
      <c r="D878" s="47"/>
      <c r="E878" s="18"/>
      <c r="F878" s="18"/>
      <c r="G878" s="18"/>
      <c r="H878" s="18"/>
      <c r="I878" s="25"/>
      <c r="J878" s="18"/>
      <c r="K878" s="18"/>
      <c r="L878" s="18"/>
      <c r="M878" s="18"/>
      <c r="N878" s="18"/>
      <c r="O878" s="18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>
      <c r="A879" s="1"/>
      <c r="B879" s="1"/>
      <c r="C879" s="18"/>
      <c r="D879" s="47"/>
      <c r="E879" s="18"/>
      <c r="F879" s="18"/>
      <c r="G879" s="18"/>
      <c r="H879" s="18"/>
      <c r="I879" s="25"/>
      <c r="J879" s="18"/>
      <c r="K879" s="18"/>
      <c r="L879" s="18"/>
      <c r="M879" s="18"/>
      <c r="N879" s="18"/>
      <c r="O879" s="18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>
      <c r="A880" s="1"/>
      <c r="B880" s="1"/>
      <c r="C880" s="18"/>
      <c r="D880" s="47"/>
      <c r="E880" s="18"/>
      <c r="F880" s="18"/>
      <c r="G880" s="18"/>
      <c r="H880" s="18"/>
      <c r="I880" s="25"/>
      <c r="J880" s="18"/>
      <c r="K880" s="18"/>
      <c r="L880" s="18"/>
      <c r="M880" s="18"/>
      <c r="N880" s="18"/>
      <c r="O880" s="18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>
      <c r="A881" s="1"/>
      <c r="B881" s="1"/>
      <c r="C881" s="18"/>
      <c r="D881" s="47"/>
      <c r="E881" s="18"/>
      <c r="F881" s="18"/>
      <c r="G881" s="18"/>
      <c r="H881" s="18"/>
      <c r="I881" s="25"/>
      <c r="J881" s="18"/>
      <c r="K881" s="18"/>
      <c r="L881" s="18"/>
      <c r="M881" s="18"/>
      <c r="N881" s="18"/>
      <c r="O881" s="18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>
      <c r="A882" s="1"/>
      <c r="B882" s="1"/>
      <c r="C882" s="18"/>
      <c r="D882" s="47"/>
      <c r="E882" s="18"/>
      <c r="F882" s="18"/>
      <c r="G882" s="18"/>
      <c r="H882" s="18"/>
      <c r="I882" s="25"/>
      <c r="J882" s="18"/>
      <c r="K882" s="18"/>
      <c r="L882" s="18"/>
      <c r="M882" s="18"/>
      <c r="N882" s="18"/>
      <c r="O882" s="18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>
      <c r="A883" s="1"/>
      <c r="B883" s="1"/>
      <c r="C883" s="18"/>
      <c r="D883" s="47"/>
      <c r="E883" s="18"/>
      <c r="F883" s="18"/>
      <c r="G883" s="18"/>
      <c r="H883" s="18"/>
      <c r="I883" s="25"/>
      <c r="J883" s="18"/>
      <c r="K883" s="18"/>
      <c r="L883" s="18"/>
      <c r="M883" s="18"/>
      <c r="N883" s="18"/>
      <c r="O883" s="18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>
      <c r="A884" s="1"/>
      <c r="B884" s="1"/>
      <c r="C884" s="18"/>
      <c r="D884" s="47"/>
      <c r="E884" s="18"/>
      <c r="F884" s="18"/>
      <c r="G884" s="18"/>
      <c r="H884" s="18"/>
      <c r="I884" s="25"/>
      <c r="J884" s="18"/>
      <c r="K884" s="18"/>
      <c r="L884" s="18"/>
      <c r="M884" s="18"/>
      <c r="N884" s="18"/>
      <c r="O884" s="18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>
      <c r="A885" s="1"/>
      <c r="B885" s="1"/>
      <c r="C885" s="18"/>
      <c r="D885" s="47"/>
      <c r="E885" s="18"/>
      <c r="F885" s="18"/>
      <c r="G885" s="18"/>
      <c r="H885" s="18"/>
      <c r="I885" s="25"/>
      <c r="J885" s="18"/>
      <c r="K885" s="18"/>
      <c r="L885" s="18"/>
      <c r="M885" s="18"/>
      <c r="N885" s="18"/>
      <c r="O885" s="18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>
      <c r="A886" s="1"/>
      <c r="B886" s="1"/>
      <c r="C886" s="18"/>
      <c r="D886" s="47"/>
      <c r="E886" s="18"/>
      <c r="F886" s="18"/>
      <c r="G886" s="18"/>
      <c r="H886" s="18"/>
      <c r="I886" s="25"/>
      <c r="J886" s="18"/>
      <c r="K886" s="18"/>
      <c r="L886" s="18"/>
      <c r="M886" s="18"/>
      <c r="N886" s="18"/>
      <c r="O886" s="18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>
      <c r="A887" s="1"/>
      <c r="B887" s="1"/>
      <c r="C887" s="18"/>
      <c r="D887" s="47"/>
      <c r="E887" s="18"/>
      <c r="F887" s="18"/>
      <c r="G887" s="18"/>
      <c r="H887" s="18"/>
      <c r="I887" s="25"/>
      <c r="J887" s="18"/>
      <c r="K887" s="18"/>
      <c r="L887" s="18"/>
      <c r="M887" s="18"/>
      <c r="N887" s="18"/>
      <c r="O887" s="18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>
      <c r="A888" s="1"/>
      <c r="B888" s="1"/>
      <c r="C888" s="18"/>
      <c r="D888" s="47"/>
      <c r="E888" s="18"/>
      <c r="F888" s="18"/>
      <c r="G888" s="18"/>
      <c r="H888" s="18"/>
      <c r="I888" s="25"/>
      <c r="J888" s="18"/>
      <c r="K888" s="18"/>
      <c r="L888" s="18"/>
      <c r="M888" s="18"/>
      <c r="N888" s="18"/>
      <c r="O888" s="18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>
      <c r="A889" s="1"/>
      <c r="B889" s="1"/>
      <c r="C889" s="18"/>
      <c r="D889" s="47"/>
      <c r="E889" s="18"/>
      <c r="F889" s="18"/>
      <c r="G889" s="18"/>
      <c r="H889" s="18"/>
      <c r="I889" s="25"/>
      <c r="J889" s="18"/>
      <c r="K889" s="18"/>
      <c r="L889" s="18"/>
      <c r="M889" s="18"/>
      <c r="N889" s="18"/>
      <c r="O889" s="18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>
      <c r="A890" s="1"/>
      <c r="B890" s="1"/>
      <c r="C890" s="18"/>
      <c r="D890" s="47"/>
      <c r="E890" s="18"/>
      <c r="F890" s="18"/>
      <c r="G890" s="18"/>
      <c r="H890" s="18"/>
      <c r="I890" s="25"/>
      <c r="J890" s="18"/>
      <c r="K890" s="18"/>
      <c r="L890" s="18"/>
      <c r="M890" s="18"/>
      <c r="N890" s="18"/>
      <c r="O890" s="18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>
      <c r="A891" s="1"/>
      <c r="B891" s="1"/>
      <c r="C891" s="18"/>
      <c r="D891" s="47"/>
      <c r="E891" s="18"/>
      <c r="F891" s="18"/>
      <c r="G891" s="18"/>
      <c r="H891" s="18"/>
      <c r="I891" s="25"/>
      <c r="J891" s="18"/>
      <c r="K891" s="18"/>
      <c r="L891" s="18"/>
      <c r="M891" s="18"/>
      <c r="N891" s="18"/>
      <c r="O891" s="18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>
      <c r="A892" s="1"/>
      <c r="B892" s="1"/>
      <c r="C892" s="18"/>
      <c r="D892" s="47"/>
      <c r="E892" s="18"/>
      <c r="F892" s="18"/>
      <c r="G892" s="18"/>
      <c r="H892" s="18"/>
      <c r="I892" s="25"/>
      <c r="J892" s="18"/>
      <c r="K892" s="18"/>
      <c r="L892" s="18"/>
      <c r="M892" s="18"/>
      <c r="N892" s="18"/>
      <c r="O892" s="18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>
      <c r="A893" s="1"/>
      <c r="B893" s="1"/>
      <c r="C893" s="18"/>
      <c r="D893" s="47"/>
      <c r="E893" s="18"/>
      <c r="F893" s="18"/>
      <c r="G893" s="18"/>
      <c r="H893" s="18"/>
      <c r="I893" s="25"/>
      <c r="J893" s="18"/>
      <c r="K893" s="18"/>
      <c r="L893" s="18"/>
      <c r="M893" s="18"/>
      <c r="N893" s="18"/>
      <c r="O893" s="18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>
      <c r="A894" s="1"/>
      <c r="B894" s="1"/>
      <c r="C894" s="18"/>
      <c r="D894" s="47"/>
      <c r="E894" s="18"/>
      <c r="F894" s="18"/>
      <c r="G894" s="18"/>
      <c r="H894" s="18"/>
      <c r="I894" s="25"/>
      <c r="J894" s="18"/>
      <c r="K894" s="18"/>
      <c r="L894" s="18"/>
      <c r="M894" s="18"/>
      <c r="N894" s="18"/>
      <c r="O894" s="18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>
      <c r="A895" s="1"/>
      <c r="B895" s="1"/>
      <c r="C895" s="18"/>
      <c r="D895" s="47"/>
      <c r="E895" s="18"/>
      <c r="F895" s="18"/>
      <c r="G895" s="18"/>
      <c r="H895" s="18"/>
      <c r="I895" s="25"/>
      <c r="J895" s="18"/>
      <c r="K895" s="18"/>
      <c r="L895" s="18"/>
      <c r="M895" s="18"/>
      <c r="N895" s="18"/>
      <c r="O895" s="18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>
      <c r="A896" s="1"/>
      <c r="B896" s="1"/>
      <c r="C896" s="18"/>
      <c r="D896" s="47"/>
      <c r="E896" s="18"/>
      <c r="F896" s="18"/>
      <c r="G896" s="18"/>
      <c r="H896" s="18"/>
      <c r="I896" s="25"/>
      <c r="J896" s="18"/>
      <c r="K896" s="18"/>
      <c r="L896" s="18"/>
      <c r="M896" s="18"/>
      <c r="N896" s="18"/>
      <c r="O896" s="18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>
      <c r="A897" s="1"/>
      <c r="B897" s="1"/>
      <c r="C897" s="18"/>
      <c r="D897" s="47"/>
      <c r="E897" s="18"/>
      <c r="F897" s="18"/>
      <c r="G897" s="18"/>
      <c r="H897" s="18"/>
      <c r="I897" s="25"/>
      <c r="J897" s="18"/>
      <c r="K897" s="18"/>
      <c r="L897" s="18"/>
      <c r="M897" s="18"/>
      <c r="N897" s="18"/>
      <c r="O897" s="18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>
      <c r="A898" s="1"/>
      <c r="B898" s="1"/>
      <c r="C898" s="18"/>
      <c r="D898" s="47"/>
      <c r="E898" s="18"/>
      <c r="F898" s="18"/>
      <c r="G898" s="18"/>
      <c r="H898" s="18"/>
      <c r="I898" s="25"/>
      <c r="J898" s="18"/>
      <c r="K898" s="18"/>
      <c r="L898" s="18"/>
      <c r="M898" s="18"/>
      <c r="N898" s="18"/>
      <c r="O898" s="18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>
      <c r="A899" s="1"/>
      <c r="B899" s="1"/>
      <c r="C899" s="18"/>
      <c r="D899" s="47"/>
      <c r="E899" s="18"/>
      <c r="F899" s="18"/>
      <c r="G899" s="18"/>
      <c r="H899" s="18"/>
      <c r="I899" s="25"/>
      <c r="J899" s="18"/>
      <c r="K899" s="18"/>
      <c r="L899" s="18"/>
      <c r="M899" s="18"/>
      <c r="N899" s="18"/>
      <c r="O899" s="18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>
      <c r="A900" s="1"/>
      <c r="B900" s="1"/>
      <c r="C900" s="18"/>
      <c r="D900" s="47"/>
      <c r="E900" s="18"/>
      <c r="F900" s="18"/>
      <c r="G900" s="18"/>
      <c r="H900" s="18"/>
      <c r="I900" s="25"/>
      <c r="J900" s="18"/>
      <c r="K900" s="18"/>
      <c r="L900" s="18"/>
      <c r="M900" s="18"/>
      <c r="N900" s="18"/>
      <c r="O900" s="18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>
      <c r="A901" s="1"/>
      <c r="B901" s="1"/>
      <c r="C901" s="18"/>
      <c r="D901" s="47"/>
      <c r="E901" s="18"/>
      <c r="F901" s="18"/>
      <c r="G901" s="18"/>
      <c r="H901" s="18"/>
      <c r="I901" s="25"/>
      <c r="J901" s="18"/>
      <c r="K901" s="18"/>
      <c r="L901" s="18"/>
      <c r="M901" s="18"/>
      <c r="N901" s="18"/>
      <c r="O901" s="18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>
      <c r="A902" s="1"/>
      <c r="B902" s="1"/>
      <c r="C902" s="18"/>
      <c r="D902" s="47"/>
      <c r="E902" s="18"/>
      <c r="F902" s="18"/>
      <c r="G902" s="18"/>
      <c r="H902" s="18"/>
      <c r="I902" s="25"/>
      <c r="J902" s="18"/>
      <c r="K902" s="18"/>
      <c r="L902" s="18"/>
      <c r="M902" s="18"/>
      <c r="N902" s="18"/>
      <c r="O902" s="18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>
      <c r="A903" s="1"/>
      <c r="B903" s="1"/>
      <c r="C903" s="18"/>
      <c r="D903" s="47"/>
      <c r="E903" s="18"/>
      <c r="F903" s="18"/>
      <c r="G903" s="18"/>
      <c r="H903" s="18"/>
      <c r="I903" s="25"/>
      <c r="J903" s="18"/>
      <c r="K903" s="18"/>
      <c r="L903" s="18"/>
      <c r="M903" s="18"/>
      <c r="N903" s="18"/>
      <c r="O903" s="18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>
      <c r="A904" s="1"/>
      <c r="B904" s="1"/>
      <c r="C904" s="18"/>
      <c r="D904" s="47"/>
      <c r="E904" s="18"/>
      <c r="F904" s="18"/>
      <c r="G904" s="18"/>
      <c r="H904" s="18"/>
      <c r="I904" s="25"/>
      <c r="J904" s="18"/>
      <c r="K904" s="18"/>
      <c r="L904" s="18"/>
      <c r="M904" s="18"/>
      <c r="N904" s="18"/>
      <c r="O904" s="18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>
      <c r="A905" s="1"/>
      <c r="B905" s="1"/>
      <c r="C905" s="18"/>
      <c r="D905" s="47"/>
      <c r="E905" s="18"/>
      <c r="F905" s="18"/>
      <c r="G905" s="18"/>
      <c r="H905" s="18"/>
      <c r="I905" s="25"/>
      <c r="J905" s="18"/>
      <c r="K905" s="18"/>
      <c r="L905" s="18"/>
      <c r="M905" s="18"/>
      <c r="N905" s="18"/>
      <c r="O905" s="18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>
      <c r="A906" s="1"/>
      <c r="B906" s="1"/>
      <c r="C906" s="18"/>
      <c r="D906" s="47"/>
      <c r="E906" s="18"/>
      <c r="F906" s="18"/>
      <c r="G906" s="18"/>
      <c r="H906" s="18"/>
      <c r="I906" s="25"/>
      <c r="J906" s="18"/>
      <c r="K906" s="18"/>
      <c r="L906" s="18"/>
      <c r="M906" s="18"/>
      <c r="N906" s="18"/>
      <c r="O906" s="18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>
      <c r="A907" s="1"/>
      <c r="B907" s="1"/>
      <c r="C907" s="18"/>
      <c r="D907" s="47"/>
      <c r="E907" s="18"/>
      <c r="F907" s="18"/>
      <c r="G907" s="18"/>
      <c r="H907" s="18"/>
      <c r="I907" s="25"/>
      <c r="J907" s="18"/>
      <c r="K907" s="18"/>
      <c r="L907" s="18"/>
      <c r="M907" s="18"/>
      <c r="N907" s="18"/>
      <c r="O907" s="18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>
      <c r="A908" s="1"/>
      <c r="B908" s="1"/>
      <c r="C908" s="18"/>
      <c r="D908" s="47"/>
      <c r="E908" s="18"/>
      <c r="F908" s="18"/>
      <c r="G908" s="18"/>
      <c r="H908" s="18"/>
      <c r="I908" s="25"/>
      <c r="J908" s="18"/>
      <c r="K908" s="18"/>
      <c r="L908" s="18"/>
      <c r="M908" s="18"/>
      <c r="N908" s="18"/>
      <c r="O908" s="18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>
      <c r="A909" s="1"/>
      <c r="B909" s="1"/>
      <c r="C909" s="18"/>
      <c r="D909" s="47"/>
      <c r="E909" s="18"/>
      <c r="F909" s="18"/>
      <c r="G909" s="18"/>
      <c r="H909" s="18"/>
      <c r="I909" s="25"/>
      <c r="J909" s="18"/>
      <c r="K909" s="18"/>
      <c r="L909" s="18"/>
      <c r="M909" s="18"/>
      <c r="N909" s="18"/>
      <c r="O909" s="18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>
      <c r="A910" s="1"/>
      <c r="B910" s="1"/>
      <c r="C910" s="18"/>
      <c r="D910" s="47"/>
      <c r="E910" s="18"/>
      <c r="F910" s="18"/>
      <c r="G910" s="18"/>
      <c r="H910" s="18"/>
      <c r="I910" s="25"/>
      <c r="J910" s="18"/>
      <c r="K910" s="18"/>
      <c r="L910" s="18"/>
      <c r="M910" s="18"/>
      <c r="N910" s="18"/>
      <c r="O910" s="18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>
      <c r="A911" s="1"/>
      <c r="B911" s="1"/>
      <c r="C911" s="18"/>
      <c r="D911" s="47"/>
      <c r="E911" s="18"/>
      <c r="F911" s="18"/>
      <c r="G911" s="18"/>
      <c r="H911" s="18"/>
      <c r="I911" s="25"/>
      <c r="J911" s="18"/>
      <c r="K911" s="18"/>
      <c r="L911" s="18"/>
      <c r="M911" s="18"/>
      <c r="N911" s="18"/>
      <c r="O911" s="18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>
      <c r="A912" s="1"/>
      <c r="B912" s="1"/>
      <c r="C912" s="18"/>
      <c r="D912" s="47"/>
      <c r="E912" s="18"/>
      <c r="F912" s="18"/>
      <c r="G912" s="18"/>
      <c r="H912" s="18"/>
      <c r="I912" s="25"/>
      <c r="J912" s="18"/>
      <c r="K912" s="18"/>
      <c r="L912" s="18"/>
      <c r="M912" s="18"/>
      <c r="N912" s="18"/>
      <c r="O912" s="18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>
      <c r="A913" s="1"/>
      <c r="B913" s="1"/>
      <c r="C913" s="18"/>
      <c r="D913" s="47"/>
      <c r="E913" s="18"/>
      <c r="F913" s="18"/>
      <c r="G913" s="18"/>
      <c r="H913" s="18"/>
      <c r="I913" s="25"/>
      <c r="J913" s="18"/>
      <c r="K913" s="18"/>
      <c r="L913" s="18"/>
      <c r="M913" s="18"/>
      <c r="N913" s="18"/>
      <c r="O913" s="18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>
      <c r="A914" s="1"/>
      <c r="B914" s="1"/>
      <c r="C914" s="18"/>
      <c r="D914" s="47"/>
      <c r="E914" s="18"/>
      <c r="F914" s="18"/>
      <c r="G914" s="18"/>
      <c r="H914" s="18"/>
      <c r="I914" s="25"/>
      <c r="J914" s="18"/>
      <c r="K914" s="18"/>
      <c r="L914" s="18"/>
      <c r="M914" s="18"/>
      <c r="N914" s="18"/>
      <c r="O914" s="18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>
      <c r="A915" s="1"/>
      <c r="B915" s="1"/>
      <c r="C915" s="18"/>
      <c r="D915" s="47"/>
      <c r="E915" s="18"/>
      <c r="F915" s="18"/>
      <c r="G915" s="18"/>
      <c r="H915" s="18"/>
      <c r="I915" s="25"/>
      <c r="J915" s="18"/>
      <c r="K915" s="18"/>
      <c r="L915" s="18"/>
      <c r="M915" s="18"/>
      <c r="N915" s="18"/>
      <c r="O915" s="18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>
      <c r="A916" s="1"/>
      <c r="B916" s="1"/>
      <c r="C916" s="18"/>
      <c r="D916" s="47"/>
      <c r="E916" s="18"/>
      <c r="F916" s="18"/>
      <c r="G916" s="18"/>
      <c r="H916" s="18"/>
      <c r="I916" s="25"/>
      <c r="J916" s="18"/>
      <c r="K916" s="18"/>
      <c r="L916" s="18"/>
      <c r="M916" s="18"/>
      <c r="N916" s="18"/>
      <c r="O916" s="18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>
      <c r="A917" s="1"/>
      <c r="B917" s="1"/>
      <c r="C917" s="18"/>
      <c r="D917" s="47"/>
      <c r="E917" s="18"/>
      <c r="F917" s="18"/>
      <c r="G917" s="18"/>
      <c r="H917" s="18"/>
      <c r="I917" s="25"/>
      <c r="J917" s="18"/>
      <c r="K917" s="18"/>
      <c r="L917" s="18"/>
      <c r="M917" s="18"/>
      <c r="N917" s="18"/>
      <c r="O917" s="18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>
      <c r="A918" s="1"/>
      <c r="B918" s="1"/>
      <c r="C918" s="18"/>
      <c r="D918" s="47"/>
      <c r="E918" s="18"/>
      <c r="F918" s="18"/>
      <c r="G918" s="18"/>
      <c r="H918" s="18"/>
      <c r="I918" s="25"/>
      <c r="J918" s="18"/>
      <c r="K918" s="18"/>
      <c r="L918" s="18"/>
      <c r="M918" s="18"/>
      <c r="N918" s="18"/>
      <c r="O918" s="18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>
      <c r="A919" s="1"/>
      <c r="B919" s="1"/>
      <c r="C919" s="18"/>
      <c r="D919" s="47"/>
      <c r="E919" s="18"/>
      <c r="F919" s="18"/>
      <c r="G919" s="18"/>
      <c r="H919" s="18"/>
      <c r="I919" s="25"/>
      <c r="J919" s="18"/>
      <c r="K919" s="18"/>
      <c r="L919" s="18"/>
      <c r="M919" s="18"/>
      <c r="N919" s="18"/>
      <c r="O919" s="18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>
      <c r="A920" s="1"/>
      <c r="B920" s="1"/>
      <c r="C920" s="18"/>
      <c r="D920" s="47"/>
      <c r="E920" s="18"/>
      <c r="F920" s="18"/>
      <c r="G920" s="18"/>
      <c r="H920" s="18"/>
      <c r="I920" s="25"/>
      <c r="J920" s="18"/>
      <c r="K920" s="18"/>
      <c r="L920" s="18"/>
      <c r="M920" s="18"/>
      <c r="N920" s="18"/>
      <c r="O920" s="18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>
      <c r="A921" s="1"/>
      <c r="B921" s="1"/>
      <c r="C921" s="18"/>
      <c r="D921" s="47"/>
      <c r="E921" s="18"/>
      <c r="F921" s="18"/>
      <c r="G921" s="18"/>
      <c r="H921" s="18"/>
      <c r="I921" s="25"/>
      <c r="J921" s="18"/>
      <c r="K921" s="18"/>
      <c r="L921" s="18"/>
      <c r="M921" s="18"/>
      <c r="N921" s="18"/>
      <c r="O921" s="18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>
      <c r="A922" s="1"/>
      <c r="B922" s="1"/>
      <c r="C922" s="18"/>
      <c r="D922" s="47"/>
      <c r="E922" s="18"/>
      <c r="F922" s="18"/>
      <c r="G922" s="18"/>
      <c r="H922" s="18"/>
      <c r="I922" s="25"/>
      <c r="J922" s="18"/>
      <c r="K922" s="18"/>
      <c r="L922" s="18"/>
      <c r="M922" s="18"/>
      <c r="N922" s="18"/>
      <c r="O922" s="18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>
      <c r="A923" s="1"/>
      <c r="B923" s="1"/>
      <c r="C923" s="18"/>
      <c r="D923" s="47"/>
      <c r="E923" s="18"/>
      <c r="F923" s="18"/>
      <c r="G923" s="18"/>
      <c r="H923" s="18"/>
      <c r="I923" s="25"/>
      <c r="J923" s="18"/>
      <c r="K923" s="18"/>
      <c r="L923" s="18"/>
      <c r="M923" s="18"/>
      <c r="N923" s="18"/>
      <c r="O923" s="18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>
      <c r="A924" s="1"/>
      <c r="B924" s="1"/>
      <c r="C924" s="18"/>
      <c r="D924" s="47"/>
      <c r="E924" s="18"/>
      <c r="F924" s="18"/>
      <c r="G924" s="18"/>
      <c r="H924" s="18"/>
      <c r="I924" s="25"/>
      <c r="J924" s="18"/>
      <c r="K924" s="18"/>
      <c r="L924" s="18"/>
      <c r="M924" s="18"/>
      <c r="N924" s="18"/>
      <c r="O924" s="18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>
      <c r="A925" s="1"/>
      <c r="B925" s="1"/>
      <c r="C925" s="18"/>
      <c r="D925" s="47"/>
      <c r="E925" s="18"/>
      <c r="F925" s="18"/>
      <c r="G925" s="18"/>
      <c r="H925" s="18"/>
      <c r="I925" s="25"/>
      <c r="J925" s="18"/>
      <c r="K925" s="18"/>
      <c r="L925" s="18"/>
      <c r="M925" s="18"/>
      <c r="N925" s="18"/>
      <c r="O925" s="18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>
      <c r="A926" s="1"/>
      <c r="B926" s="1"/>
      <c r="C926" s="18"/>
      <c r="D926" s="47"/>
      <c r="E926" s="18"/>
      <c r="F926" s="18"/>
      <c r="G926" s="18"/>
      <c r="H926" s="18"/>
      <c r="I926" s="25"/>
      <c r="J926" s="18"/>
      <c r="K926" s="18"/>
      <c r="L926" s="18"/>
      <c r="M926" s="18"/>
      <c r="N926" s="18"/>
      <c r="O926" s="18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>
      <c r="A927" s="1"/>
      <c r="B927" s="1"/>
      <c r="C927" s="18"/>
      <c r="D927" s="47"/>
      <c r="E927" s="18"/>
      <c r="F927" s="18"/>
      <c r="G927" s="18"/>
      <c r="H927" s="18"/>
      <c r="I927" s="25"/>
      <c r="J927" s="18"/>
      <c r="K927" s="18"/>
      <c r="L927" s="18"/>
      <c r="M927" s="18"/>
      <c r="N927" s="18"/>
      <c r="O927" s="18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>
      <c r="A928" s="1"/>
      <c r="B928" s="1"/>
      <c r="C928" s="18"/>
      <c r="D928" s="47"/>
      <c r="E928" s="18"/>
      <c r="F928" s="18"/>
      <c r="G928" s="18"/>
      <c r="H928" s="18"/>
      <c r="I928" s="25"/>
      <c r="J928" s="18"/>
      <c r="K928" s="18"/>
      <c r="L928" s="18"/>
      <c r="M928" s="18"/>
      <c r="N928" s="18"/>
      <c r="O928" s="18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>
      <c r="A929" s="1"/>
      <c r="B929" s="1"/>
      <c r="C929" s="18"/>
      <c r="D929" s="47"/>
      <c r="E929" s="18"/>
      <c r="F929" s="18"/>
      <c r="G929" s="18"/>
      <c r="H929" s="18"/>
      <c r="I929" s="25"/>
      <c r="J929" s="18"/>
      <c r="K929" s="18"/>
      <c r="L929" s="18"/>
      <c r="M929" s="18"/>
      <c r="N929" s="18"/>
      <c r="O929" s="18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>
      <c r="A930" s="1"/>
      <c r="B930" s="1"/>
      <c r="C930" s="18"/>
      <c r="D930" s="47"/>
      <c r="E930" s="18"/>
      <c r="F930" s="18"/>
      <c r="G930" s="18"/>
      <c r="H930" s="18"/>
      <c r="I930" s="25"/>
      <c r="J930" s="18"/>
      <c r="K930" s="18"/>
      <c r="L930" s="18"/>
      <c r="M930" s="18"/>
      <c r="N930" s="18"/>
      <c r="O930" s="18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>
      <c r="A931" s="1"/>
      <c r="B931" s="1"/>
      <c r="C931" s="18"/>
      <c r="D931" s="47"/>
      <c r="E931" s="18"/>
      <c r="F931" s="18"/>
      <c r="G931" s="18"/>
      <c r="H931" s="18"/>
      <c r="I931" s="25"/>
      <c r="J931" s="18"/>
      <c r="K931" s="18"/>
      <c r="L931" s="18"/>
      <c r="M931" s="18"/>
      <c r="N931" s="18"/>
      <c r="O931" s="18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>
      <c r="A932" s="1"/>
      <c r="B932" s="1"/>
      <c r="C932" s="18"/>
      <c r="D932" s="47"/>
      <c r="E932" s="18"/>
      <c r="F932" s="18"/>
      <c r="G932" s="18"/>
      <c r="H932" s="18"/>
      <c r="I932" s="25"/>
      <c r="J932" s="18"/>
      <c r="K932" s="18"/>
      <c r="L932" s="18"/>
      <c r="M932" s="18"/>
      <c r="N932" s="18"/>
      <c r="O932" s="18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>
      <c r="A933" s="1"/>
      <c r="B933" s="1"/>
      <c r="C933" s="18"/>
      <c r="D933" s="47"/>
      <c r="E933" s="18"/>
      <c r="F933" s="18"/>
      <c r="G933" s="18"/>
      <c r="H933" s="18"/>
      <c r="I933" s="25"/>
      <c r="J933" s="18"/>
      <c r="K933" s="18"/>
      <c r="L933" s="18"/>
      <c r="M933" s="18"/>
      <c r="N933" s="18"/>
      <c r="O933" s="18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>
      <c r="A934" s="1"/>
      <c r="B934" s="1"/>
      <c r="C934" s="18"/>
      <c r="D934" s="47"/>
      <c r="E934" s="18"/>
      <c r="F934" s="18"/>
      <c r="G934" s="18"/>
      <c r="H934" s="18"/>
      <c r="I934" s="25"/>
      <c r="J934" s="18"/>
      <c r="K934" s="18"/>
      <c r="L934" s="18"/>
      <c r="M934" s="18"/>
      <c r="N934" s="18"/>
      <c r="O934" s="18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>
      <c r="A935" s="1"/>
      <c r="B935" s="1"/>
      <c r="C935" s="18"/>
      <c r="D935" s="47"/>
      <c r="E935" s="18"/>
      <c r="F935" s="18"/>
      <c r="G935" s="18"/>
      <c r="H935" s="18"/>
      <c r="I935" s="25"/>
      <c r="J935" s="18"/>
      <c r="K935" s="18"/>
      <c r="L935" s="18"/>
      <c r="M935" s="18"/>
      <c r="N935" s="18"/>
      <c r="O935" s="18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>
      <c r="A936" s="1"/>
      <c r="B936" s="1"/>
      <c r="C936" s="18"/>
      <c r="D936" s="47"/>
      <c r="E936" s="18"/>
      <c r="F936" s="18"/>
      <c r="G936" s="18"/>
      <c r="H936" s="18"/>
      <c r="I936" s="25"/>
      <c r="J936" s="18"/>
      <c r="K936" s="18"/>
      <c r="L936" s="18"/>
      <c r="M936" s="18"/>
      <c r="N936" s="18"/>
      <c r="O936" s="18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>
      <c r="A937" s="1"/>
      <c r="B937" s="1"/>
      <c r="C937" s="18"/>
      <c r="D937" s="47"/>
      <c r="E937" s="18"/>
      <c r="F937" s="18"/>
      <c r="G937" s="18"/>
      <c r="H937" s="18"/>
      <c r="I937" s="25"/>
      <c r="J937" s="18"/>
      <c r="K937" s="18"/>
      <c r="L937" s="18"/>
      <c r="M937" s="18"/>
      <c r="N937" s="18"/>
      <c r="O937" s="18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>
      <c r="A938" s="1"/>
      <c r="B938" s="1"/>
      <c r="C938" s="18"/>
      <c r="D938" s="47"/>
      <c r="E938" s="18"/>
      <c r="F938" s="18"/>
      <c r="G938" s="18"/>
      <c r="H938" s="18"/>
      <c r="I938" s="25"/>
      <c r="J938" s="18"/>
      <c r="K938" s="18"/>
      <c r="L938" s="18"/>
      <c r="M938" s="18"/>
      <c r="N938" s="18"/>
      <c r="O938" s="18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>
      <c r="A939" s="1"/>
      <c r="B939" s="1"/>
      <c r="C939" s="18"/>
      <c r="D939" s="47"/>
      <c r="E939" s="18"/>
      <c r="F939" s="18"/>
      <c r="G939" s="18"/>
      <c r="H939" s="18"/>
      <c r="I939" s="25"/>
      <c r="J939" s="18"/>
      <c r="K939" s="18"/>
      <c r="L939" s="18"/>
      <c r="M939" s="18"/>
      <c r="N939" s="18"/>
      <c r="O939" s="18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>
      <c r="A940" s="1"/>
      <c r="B940" s="1"/>
      <c r="C940" s="18"/>
      <c r="D940" s="47"/>
      <c r="E940" s="18"/>
      <c r="F940" s="18"/>
      <c r="G940" s="18"/>
      <c r="H940" s="18"/>
      <c r="I940" s="25"/>
      <c r="J940" s="18"/>
      <c r="K940" s="18"/>
      <c r="L940" s="18"/>
      <c r="M940" s="18"/>
      <c r="N940" s="18"/>
      <c r="O940" s="18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>
      <c r="A941" s="1"/>
      <c r="B941" s="1"/>
      <c r="C941" s="18"/>
      <c r="D941" s="47"/>
      <c r="E941" s="18"/>
      <c r="F941" s="18"/>
      <c r="G941" s="18"/>
      <c r="H941" s="18"/>
      <c r="I941" s="25"/>
      <c r="J941" s="18"/>
      <c r="K941" s="18"/>
      <c r="L941" s="18"/>
      <c r="M941" s="18"/>
      <c r="N941" s="18"/>
      <c r="O941" s="18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>
      <c r="A942" s="1"/>
      <c r="B942" s="1"/>
      <c r="C942" s="18"/>
      <c r="D942" s="47"/>
      <c r="E942" s="18"/>
      <c r="F942" s="18"/>
      <c r="G942" s="18"/>
      <c r="H942" s="18"/>
      <c r="I942" s="25"/>
      <c r="J942" s="18"/>
      <c r="K942" s="18"/>
      <c r="L942" s="18"/>
      <c r="M942" s="18"/>
      <c r="N942" s="18"/>
      <c r="O942" s="18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>
      <c r="A943" s="1"/>
      <c r="B943" s="1"/>
      <c r="C943" s="18"/>
      <c r="D943" s="47"/>
      <c r="E943" s="18"/>
      <c r="F943" s="18"/>
      <c r="G943" s="18"/>
      <c r="H943" s="18"/>
      <c r="I943" s="25"/>
      <c r="J943" s="18"/>
      <c r="K943" s="18"/>
      <c r="L943" s="18"/>
      <c r="M943" s="18"/>
      <c r="N943" s="18"/>
      <c r="O943" s="18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>
      <c r="A944" s="1"/>
      <c r="B944" s="1"/>
      <c r="C944" s="18"/>
      <c r="D944" s="47"/>
      <c r="E944" s="18"/>
      <c r="F944" s="18"/>
      <c r="G944" s="18"/>
      <c r="H944" s="18"/>
      <c r="I944" s="25"/>
      <c r="J944" s="18"/>
      <c r="K944" s="18"/>
      <c r="L944" s="18"/>
      <c r="M944" s="18"/>
      <c r="N944" s="18"/>
      <c r="O944" s="18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>
      <c r="A945" s="1"/>
      <c r="B945" s="1"/>
      <c r="C945" s="18"/>
      <c r="D945" s="47"/>
      <c r="E945" s="18"/>
      <c r="F945" s="18"/>
      <c r="G945" s="18"/>
      <c r="H945" s="18"/>
      <c r="I945" s="25"/>
      <c r="J945" s="18"/>
      <c r="K945" s="18"/>
      <c r="L945" s="18"/>
      <c r="M945" s="18"/>
      <c r="N945" s="18"/>
      <c r="O945" s="18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>
      <c r="A946" s="1"/>
      <c r="B946" s="1"/>
      <c r="C946" s="18"/>
      <c r="D946" s="47"/>
      <c r="E946" s="18"/>
      <c r="F946" s="18"/>
      <c r="G946" s="18"/>
      <c r="H946" s="18"/>
      <c r="I946" s="25"/>
      <c r="J946" s="18"/>
      <c r="K946" s="18"/>
      <c r="L946" s="18"/>
      <c r="M946" s="18"/>
      <c r="N946" s="18"/>
      <c r="O946" s="18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>
      <c r="A947" s="1"/>
      <c r="B947" s="1"/>
      <c r="C947" s="18"/>
      <c r="D947" s="47"/>
      <c r="E947" s="18"/>
      <c r="F947" s="18"/>
      <c r="G947" s="18"/>
      <c r="H947" s="18"/>
      <c r="I947" s="25"/>
      <c r="J947" s="18"/>
      <c r="K947" s="18"/>
      <c r="L947" s="18"/>
      <c r="M947" s="18"/>
      <c r="N947" s="18"/>
      <c r="O947" s="18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>
      <c r="A948" s="1"/>
      <c r="B948" s="1"/>
      <c r="C948" s="18"/>
      <c r="D948" s="47"/>
      <c r="E948" s="18"/>
      <c r="F948" s="18"/>
      <c r="G948" s="18"/>
      <c r="H948" s="18"/>
      <c r="I948" s="25"/>
      <c r="J948" s="18"/>
      <c r="K948" s="18"/>
      <c r="L948" s="18"/>
      <c r="M948" s="18"/>
      <c r="N948" s="18"/>
      <c r="O948" s="18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>
      <c r="A949" s="1"/>
      <c r="B949" s="1"/>
      <c r="C949" s="18"/>
      <c r="D949" s="47"/>
      <c r="E949" s="18"/>
      <c r="F949" s="18"/>
      <c r="G949" s="18"/>
      <c r="H949" s="18"/>
      <c r="I949" s="25"/>
      <c r="J949" s="18"/>
      <c r="K949" s="18"/>
      <c r="L949" s="18"/>
      <c r="M949" s="18"/>
      <c r="N949" s="18"/>
      <c r="O949" s="18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>
      <c r="A950" s="1"/>
      <c r="B950" s="1"/>
      <c r="C950" s="18"/>
      <c r="D950" s="47"/>
      <c r="E950" s="18"/>
      <c r="F950" s="18"/>
      <c r="G950" s="18"/>
      <c r="H950" s="18"/>
      <c r="I950" s="25"/>
      <c r="J950" s="18"/>
      <c r="K950" s="18"/>
      <c r="L950" s="18"/>
      <c r="M950" s="18"/>
      <c r="N950" s="18"/>
      <c r="O950" s="18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>
      <c r="A951" s="1"/>
      <c r="B951" s="1"/>
      <c r="C951" s="18"/>
      <c r="D951" s="47"/>
      <c r="E951" s="18"/>
      <c r="F951" s="18"/>
      <c r="G951" s="18"/>
      <c r="H951" s="18"/>
      <c r="I951" s="25"/>
      <c r="J951" s="18"/>
      <c r="K951" s="18"/>
      <c r="L951" s="18"/>
      <c r="M951" s="18"/>
      <c r="N951" s="18"/>
      <c r="O951" s="18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>
      <c r="A952" s="1"/>
      <c r="B952" s="1"/>
      <c r="C952" s="18"/>
      <c r="D952" s="47"/>
      <c r="E952" s="18"/>
      <c r="F952" s="18"/>
      <c r="G952" s="18"/>
      <c r="H952" s="18"/>
      <c r="I952" s="25"/>
      <c r="J952" s="18"/>
      <c r="K952" s="18"/>
      <c r="L952" s="18"/>
      <c r="M952" s="18"/>
      <c r="N952" s="18"/>
      <c r="O952" s="18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>
      <c r="A953" s="1"/>
      <c r="B953" s="1"/>
      <c r="C953" s="18"/>
      <c r="D953" s="47"/>
      <c r="E953" s="18"/>
      <c r="F953" s="18"/>
      <c r="G953" s="18"/>
      <c r="H953" s="18"/>
      <c r="I953" s="25"/>
      <c r="J953" s="18"/>
      <c r="K953" s="18"/>
      <c r="L953" s="18"/>
      <c r="M953" s="18"/>
      <c r="N953" s="18"/>
      <c r="O953" s="18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>
      <c r="A954" s="1"/>
      <c r="B954" s="1"/>
      <c r="C954" s="18"/>
      <c r="D954" s="47"/>
      <c r="E954" s="18"/>
      <c r="F954" s="18"/>
      <c r="G954" s="18"/>
      <c r="H954" s="18"/>
      <c r="I954" s="25"/>
      <c r="J954" s="18"/>
      <c r="K954" s="18"/>
      <c r="L954" s="18"/>
      <c r="M954" s="18"/>
      <c r="N954" s="18"/>
      <c r="O954" s="18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>
      <c r="A955" s="1"/>
      <c r="B955" s="1"/>
      <c r="C955" s="18"/>
      <c r="D955" s="47"/>
      <c r="E955" s="18"/>
      <c r="F955" s="18"/>
      <c r="G955" s="18"/>
      <c r="H955" s="18"/>
      <c r="I955" s="25"/>
      <c r="J955" s="18"/>
      <c r="K955" s="18"/>
      <c r="L955" s="18"/>
      <c r="M955" s="18"/>
      <c r="N955" s="18"/>
      <c r="O955" s="18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>
      <c r="A956" s="1"/>
      <c r="B956" s="1"/>
      <c r="C956" s="18"/>
      <c r="D956" s="47"/>
      <c r="E956" s="18"/>
      <c r="F956" s="18"/>
      <c r="G956" s="18"/>
      <c r="H956" s="18"/>
      <c r="I956" s="25"/>
      <c r="J956" s="18"/>
      <c r="K956" s="18"/>
      <c r="L956" s="18"/>
      <c r="M956" s="18"/>
      <c r="N956" s="18"/>
      <c r="O956" s="18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>
      <c r="A957" s="1"/>
      <c r="B957" s="1"/>
      <c r="C957" s="18"/>
      <c r="D957" s="47"/>
      <c r="E957" s="18"/>
      <c r="F957" s="18"/>
      <c r="G957" s="18"/>
      <c r="H957" s="18"/>
      <c r="I957" s="25"/>
      <c r="J957" s="18"/>
      <c r="K957" s="18"/>
      <c r="L957" s="18"/>
      <c r="M957" s="18"/>
      <c r="N957" s="18"/>
      <c r="O957" s="18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>
      <c r="A958" s="1"/>
      <c r="B958" s="1"/>
      <c r="C958" s="18"/>
      <c r="D958" s="47"/>
      <c r="E958" s="18"/>
      <c r="F958" s="18"/>
      <c r="G958" s="18"/>
      <c r="H958" s="18"/>
      <c r="I958" s="25"/>
      <c r="J958" s="18"/>
      <c r="K958" s="18"/>
      <c r="L958" s="18"/>
      <c r="M958" s="18"/>
      <c r="N958" s="18"/>
      <c r="O958" s="18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>
      <c r="A959" s="1"/>
      <c r="B959" s="1"/>
      <c r="C959" s="18"/>
      <c r="D959" s="47"/>
      <c r="E959" s="18"/>
      <c r="F959" s="18"/>
      <c r="G959" s="18"/>
      <c r="H959" s="18"/>
      <c r="I959" s="25"/>
      <c r="J959" s="18"/>
      <c r="K959" s="18"/>
      <c r="L959" s="18"/>
      <c r="M959" s="18"/>
      <c r="N959" s="18"/>
      <c r="O959" s="18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>
      <c r="A960" s="1"/>
      <c r="B960" s="1"/>
      <c r="C960" s="18"/>
      <c r="D960" s="47"/>
      <c r="E960" s="18"/>
      <c r="F960" s="18"/>
      <c r="G960" s="18"/>
      <c r="H960" s="18"/>
      <c r="I960" s="25"/>
      <c r="J960" s="18"/>
      <c r="K960" s="18"/>
      <c r="L960" s="18"/>
      <c r="M960" s="18"/>
      <c r="N960" s="18"/>
      <c r="O960" s="18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>
      <c r="A961" s="1"/>
      <c r="B961" s="1"/>
      <c r="C961" s="18"/>
      <c r="D961" s="47"/>
      <c r="E961" s="18"/>
      <c r="F961" s="18"/>
      <c r="G961" s="18"/>
      <c r="H961" s="18"/>
      <c r="I961" s="25"/>
      <c r="J961" s="18"/>
      <c r="K961" s="18"/>
      <c r="L961" s="18"/>
      <c r="M961" s="18"/>
      <c r="N961" s="18"/>
      <c r="O961" s="18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>
      <c r="A962" s="1"/>
      <c r="B962" s="1"/>
      <c r="C962" s="18"/>
      <c r="D962" s="47"/>
      <c r="E962" s="18"/>
      <c r="F962" s="18"/>
      <c r="G962" s="18"/>
      <c r="H962" s="18"/>
      <c r="I962" s="25"/>
      <c r="J962" s="18"/>
      <c r="K962" s="18"/>
      <c r="L962" s="18"/>
      <c r="M962" s="18"/>
      <c r="N962" s="18"/>
      <c r="O962" s="18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>
      <c r="A963" s="1"/>
      <c r="B963" s="1"/>
      <c r="C963" s="18"/>
      <c r="D963" s="47"/>
      <c r="E963" s="18"/>
      <c r="F963" s="18"/>
      <c r="G963" s="18"/>
      <c r="H963" s="18"/>
      <c r="I963" s="25"/>
      <c r="J963" s="18"/>
      <c r="K963" s="18"/>
      <c r="L963" s="18"/>
      <c r="M963" s="18"/>
      <c r="N963" s="18"/>
      <c r="O963" s="18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>
      <c r="A964" s="1"/>
      <c r="B964" s="1"/>
      <c r="C964" s="18"/>
      <c r="D964" s="47"/>
      <c r="E964" s="18"/>
      <c r="F964" s="18"/>
      <c r="G964" s="18"/>
      <c r="H964" s="18"/>
      <c r="I964" s="25"/>
      <c r="J964" s="18"/>
      <c r="K964" s="18"/>
      <c r="L964" s="18"/>
      <c r="M964" s="18"/>
      <c r="N964" s="18"/>
      <c r="O964" s="18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>
      <c r="A965" s="1"/>
      <c r="B965" s="1"/>
      <c r="C965" s="18"/>
      <c r="D965" s="47"/>
      <c r="E965" s="18"/>
      <c r="F965" s="18"/>
      <c r="G965" s="18"/>
      <c r="H965" s="18"/>
      <c r="I965" s="25"/>
      <c r="J965" s="18"/>
      <c r="K965" s="18"/>
      <c r="L965" s="18"/>
      <c r="M965" s="18"/>
      <c r="N965" s="18"/>
      <c r="O965" s="18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>
      <c r="A966" s="1"/>
      <c r="B966" s="1"/>
      <c r="C966" s="18"/>
      <c r="D966" s="47"/>
      <c r="E966" s="18"/>
      <c r="F966" s="18"/>
      <c r="G966" s="18"/>
      <c r="H966" s="18"/>
      <c r="I966" s="25"/>
      <c r="J966" s="18"/>
      <c r="K966" s="18"/>
      <c r="L966" s="18"/>
      <c r="M966" s="18"/>
      <c r="N966" s="18"/>
      <c r="O966" s="18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>
      <c r="A967" s="1"/>
      <c r="B967" s="1"/>
      <c r="C967" s="18"/>
      <c r="D967" s="47"/>
      <c r="E967" s="18"/>
      <c r="F967" s="18"/>
      <c r="G967" s="18"/>
      <c r="H967" s="18"/>
      <c r="I967" s="25"/>
      <c r="J967" s="18"/>
      <c r="K967" s="18"/>
      <c r="L967" s="18"/>
      <c r="M967" s="18"/>
      <c r="N967" s="18"/>
      <c r="O967" s="18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>
      <c r="A968" s="1"/>
      <c r="B968" s="1"/>
      <c r="C968" s="18"/>
      <c r="D968" s="47"/>
      <c r="E968" s="18"/>
      <c r="F968" s="18"/>
      <c r="G968" s="18"/>
      <c r="H968" s="18"/>
      <c r="I968" s="25"/>
      <c r="J968" s="18"/>
      <c r="K968" s="18"/>
      <c r="L968" s="18"/>
      <c r="M968" s="18"/>
      <c r="N968" s="18"/>
      <c r="O968" s="18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>
      <c r="A969" s="1"/>
      <c r="B969" s="1"/>
      <c r="C969" s="18"/>
      <c r="D969" s="47"/>
      <c r="E969" s="18"/>
      <c r="F969" s="18"/>
      <c r="G969" s="18"/>
      <c r="H969" s="18"/>
      <c r="I969" s="25"/>
      <c r="J969" s="18"/>
      <c r="K969" s="18"/>
      <c r="L969" s="18"/>
      <c r="M969" s="18"/>
      <c r="N969" s="18"/>
      <c r="O969" s="18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>
      <c r="A970" s="1"/>
      <c r="B970" s="1"/>
      <c r="C970" s="18"/>
      <c r="D970" s="47"/>
      <c r="E970" s="18"/>
      <c r="F970" s="18"/>
      <c r="G970" s="18"/>
      <c r="H970" s="18"/>
      <c r="I970" s="25"/>
      <c r="J970" s="18"/>
      <c r="K970" s="18"/>
      <c r="L970" s="18"/>
      <c r="M970" s="18"/>
      <c r="N970" s="18"/>
      <c r="O970" s="18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>
      <c r="A971" s="1"/>
      <c r="B971" s="1"/>
      <c r="C971" s="18"/>
      <c r="D971" s="47"/>
      <c r="E971" s="18"/>
      <c r="F971" s="18"/>
      <c r="G971" s="18"/>
      <c r="H971" s="18"/>
      <c r="I971" s="25"/>
      <c r="J971" s="18"/>
      <c r="K971" s="18"/>
      <c r="L971" s="18"/>
      <c r="M971" s="18"/>
      <c r="N971" s="18"/>
      <c r="O971" s="18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>
      <c r="A972" s="1"/>
      <c r="B972" s="1"/>
      <c r="C972" s="18"/>
      <c r="D972" s="47"/>
      <c r="E972" s="18"/>
      <c r="F972" s="18"/>
      <c r="G972" s="18"/>
      <c r="H972" s="18"/>
      <c r="I972" s="25"/>
      <c r="J972" s="18"/>
      <c r="K972" s="18"/>
      <c r="L972" s="18"/>
      <c r="M972" s="18"/>
      <c r="N972" s="18"/>
      <c r="O972" s="18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>
      <c r="A973" s="1"/>
      <c r="B973" s="1"/>
      <c r="C973" s="18"/>
      <c r="D973" s="47"/>
      <c r="E973" s="18"/>
      <c r="F973" s="18"/>
      <c r="G973" s="18"/>
      <c r="H973" s="18"/>
      <c r="I973" s="25"/>
      <c r="J973" s="18"/>
      <c r="K973" s="18"/>
      <c r="L973" s="18"/>
      <c r="M973" s="18"/>
      <c r="N973" s="18"/>
      <c r="O973" s="18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>
      <c r="A974" s="1"/>
      <c r="B974" s="1"/>
      <c r="C974" s="18"/>
      <c r="D974" s="47"/>
      <c r="E974" s="18"/>
      <c r="F974" s="18"/>
      <c r="G974" s="18"/>
      <c r="H974" s="18"/>
      <c r="I974" s="25"/>
      <c r="J974" s="18"/>
      <c r="K974" s="18"/>
      <c r="L974" s="18"/>
      <c r="M974" s="18"/>
      <c r="N974" s="18"/>
      <c r="O974" s="18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>
      <c r="A975" s="1"/>
      <c r="B975" s="1"/>
      <c r="C975" s="18"/>
      <c r="D975" s="47"/>
      <c r="E975" s="18"/>
      <c r="F975" s="18"/>
      <c r="G975" s="18"/>
      <c r="H975" s="18"/>
      <c r="I975" s="25"/>
      <c r="J975" s="18"/>
      <c r="K975" s="18"/>
      <c r="L975" s="18"/>
      <c r="M975" s="18"/>
      <c r="N975" s="18"/>
      <c r="O975" s="18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>
      <c r="A976" s="1"/>
      <c r="B976" s="1"/>
      <c r="C976" s="18"/>
      <c r="D976" s="47"/>
      <c r="E976" s="18"/>
      <c r="F976" s="18"/>
      <c r="G976" s="18"/>
      <c r="H976" s="18"/>
      <c r="I976" s="25"/>
      <c r="J976" s="18"/>
      <c r="K976" s="18"/>
      <c r="L976" s="18"/>
      <c r="M976" s="18"/>
      <c r="N976" s="18"/>
      <c r="O976" s="18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>
      <c r="A977" s="1"/>
      <c r="B977" s="1"/>
      <c r="C977" s="18"/>
      <c r="D977" s="47"/>
      <c r="E977" s="18"/>
      <c r="F977" s="18"/>
      <c r="G977" s="18"/>
      <c r="H977" s="18"/>
      <c r="I977" s="25"/>
      <c r="J977" s="18"/>
      <c r="K977" s="18"/>
      <c r="L977" s="18"/>
      <c r="M977" s="18"/>
      <c r="N977" s="18"/>
      <c r="O977" s="18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>
      <c r="A978" s="1"/>
      <c r="B978" s="1"/>
      <c r="C978" s="18"/>
      <c r="D978" s="47"/>
      <c r="E978" s="18"/>
      <c r="F978" s="18"/>
      <c r="G978" s="18"/>
      <c r="H978" s="18"/>
      <c r="I978" s="25"/>
      <c r="J978" s="18"/>
      <c r="K978" s="18"/>
      <c r="L978" s="18"/>
      <c r="M978" s="18"/>
      <c r="N978" s="18"/>
      <c r="O978" s="18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>
      <c r="A979" s="1"/>
      <c r="B979" s="1"/>
      <c r="C979" s="18"/>
      <c r="D979" s="47"/>
      <c r="E979" s="18"/>
      <c r="F979" s="18"/>
      <c r="G979" s="18"/>
      <c r="H979" s="18"/>
      <c r="I979" s="25"/>
      <c r="J979" s="18"/>
      <c r="K979" s="18"/>
      <c r="L979" s="18"/>
      <c r="M979" s="18"/>
      <c r="N979" s="18"/>
      <c r="O979" s="18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>
      <c r="A980" s="1"/>
      <c r="B980" s="1"/>
      <c r="C980" s="18"/>
      <c r="D980" s="47"/>
      <c r="E980" s="18"/>
      <c r="F980" s="18"/>
      <c r="G980" s="18"/>
      <c r="H980" s="18"/>
      <c r="I980" s="25"/>
      <c r="J980" s="18"/>
      <c r="K980" s="18"/>
      <c r="L980" s="18"/>
      <c r="M980" s="18"/>
      <c r="N980" s="18"/>
      <c r="O980" s="18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>
      <c r="A981" s="1"/>
      <c r="B981" s="1"/>
      <c r="C981" s="18"/>
      <c r="D981" s="47"/>
      <c r="E981" s="18"/>
      <c r="F981" s="18"/>
      <c r="G981" s="18"/>
      <c r="H981" s="18"/>
      <c r="I981" s="25"/>
      <c r="J981" s="18"/>
      <c r="K981" s="18"/>
      <c r="L981" s="18"/>
      <c r="M981" s="18"/>
      <c r="N981" s="18"/>
      <c r="O981" s="18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>
      <c r="A982" s="1"/>
      <c r="B982" s="1"/>
      <c r="C982" s="18"/>
      <c r="D982" s="47"/>
      <c r="E982" s="18"/>
      <c r="F982" s="18"/>
      <c r="G982" s="18"/>
      <c r="H982" s="18"/>
      <c r="I982" s="25"/>
      <c r="J982" s="18"/>
      <c r="K982" s="18"/>
      <c r="L982" s="18"/>
      <c r="M982" s="18"/>
      <c r="N982" s="18"/>
      <c r="O982" s="18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>
      <c r="A983" s="1"/>
      <c r="B983" s="1"/>
      <c r="C983" s="18"/>
      <c r="D983" s="47"/>
      <c r="E983" s="18"/>
      <c r="F983" s="18"/>
      <c r="G983" s="18"/>
      <c r="H983" s="18"/>
      <c r="I983" s="25"/>
      <c r="J983" s="18"/>
      <c r="K983" s="18"/>
      <c r="L983" s="18"/>
      <c r="M983" s="18"/>
      <c r="N983" s="18"/>
      <c r="O983" s="18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>
      <c r="A984" s="1"/>
      <c r="B984" s="1"/>
      <c r="C984" s="18"/>
      <c r="D984" s="47"/>
      <c r="E984" s="18"/>
      <c r="F984" s="18"/>
      <c r="G984" s="18"/>
      <c r="H984" s="18"/>
      <c r="I984" s="25"/>
      <c r="J984" s="18"/>
      <c r="K984" s="18"/>
      <c r="L984" s="18"/>
      <c r="M984" s="18"/>
      <c r="N984" s="18"/>
      <c r="O984" s="18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>
      <c r="A985" s="1"/>
      <c r="B985" s="1"/>
      <c r="C985" s="18"/>
      <c r="D985" s="47"/>
      <c r="E985" s="18"/>
      <c r="F985" s="18"/>
      <c r="G985" s="18"/>
      <c r="H985" s="18"/>
      <c r="I985" s="25"/>
      <c r="J985" s="18"/>
      <c r="K985" s="18"/>
      <c r="L985" s="18"/>
      <c r="M985" s="18"/>
      <c r="N985" s="18"/>
      <c r="O985" s="18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>
      <c r="A986" s="1"/>
      <c r="B986" s="1"/>
      <c r="C986" s="18"/>
      <c r="D986" s="47"/>
      <c r="E986" s="18"/>
      <c r="F986" s="18"/>
      <c r="G986" s="18"/>
      <c r="H986" s="18"/>
      <c r="I986" s="25"/>
      <c r="J986" s="18"/>
      <c r="K986" s="18"/>
      <c r="L986" s="18"/>
      <c r="M986" s="18"/>
      <c r="N986" s="18"/>
      <c r="O986" s="18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>
      <c r="A987" s="1"/>
      <c r="B987" s="1"/>
      <c r="C987" s="18"/>
      <c r="D987" s="47"/>
      <c r="E987" s="18"/>
      <c r="F987" s="18"/>
      <c r="G987" s="18"/>
      <c r="H987" s="18"/>
      <c r="I987" s="25"/>
      <c r="J987" s="18"/>
      <c r="K987" s="18"/>
      <c r="L987" s="18"/>
      <c r="M987" s="18"/>
      <c r="N987" s="18"/>
      <c r="O987" s="18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>
      <c r="A988" s="1"/>
      <c r="B988" s="1"/>
      <c r="C988" s="18"/>
      <c r="D988" s="47"/>
      <c r="E988" s="18"/>
      <c r="F988" s="18"/>
      <c r="G988" s="18"/>
      <c r="H988" s="18"/>
      <c r="I988" s="25"/>
      <c r="J988" s="18"/>
      <c r="K988" s="18"/>
      <c r="L988" s="18"/>
      <c r="M988" s="18"/>
      <c r="N988" s="18"/>
      <c r="O988" s="18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>
      <c r="A989" s="1"/>
      <c r="B989" s="1"/>
      <c r="C989" s="18"/>
      <c r="D989" s="47"/>
      <c r="E989" s="18"/>
      <c r="F989" s="18"/>
      <c r="G989" s="18"/>
      <c r="H989" s="18"/>
      <c r="I989" s="25"/>
      <c r="J989" s="18"/>
      <c r="K989" s="18"/>
      <c r="L989" s="18"/>
      <c r="M989" s="18"/>
      <c r="N989" s="18"/>
      <c r="O989" s="18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>
      <c r="A990" s="1"/>
      <c r="B990" s="1"/>
      <c r="C990" s="18"/>
      <c r="D990" s="47"/>
      <c r="E990" s="18"/>
      <c r="F990" s="18"/>
      <c r="G990" s="18"/>
      <c r="H990" s="18"/>
      <c r="I990" s="25"/>
      <c r="J990" s="18"/>
      <c r="K990" s="18"/>
      <c r="L990" s="18"/>
      <c r="M990" s="18"/>
      <c r="N990" s="18"/>
      <c r="O990" s="18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>
      <c r="A991" s="1"/>
      <c r="B991" s="1"/>
      <c r="C991" s="18"/>
      <c r="D991" s="47"/>
      <c r="E991" s="18"/>
      <c r="F991" s="18"/>
      <c r="G991" s="18"/>
      <c r="H991" s="18"/>
      <c r="I991" s="25"/>
      <c r="J991" s="18"/>
      <c r="K991" s="18"/>
      <c r="L991" s="18"/>
      <c r="M991" s="18"/>
      <c r="N991" s="18"/>
      <c r="O991" s="18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>
      <c r="A992" s="1"/>
      <c r="B992" s="1"/>
      <c r="C992" s="18"/>
      <c r="D992" s="47"/>
      <c r="E992" s="18"/>
      <c r="F992" s="18"/>
      <c r="G992" s="18"/>
      <c r="H992" s="18"/>
      <c r="I992" s="25"/>
      <c r="J992" s="18"/>
      <c r="K992" s="18"/>
      <c r="L992" s="18"/>
      <c r="M992" s="18"/>
      <c r="N992" s="18"/>
      <c r="O992" s="18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>
      <c r="A993" s="1"/>
      <c r="B993" s="1"/>
      <c r="C993" s="18"/>
      <c r="D993" s="47"/>
      <c r="E993" s="18"/>
      <c r="F993" s="18"/>
      <c r="G993" s="18"/>
      <c r="H993" s="18"/>
      <c r="I993" s="25"/>
      <c r="J993" s="18"/>
      <c r="K993" s="18"/>
      <c r="L993" s="18"/>
      <c r="M993" s="18"/>
      <c r="N993" s="18"/>
      <c r="O993" s="18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>
      <c r="A994" s="1"/>
      <c r="B994" s="1"/>
      <c r="C994" s="18"/>
      <c r="D994" s="47"/>
      <c r="E994" s="18"/>
      <c r="F994" s="18"/>
      <c r="G994" s="18"/>
      <c r="H994" s="18"/>
      <c r="I994" s="25"/>
      <c r="J994" s="18"/>
      <c r="K994" s="18"/>
      <c r="L994" s="18"/>
      <c r="M994" s="18"/>
      <c r="N994" s="18"/>
      <c r="O994" s="18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>
      <c r="A995" s="1"/>
      <c r="B995" s="1"/>
      <c r="C995" s="18"/>
      <c r="D995" s="47"/>
      <c r="E995" s="18"/>
      <c r="F995" s="18"/>
      <c r="G995" s="18"/>
      <c r="H995" s="18"/>
      <c r="I995" s="25"/>
      <c r="J995" s="18"/>
      <c r="K995" s="18"/>
      <c r="L995" s="18"/>
      <c r="M995" s="18"/>
      <c r="N995" s="18"/>
      <c r="O995" s="18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>
      <c r="A996" s="1"/>
      <c r="B996" s="1"/>
      <c r="C996" s="18"/>
      <c r="D996" s="47"/>
      <c r="E996" s="18"/>
      <c r="F996" s="18"/>
      <c r="G996" s="18"/>
      <c r="H996" s="18"/>
      <c r="I996" s="25"/>
      <c r="J996" s="18"/>
      <c r="K996" s="18"/>
      <c r="L996" s="18"/>
      <c r="M996" s="18"/>
      <c r="N996" s="18"/>
      <c r="O996" s="18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</sheetData>
  <conditionalFormatting sqref="F1:F996">
    <cfRule type="containsText" dxfId="0" priority="1" operator="containsText" text="Propulsion">
      <formula>NOT(ISERROR(SEARCH(("Propulsion"),(F1))))</formula>
    </cfRule>
  </conditionalFormatting>
  <conditionalFormatting sqref="F1:F996">
    <cfRule type="containsText" dxfId="1" priority="2" operator="containsText" text="Avionics">
      <formula>NOT(ISERROR(SEARCH(("Avionics"),(F1))))</formula>
    </cfRule>
  </conditionalFormatting>
  <conditionalFormatting sqref="F1:F996">
    <cfRule type="containsText" dxfId="2" priority="3" operator="containsText" text="Structures">
      <formula>NOT(ISERROR(SEARCH(("Structures"),(F1))))</formula>
    </cfRule>
  </conditionalFormatting>
  <conditionalFormatting sqref="F1:F996">
    <cfRule type="containsText" dxfId="3" priority="4" operator="containsText" text="Systems">
      <formula>NOT(ISERROR(SEARCH(("Systems"),(F1))))</formula>
    </cfRule>
  </conditionalFormatting>
  <conditionalFormatting sqref="F1:F996">
    <cfRule type="containsText" dxfId="4" priority="5" operator="containsText" text="Analysis">
      <formula>NOT(ISERROR(SEARCH(("Analysis"),(F1))))</formula>
    </cfRule>
  </conditionalFormatting>
  <conditionalFormatting sqref="F1:F996">
    <cfRule type="containsText" dxfId="5" priority="6" operator="containsText" text="Fasteners">
      <formula>NOT(ISERROR(SEARCH(("Fasteners"),(F1))))</formula>
    </cfRule>
  </conditionalFormatting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4"/>
    <hyperlink r:id="rId13" ref="N15"/>
    <hyperlink r:id="rId14" ref="N17"/>
    <hyperlink r:id="rId15" ref="N18"/>
    <hyperlink r:id="rId16" ref="N19"/>
    <hyperlink r:id="rId17" ref="N20"/>
    <hyperlink r:id="rId18" ref="N22"/>
    <hyperlink r:id="rId19" ref="N23"/>
    <hyperlink r:id="rId20" ref="N25"/>
    <hyperlink r:id="rId21" ref="N26"/>
    <hyperlink r:id="rId22" ref="N27"/>
    <hyperlink r:id="rId23" ref="N28"/>
    <hyperlink r:id="rId24" ref="N29"/>
    <hyperlink r:id="rId25" ref="N30"/>
    <hyperlink r:id="rId26" ref="N31"/>
    <hyperlink r:id="rId27" ref="N32"/>
    <hyperlink r:id="rId28" ref="N33"/>
    <hyperlink r:id="rId29" ref="N34"/>
    <hyperlink r:id="rId30" ref="N35"/>
    <hyperlink r:id="rId31" ref="N36"/>
    <hyperlink r:id="rId32" ref="N37"/>
    <hyperlink r:id="rId33" ref="N39"/>
    <hyperlink r:id="rId34" ref="N40"/>
    <hyperlink r:id="rId35" ref="N41"/>
    <hyperlink r:id="rId36" ref="N42"/>
    <hyperlink r:id="rId37" ref="N43"/>
    <hyperlink r:id="rId38" ref="N44"/>
    <hyperlink r:id="rId39" ref="N45"/>
    <hyperlink r:id="rId40" ref="N46"/>
    <hyperlink r:id="rId41" ref="N47"/>
    <hyperlink r:id="rId42" ref="N48"/>
    <hyperlink r:id="rId43" ref="N49"/>
    <hyperlink r:id="rId44" ref="N50"/>
    <hyperlink r:id="rId45" ref="N51"/>
    <hyperlink r:id="rId46" ref="N52"/>
    <hyperlink r:id="rId47" ref="N53"/>
    <hyperlink r:id="rId48" ref="N55"/>
    <hyperlink r:id="rId49" ref="N56"/>
    <hyperlink r:id="rId50" ref="N57"/>
    <hyperlink r:id="rId51" ref="N58"/>
    <hyperlink r:id="rId52" ref="N59"/>
    <hyperlink r:id="rId53" ref="N60"/>
    <hyperlink r:id="rId54" ref="N61"/>
    <hyperlink r:id="rId55" ref="N62"/>
    <hyperlink r:id="rId56" ref="N63"/>
    <hyperlink r:id="rId57" ref="N64"/>
    <hyperlink r:id="rId58" ref="N65"/>
    <hyperlink r:id="rId59" ref="N66"/>
    <hyperlink r:id="rId60" ref="N67"/>
    <hyperlink r:id="rId61" ref="N68"/>
    <hyperlink r:id="rId62" ref="N71"/>
    <hyperlink r:id="rId63" ref="N74"/>
    <hyperlink r:id="rId64" ref="N75"/>
    <hyperlink r:id="rId65" ref="N76"/>
    <hyperlink r:id="rId66" ref="N77"/>
    <hyperlink r:id="rId67" ref="N78"/>
    <hyperlink r:id="rId68" ref="N79"/>
    <hyperlink r:id="rId69" ref="N80"/>
    <hyperlink r:id="rId70" ref="N81"/>
    <hyperlink r:id="rId71" ref="N82"/>
    <hyperlink r:id="rId72" ref="N83"/>
    <hyperlink r:id="rId73" ref="N84"/>
    <hyperlink r:id="rId74" ref="N87"/>
    <hyperlink r:id="rId75" ref="N88"/>
    <hyperlink r:id="rId76" ref="N89"/>
    <hyperlink r:id="rId77" ref="N90"/>
    <hyperlink r:id="rId78" ref="N98"/>
    <hyperlink r:id="rId79" ref="N101"/>
    <hyperlink r:id="rId80" ref="N102"/>
    <hyperlink r:id="rId81" ref="N103"/>
    <hyperlink r:id="rId82" ref="N104"/>
    <hyperlink r:id="rId83" ref="N105"/>
    <hyperlink r:id="rId84" ref="N106"/>
    <hyperlink r:id="rId85" ref="N107"/>
    <hyperlink r:id="rId86" ref="N108"/>
    <hyperlink r:id="rId87" ref="N109"/>
    <hyperlink r:id="rId88" ref="N110"/>
    <hyperlink r:id="rId89" ref="N111"/>
    <hyperlink r:id="rId90" ref="N112"/>
    <hyperlink r:id="rId91" ref="P112"/>
    <hyperlink r:id="rId92" ref="N113"/>
    <hyperlink r:id="rId93" ref="P113"/>
    <hyperlink r:id="rId94" ref="N114"/>
    <hyperlink r:id="rId95" ref="P114"/>
    <hyperlink r:id="rId96" ref="P115"/>
    <hyperlink r:id="rId97" ref="P116"/>
    <hyperlink r:id="rId98" ref="P117"/>
    <hyperlink r:id="rId99" ref="P118"/>
    <hyperlink r:id="rId100" ref="P119"/>
    <hyperlink r:id="rId101" ref="P120"/>
    <hyperlink r:id="rId102" ref="N121"/>
    <hyperlink r:id="rId103" ref="P121"/>
    <hyperlink r:id="rId104" ref="N122"/>
    <hyperlink r:id="rId105" ref="P122"/>
    <hyperlink r:id="rId106" ref="N123"/>
    <hyperlink r:id="rId107" ref="P123"/>
  </hyperlinks>
  <drawing r:id="rId10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0"/>
    <col customWidth="1" hidden="1" min="2" max="2" width="7.29"/>
    <col customWidth="1" min="3" max="3" width="17.29"/>
    <col customWidth="1" min="4" max="4" width="11.29"/>
    <col customWidth="1" min="5" max="5" width="24.71"/>
    <col customWidth="1" min="6" max="6" width="15.14"/>
    <col customWidth="1" min="7" max="7" width="16.71"/>
    <col customWidth="1" min="8" max="8" width="15.71"/>
    <col customWidth="1" min="9" max="9" width="16.14"/>
    <col customWidth="1" min="10" max="10" width="12.0"/>
    <col customWidth="1" min="11" max="11" width="8.29"/>
    <col customWidth="1" min="12" max="12" width="18.57"/>
    <col customWidth="1" min="13" max="13" width="15.86"/>
    <col customWidth="1" min="14" max="14" width="11.14"/>
  </cols>
  <sheetData>
    <row r="1">
      <c r="A1" s="1"/>
      <c r="B1" s="2">
        <v>10000.0</v>
      </c>
      <c r="C1" s="3" t="s">
        <v>0</v>
      </c>
      <c r="D1" s="4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5" t="s">
        <v>6</v>
      </c>
      <c r="J1" s="3" t="s">
        <v>7</v>
      </c>
      <c r="K1" s="3" t="s">
        <v>8</v>
      </c>
      <c r="L1" s="6" t="s">
        <v>9</v>
      </c>
      <c r="M1" s="6" t="s">
        <v>10</v>
      </c>
      <c r="N1" s="6" t="s">
        <v>11</v>
      </c>
      <c r="O1" s="3" t="s">
        <v>12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ht="17.25" customHeight="1">
      <c r="A2" s="7"/>
      <c r="B2" s="8" t="s">
        <v>13</v>
      </c>
      <c r="C2" s="9">
        <f t="shared" ref="C2:C248" si="1">B2+$B$1</f>
        <v>10001</v>
      </c>
      <c r="D2" s="10" t="s">
        <v>23</v>
      </c>
      <c r="E2" s="11" t="s">
        <v>24</v>
      </c>
      <c r="F2" s="2" t="s">
        <v>25</v>
      </c>
      <c r="G2" s="2" t="s">
        <v>26</v>
      </c>
      <c r="H2" s="2" t="s">
        <v>18</v>
      </c>
      <c r="I2" s="12" t="s">
        <v>27</v>
      </c>
      <c r="J2" s="2" t="s">
        <v>28</v>
      </c>
      <c r="K2" s="2" t="s">
        <v>21</v>
      </c>
      <c r="L2" s="14" t="s">
        <v>29</v>
      </c>
      <c r="M2" s="15">
        <v>43382.0</v>
      </c>
      <c r="N2" s="17" t="s">
        <v>30</v>
      </c>
      <c r="O2" s="2" t="s">
        <v>32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>
      <c r="A3" s="7"/>
      <c r="B3" s="8" t="s">
        <v>34</v>
      </c>
      <c r="C3" s="9">
        <f t="shared" si="1"/>
        <v>10002</v>
      </c>
      <c r="D3" s="10" t="s">
        <v>35</v>
      </c>
      <c r="E3" s="11" t="s">
        <v>36</v>
      </c>
      <c r="F3" s="2" t="s">
        <v>25</v>
      </c>
      <c r="G3" s="2" t="s">
        <v>26</v>
      </c>
      <c r="H3" s="2" t="s">
        <v>18</v>
      </c>
      <c r="I3" s="12" t="s">
        <v>37</v>
      </c>
      <c r="J3" s="2" t="s">
        <v>28</v>
      </c>
      <c r="K3" s="2" t="s">
        <v>21</v>
      </c>
      <c r="L3" s="14" t="s">
        <v>38</v>
      </c>
      <c r="M3" s="15">
        <v>43396.0</v>
      </c>
      <c r="N3" s="17" t="s">
        <v>39</v>
      </c>
      <c r="O3" s="2" t="s">
        <v>32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>
      <c r="A4" s="7"/>
      <c r="B4" s="8" t="s">
        <v>40</v>
      </c>
      <c r="C4" s="9">
        <f t="shared" si="1"/>
        <v>10003</v>
      </c>
      <c r="D4" s="10" t="s">
        <v>43</v>
      </c>
      <c r="E4" s="11" t="s">
        <v>44</v>
      </c>
      <c r="F4" s="2" t="s">
        <v>25</v>
      </c>
      <c r="G4" s="2" t="s">
        <v>26</v>
      </c>
      <c r="H4" s="2" t="s">
        <v>18</v>
      </c>
      <c r="I4" s="12" t="s">
        <v>45</v>
      </c>
      <c r="J4" s="2" t="s">
        <v>28</v>
      </c>
      <c r="K4" s="2" t="s">
        <v>21</v>
      </c>
      <c r="L4" s="14" t="s">
        <v>47</v>
      </c>
      <c r="M4" s="15">
        <v>43386.0</v>
      </c>
      <c r="N4" s="17" t="s">
        <v>48</v>
      </c>
      <c r="O4" s="2" t="s">
        <v>32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>
      <c r="A5" s="7"/>
      <c r="B5" s="8" t="s">
        <v>41</v>
      </c>
      <c r="C5" s="9">
        <f t="shared" si="1"/>
        <v>10004</v>
      </c>
      <c r="D5" s="10" t="s">
        <v>14</v>
      </c>
      <c r="E5" s="11" t="s">
        <v>51</v>
      </c>
      <c r="F5" s="2" t="s">
        <v>25</v>
      </c>
      <c r="G5" s="2" t="s">
        <v>26</v>
      </c>
      <c r="H5" s="2" t="s">
        <v>18</v>
      </c>
      <c r="I5" s="12" t="s">
        <v>52</v>
      </c>
      <c r="J5" s="2" t="s">
        <v>28</v>
      </c>
      <c r="K5" s="2" t="s">
        <v>21</v>
      </c>
      <c r="L5" s="14" t="s">
        <v>54</v>
      </c>
      <c r="M5" s="15">
        <v>43407.0</v>
      </c>
      <c r="N5" s="17" t="s">
        <v>55</v>
      </c>
      <c r="O5" s="2" t="s">
        <v>32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>
      <c r="A6" s="7"/>
      <c r="B6" s="8" t="s">
        <v>42</v>
      </c>
      <c r="C6" s="9">
        <f t="shared" si="1"/>
        <v>10005</v>
      </c>
      <c r="D6" s="10" t="s">
        <v>43</v>
      </c>
      <c r="E6" s="11" t="s">
        <v>58</v>
      </c>
      <c r="F6" s="2" t="s">
        <v>25</v>
      </c>
      <c r="G6" s="2" t="s">
        <v>26</v>
      </c>
      <c r="H6" s="2" t="s">
        <v>18</v>
      </c>
      <c r="I6" s="12" t="s">
        <v>59</v>
      </c>
      <c r="J6" s="2" t="s">
        <v>60</v>
      </c>
      <c r="K6" s="2" t="s">
        <v>21</v>
      </c>
      <c r="L6" s="14" t="s">
        <v>62</v>
      </c>
      <c r="M6" s="15">
        <v>44138.0</v>
      </c>
      <c r="N6" s="17" t="s">
        <v>63</v>
      </c>
      <c r="O6" s="2" t="s">
        <v>32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>
      <c r="A7" s="7"/>
      <c r="B7" s="8" t="s">
        <v>46</v>
      </c>
      <c r="C7" s="9">
        <f t="shared" si="1"/>
        <v>10006</v>
      </c>
      <c r="D7" s="10" t="s">
        <v>14</v>
      </c>
      <c r="E7" s="11" t="s">
        <v>66</v>
      </c>
      <c r="F7" s="2" t="s">
        <v>67</v>
      </c>
      <c r="G7" s="2" t="s">
        <v>26</v>
      </c>
      <c r="H7" s="2" t="s">
        <v>18</v>
      </c>
      <c r="I7" s="12" t="s">
        <v>68</v>
      </c>
      <c r="J7" s="2"/>
      <c r="K7" s="2" t="s">
        <v>21</v>
      </c>
      <c r="L7" s="14" t="s">
        <v>69</v>
      </c>
      <c r="M7" s="15">
        <v>43443.0</v>
      </c>
      <c r="N7" s="17" t="s">
        <v>70</v>
      </c>
      <c r="O7" s="2" t="s">
        <v>32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>
      <c r="A8" s="7"/>
      <c r="B8" s="8" t="s">
        <v>49</v>
      </c>
      <c r="C8" s="9">
        <f t="shared" si="1"/>
        <v>10007</v>
      </c>
      <c r="D8" s="10" t="s">
        <v>14</v>
      </c>
      <c r="E8" s="11" t="s">
        <v>74</v>
      </c>
      <c r="F8" s="2" t="s">
        <v>25</v>
      </c>
      <c r="G8" s="2" t="s">
        <v>26</v>
      </c>
      <c r="H8" s="2" t="s">
        <v>18</v>
      </c>
      <c r="I8" s="12" t="s">
        <v>76</v>
      </c>
      <c r="J8" s="2" t="s">
        <v>60</v>
      </c>
      <c r="K8" s="2" t="s">
        <v>21</v>
      </c>
      <c r="L8" s="14" t="s">
        <v>77</v>
      </c>
      <c r="M8" s="15">
        <v>43501.0</v>
      </c>
      <c r="N8" s="17" t="s">
        <v>78</v>
      </c>
      <c r="O8" s="2" t="s">
        <v>32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>
      <c r="A9" s="7"/>
      <c r="B9" s="8" t="s">
        <v>50</v>
      </c>
      <c r="C9" s="9">
        <f t="shared" si="1"/>
        <v>10008</v>
      </c>
      <c r="D9" s="10" t="s">
        <v>82</v>
      </c>
      <c r="E9" s="11" t="s">
        <v>83</v>
      </c>
      <c r="F9" s="2" t="s">
        <v>25</v>
      </c>
      <c r="G9" s="2" t="s">
        <v>26</v>
      </c>
      <c r="H9" s="2" t="s">
        <v>18</v>
      </c>
      <c r="I9" s="12" t="s">
        <v>84</v>
      </c>
      <c r="J9" s="2" t="s">
        <v>85</v>
      </c>
      <c r="K9" s="2" t="s">
        <v>21</v>
      </c>
      <c r="L9" s="14" t="s">
        <v>86</v>
      </c>
      <c r="M9" s="15">
        <v>43505.0</v>
      </c>
      <c r="N9" s="17" t="s">
        <v>87</v>
      </c>
      <c r="O9" s="2" t="s">
        <v>32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>
      <c r="A10" s="7"/>
      <c r="B10" s="8" t="s">
        <v>53</v>
      </c>
      <c r="C10" s="9">
        <f t="shared" si="1"/>
        <v>10009</v>
      </c>
      <c r="D10" s="10" t="s">
        <v>90</v>
      </c>
      <c r="E10" s="11" t="s">
        <v>91</v>
      </c>
      <c r="F10" s="2" t="s">
        <v>25</v>
      </c>
      <c r="G10" s="2" t="s">
        <v>26</v>
      </c>
      <c r="H10" s="2" t="s">
        <v>18</v>
      </c>
      <c r="I10" s="12" t="s">
        <v>84</v>
      </c>
      <c r="J10" s="2" t="s">
        <v>28</v>
      </c>
      <c r="K10" s="2" t="s">
        <v>21</v>
      </c>
      <c r="L10" s="14" t="s">
        <v>86</v>
      </c>
      <c r="M10" s="15">
        <v>43501.0</v>
      </c>
      <c r="N10" s="17" t="s">
        <v>92</v>
      </c>
      <c r="O10" s="2" t="s">
        <v>96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>
      <c r="A11" s="7"/>
      <c r="B11" s="8" t="s">
        <v>56</v>
      </c>
      <c r="C11" s="9">
        <f t="shared" si="1"/>
        <v>10010</v>
      </c>
      <c r="D11" s="10" t="s">
        <v>14</v>
      </c>
      <c r="E11" s="11" t="s">
        <v>98</v>
      </c>
      <c r="F11" s="2" t="s">
        <v>67</v>
      </c>
      <c r="G11" s="2" t="s">
        <v>26</v>
      </c>
      <c r="H11" s="2" t="s">
        <v>18</v>
      </c>
      <c r="I11" s="12" t="s">
        <v>99</v>
      </c>
      <c r="J11" s="1"/>
      <c r="K11" s="2" t="s">
        <v>21</v>
      </c>
      <c r="L11" s="14" t="s">
        <v>100</v>
      </c>
      <c r="M11" s="19">
        <v>43514.0</v>
      </c>
      <c r="N11" s="27" t="s">
        <v>101</v>
      </c>
      <c r="O11" s="2" t="s">
        <v>96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>
      <c r="A12" s="7"/>
      <c r="B12" s="8" t="s">
        <v>57</v>
      </c>
      <c r="C12" s="9">
        <f t="shared" si="1"/>
        <v>10011</v>
      </c>
      <c r="D12" s="10" t="s">
        <v>14</v>
      </c>
      <c r="E12" s="11" t="s">
        <v>108</v>
      </c>
      <c r="F12" s="2" t="s">
        <v>25</v>
      </c>
      <c r="G12" s="2" t="s">
        <v>26</v>
      </c>
      <c r="H12" s="2" t="s">
        <v>18</v>
      </c>
      <c r="I12" s="12" t="s">
        <v>109</v>
      </c>
      <c r="J12" s="2" t="s">
        <v>28</v>
      </c>
      <c r="K12" s="2" t="s">
        <v>21</v>
      </c>
      <c r="L12" s="14" t="s">
        <v>111</v>
      </c>
      <c r="M12" s="16">
        <v>43522.0</v>
      </c>
      <c r="N12" s="17" t="s">
        <v>112</v>
      </c>
      <c r="O12" s="2" t="s">
        <v>96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>
      <c r="A13" s="7"/>
      <c r="B13" s="8" t="s">
        <v>61</v>
      </c>
      <c r="C13" s="9">
        <f t="shared" si="1"/>
        <v>10012</v>
      </c>
      <c r="D13" s="10" t="s">
        <v>14</v>
      </c>
      <c r="E13" s="11" t="s">
        <v>115</v>
      </c>
      <c r="F13" s="2" t="s">
        <v>25</v>
      </c>
      <c r="G13" s="2" t="s">
        <v>26</v>
      </c>
      <c r="H13" s="2" t="s">
        <v>18</v>
      </c>
      <c r="I13" s="12" t="s">
        <v>117</v>
      </c>
      <c r="J13" s="2" t="s">
        <v>118</v>
      </c>
      <c r="K13" s="2" t="s">
        <v>21</v>
      </c>
      <c r="L13" s="14" t="s">
        <v>119</v>
      </c>
      <c r="M13" s="19">
        <v>43525.0</v>
      </c>
      <c r="N13" s="14"/>
      <c r="O13" s="2" t="s">
        <v>96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>
      <c r="A14" s="7"/>
      <c r="B14" s="8" t="s">
        <v>64</v>
      </c>
      <c r="C14" s="9">
        <f t="shared" si="1"/>
        <v>10013</v>
      </c>
      <c r="D14" s="10" t="s">
        <v>14</v>
      </c>
      <c r="E14" s="11" t="s">
        <v>120</v>
      </c>
      <c r="F14" s="2" t="s">
        <v>67</v>
      </c>
      <c r="G14" s="2" t="s">
        <v>26</v>
      </c>
      <c r="H14" s="2" t="s">
        <v>18</v>
      </c>
      <c r="I14" s="12" t="s">
        <v>121</v>
      </c>
      <c r="J14" s="2" t="s">
        <v>28</v>
      </c>
      <c r="K14" s="2" t="s">
        <v>21</v>
      </c>
      <c r="L14" s="2" t="s">
        <v>122</v>
      </c>
      <c r="M14" s="26">
        <v>43537.0</v>
      </c>
      <c r="N14" s="30" t="s">
        <v>124</v>
      </c>
      <c r="O14" s="2" t="s">
        <v>96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>
      <c r="A15" s="7"/>
      <c r="B15" s="8" t="s">
        <v>65</v>
      </c>
      <c r="C15" s="9">
        <f t="shared" si="1"/>
        <v>10014</v>
      </c>
      <c r="D15" s="10"/>
      <c r="E15" s="11"/>
      <c r="F15" s="18"/>
      <c r="G15" s="2"/>
      <c r="H15" s="2"/>
      <c r="I15" s="12"/>
      <c r="J15" s="2"/>
      <c r="K15" s="2"/>
      <c r="L15" s="2"/>
      <c r="M15" s="21"/>
      <c r="N15" s="14"/>
      <c r="O15" s="18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>
      <c r="A16" s="7"/>
      <c r="B16" s="8" t="s">
        <v>71</v>
      </c>
      <c r="C16" s="9">
        <f t="shared" si="1"/>
        <v>10015</v>
      </c>
      <c r="D16" s="10"/>
      <c r="E16" s="11"/>
      <c r="F16" s="18"/>
      <c r="G16" s="2"/>
      <c r="H16" s="18"/>
      <c r="I16" s="12"/>
      <c r="J16" s="2"/>
      <c r="K16" s="2"/>
      <c r="L16" s="2"/>
      <c r="M16" s="21"/>
      <c r="N16" s="14"/>
      <c r="O16" s="18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>
      <c r="A17" s="7"/>
      <c r="B17" s="8" t="s">
        <v>72</v>
      </c>
      <c r="C17" s="9">
        <f t="shared" si="1"/>
        <v>10016</v>
      </c>
      <c r="D17" s="10"/>
      <c r="E17" s="11"/>
      <c r="F17" s="18"/>
      <c r="G17" s="2"/>
      <c r="H17" s="18"/>
      <c r="I17" s="12"/>
      <c r="J17" s="2"/>
      <c r="K17" s="2"/>
      <c r="L17" s="2"/>
      <c r="M17" s="21"/>
      <c r="N17" s="14"/>
      <c r="O17" s="18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>
      <c r="A18" s="7"/>
      <c r="B18" s="8" t="s">
        <v>73</v>
      </c>
      <c r="C18" s="9">
        <f t="shared" si="1"/>
        <v>10017</v>
      </c>
      <c r="D18" s="10"/>
      <c r="E18" s="11"/>
      <c r="F18" s="18"/>
      <c r="G18" s="2"/>
      <c r="H18" s="18"/>
      <c r="I18" s="12"/>
      <c r="J18" s="2"/>
      <c r="K18" s="2"/>
      <c r="L18" s="2"/>
      <c r="M18" s="21"/>
      <c r="N18" s="14"/>
      <c r="O18" s="1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>
      <c r="A19" s="7"/>
      <c r="B19" s="8" t="s">
        <v>75</v>
      </c>
      <c r="C19" s="9">
        <f t="shared" si="1"/>
        <v>10018</v>
      </c>
      <c r="D19" s="10"/>
      <c r="E19" s="11"/>
      <c r="F19" s="18"/>
      <c r="G19" s="2"/>
      <c r="H19" s="18"/>
      <c r="I19" s="12"/>
      <c r="J19" s="2"/>
      <c r="K19" s="2"/>
      <c r="L19" s="2"/>
      <c r="M19" s="21"/>
      <c r="N19" s="14"/>
      <c r="O19" s="18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>
      <c r="A20" s="7"/>
      <c r="B20" s="8" t="s">
        <v>79</v>
      </c>
      <c r="C20" s="9">
        <f t="shared" si="1"/>
        <v>10019</v>
      </c>
      <c r="D20" s="10"/>
      <c r="E20" s="11"/>
      <c r="F20" s="18"/>
      <c r="G20" s="2"/>
      <c r="H20" s="18"/>
      <c r="I20" s="22"/>
      <c r="J20" s="2"/>
      <c r="K20" s="2"/>
      <c r="L20" s="2"/>
      <c r="M20" s="21"/>
      <c r="N20" s="14"/>
      <c r="O20" s="18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>
      <c r="A21" s="7"/>
      <c r="B21" s="8" t="s">
        <v>80</v>
      </c>
      <c r="C21" s="9">
        <f t="shared" si="1"/>
        <v>10020</v>
      </c>
      <c r="D21" s="10"/>
      <c r="E21" s="11"/>
      <c r="F21" s="18"/>
      <c r="G21" s="2"/>
      <c r="H21" s="18"/>
      <c r="I21" s="22"/>
      <c r="J21" s="2"/>
      <c r="K21" s="2"/>
      <c r="L21" s="2"/>
      <c r="M21" s="21"/>
      <c r="N21" s="14"/>
      <c r="O21" s="18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>
      <c r="A22" s="7"/>
      <c r="B22" s="8" t="s">
        <v>81</v>
      </c>
      <c r="C22" s="9">
        <f t="shared" si="1"/>
        <v>10021</v>
      </c>
      <c r="D22" s="10"/>
      <c r="E22" s="23"/>
      <c r="F22" s="18"/>
      <c r="G22" s="2"/>
      <c r="H22" s="18"/>
      <c r="I22" s="12"/>
      <c r="J22" s="2"/>
      <c r="K22" s="2"/>
      <c r="L22" s="2"/>
      <c r="M22" s="18"/>
      <c r="N22" s="24"/>
      <c r="O22" s="18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>
      <c r="A23" s="7"/>
      <c r="B23" s="8" t="s">
        <v>88</v>
      </c>
      <c r="C23" s="9">
        <f t="shared" si="1"/>
        <v>10022</v>
      </c>
      <c r="D23" s="10"/>
      <c r="E23" s="23"/>
      <c r="F23" s="18"/>
      <c r="G23" s="2"/>
      <c r="H23" s="18"/>
      <c r="I23" s="12"/>
      <c r="J23" s="2"/>
      <c r="K23" s="2"/>
      <c r="L23" s="2"/>
      <c r="M23" s="21"/>
      <c r="N23" s="14"/>
      <c r="O23" s="18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>
      <c r="A24" s="7"/>
      <c r="B24" s="8" t="s">
        <v>89</v>
      </c>
      <c r="C24" s="9">
        <f t="shared" si="1"/>
        <v>10023</v>
      </c>
      <c r="D24" s="10"/>
      <c r="E24" s="23"/>
      <c r="F24" s="18"/>
      <c r="G24" s="2"/>
      <c r="H24" s="18"/>
      <c r="I24" s="12"/>
      <c r="J24" s="2"/>
      <c r="K24" s="2"/>
      <c r="L24" s="2"/>
      <c r="M24" s="21"/>
      <c r="N24" s="14"/>
      <c r="O24" s="18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>
      <c r="A25" s="7"/>
      <c r="B25" s="8" t="s">
        <v>93</v>
      </c>
      <c r="C25" s="9">
        <f t="shared" si="1"/>
        <v>10024</v>
      </c>
      <c r="D25" s="10"/>
      <c r="E25" s="23"/>
      <c r="F25" s="18"/>
      <c r="G25" s="2"/>
      <c r="H25" s="18"/>
      <c r="I25" s="12"/>
      <c r="J25" s="2"/>
      <c r="K25" s="2"/>
      <c r="L25" s="2"/>
      <c r="M25" s="21"/>
      <c r="N25" s="14"/>
      <c r="O25" s="18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>
      <c r="A26" s="7"/>
      <c r="B26" s="8" t="s">
        <v>94</v>
      </c>
      <c r="C26" s="9">
        <f t="shared" si="1"/>
        <v>10025</v>
      </c>
      <c r="D26" s="10"/>
      <c r="E26" s="23"/>
      <c r="F26" s="18"/>
      <c r="G26" s="2"/>
      <c r="H26" s="18"/>
      <c r="I26" s="12"/>
      <c r="J26" s="2"/>
      <c r="K26" s="2"/>
      <c r="L26" s="2"/>
      <c r="M26" s="21"/>
      <c r="N26" s="24"/>
      <c r="O26" s="18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>
      <c r="A27" s="7"/>
      <c r="B27" s="8" t="s">
        <v>95</v>
      </c>
      <c r="C27" s="9">
        <f t="shared" si="1"/>
        <v>10026</v>
      </c>
      <c r="D27" s="10"/>
      <c r="E27" s="23"/>
      <c r="F27" s="18"/>
      <c r="G27" s="2"/>
      <c r="H27" s="18"/>
      <c r="I27" s="12"/>
      <c r="J27" s="2"/>
      <c r="K27" s="2"/>
      <c r="L27" s="2"/>
      <c r="M27" s="21"/>
      <c r="N27" s="24"/>
      <c r="O27" s="18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>
      <c r="A28" s="7"/>
      <c r="B28" s="8" t="s">
        <v>97</v>
      </c>
      <c r="C28" s="9">
        <f t="shared" si="1"/>
        <v>10029</v>
      </c>
      <c r="D28" s="10"/>
      <c r="E28" s="11"/>
      <c r="F28" s="18"/>
      <c r="G28" s="2"/>
      <c r="H28" s="18"/>
      <c r="I28" s="25"/>
      <c r="J28" s="2"/>
      <c r="K28" s="2"/>
      <c r="L28" s="2"/>
      <c r="M28" s="26"/>
      <c r="N28" s="2"/>
      <c r="O28" s="18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>
      <c r="A29" s="7"/>
      <c r="B29" s="8" t="s">
        <v>102</v>
      </c>
      <c r="C29" s="9">
        <f t="shared" si="1"/>
        <v>10030</v>
      </c>
      <c r="D29" s="10"/>
      <c r="E29" s="11"/>
      <c r="F29" s="18"/>
      <c r="G29" s="2"/>
      <c r="H29" s="18"/>
      <c r="I29" s="25"/>
      <c r="J29" s="2"/>
      <c r="K29" s="2"/>
      <c r="L29" s="2"/>
      <c r="M29" s="26"/>
      <c r="N29" s="2"/>
      <c r="O29" s="18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>
      <c r="A30" s="7"/>
      <c r="B30" s="8" t="s">
        <v>103</v>
      </c>
      <c r="C30" s="9">
        <f t="shared" si="1"/>
        <v>10031</v>
      </c>
      <c r="D30" s="10"/>
      <c r="E30" s="11"/>
      <c r="F30" s="2"/>
      <c r="G30" s="2"/>
      <c r="H30" s="18"/>
      <c r="I30" s="25"/>
      <c r="J30" s="2"/>
      <c r="K30" s="2"/>
      <c r="L30" s="2"/>
      <c r="M30" s="26"/>
      <c r="N30" s="2"/>
      <c r="O30" s="18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>
      <c r="A31" s="7"/>
      <c r="B31" s="8" t="s">
        <v>104</v>
      </c>
      <c r="C31" s="9">
        <f t="shared" si="1"/>
        <v>10032</v>
      </c>
      <c r="D31" s="10"/>
      <c r="E31" s="11"/>
      <c r="F31" s="2"/>
      <c r="G31" s="2"/>
      <c r="H31" s="18"/>
      <c r="I31" s="25"/>
      <c r="J31" s="2"/>
      <c r="K31" s="2"/>
      <c r="L31" s="2"/>
      <c r="M31" s="26"/>
      <c r="N31" s="2"/>
      <c r="O31" s="18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>
      <c r="A32" s="7"/>
      <c r="B32" s="8" t="s">
        <v>105</v>
      </c>
      <c r="C32" s="9">
        <f t="shared" si="1"/>
        <v>10033</v>
      </c>
      <c r="D32" s="10"/>
      <c r="E32" s="11"/>
      <c r="F32" s="2"/>
      <c r="G32" s="2"/>
      <c r="H32" s="18"/>
      <c r="I32" s="25"/>
      <c r="J32" s="2"/>
      <c r="K32" s="2"/>
      <c r="L32" s="2"/>
      <c r="M32" s="26"/>
      <c r="N32" s="2"/>
      <c r="O32" s="18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>
      <c r="A33" s="7"/>
      <c r="B33" s="8" t="s">
        <v>106</v>
      </c>
      <c r="C33" s="9">
        <f t="shared" si="1"/>
        <v>10034</v>
      </c>
      <c r="D33" s="10"/>
      <c r="E33" s="11"/>
      <c r="F33" s="2"/>
      <c r="G33" s="2"/>
      <c r="I33" s="12"/>
      <c r="J33" s="2"/>
      <c r="K33" s="2"/>
      <c r="L33" s="2"/>
      <c r="M33" s="26"/>
      <c r="N33" s="18"/>
      <c r="O33" s="18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>
      <c r="A34" s="7"/>
      <c r="B34" s="8" t="s">
        <v>107</v>
      </c>
      <c r="C34" s="9">
        <f t="shared" si="1"/>
        <v>10035</v>
      </c>
      <c r="D34" s="10"/>
      <c r="E34" s="11"/>
      <c r="F34" s="2"/>
      <c r="G34" s="2"/>
      <c r="H34" s="18"/>
      <c r="I34" s="12"/>
      <c r="J34" s="2"/>
      <c r="K34" s="2"/>
      <c r="L34" s="2"/>
      <c r="M34" s="26"/>
      <c r="N34" s="18"/>
      <c r="O34" s="18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>
      <c r="A35" s="7"/>
      <c r="B35" s="8" t="s">
        <v>110</v>
      </c>
      <c r="C35" s="9">
        <f t="shared" si="1"/>
        <v>10036</v>
      </c>
      <c r="D35" s="10"/>
      <c r="E35" s="11"/>
      <c r="F35" s="2"/>
      <c r="G35" s="2"/>
      <c r="H35" s="18"/>
      <c r="I35" s="12"/>
      <c r="J35" s="2"/>
      <c r="K35" s="2"/>
      <c r="L35" s="2"/>
      <c r="M35" s="26"/>
      <c r="N35" s="18"/>
      <c r="O35" s="18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>
      <c r="A36" s="7"/>
      <c r="B36" s="8" t="s">
        <v>113</v>
      </c>
      <c r="C36" s="9">
        <f t="shared" si="1"/>
        <v>10037</v>
      </c>
      <c r="D36" s="28"/>
      <c r="E36" s="29"/>
      <c r="F36" s="18"/>
      <c r="G36" s="18"/>
      <c r="H36" s="18"/>
      <c r="I36" s="25"/>
      <c r="J36" s="18"/>
      <c r="K36" s="18"/>
      <c r="L36" s="18"/>
      <c r="M36" s="18"/>
      <c r="N36" s="18"/>
      <c r="O36" s="18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>
      <c r="A37" s="7"/>
      <c r="B37" s="8" t="s">
        <v>114</v>
      </c>
      <c r="C37" s="9">
        <f t="shared" si="1"/>
        <v>10038</v>
      </c>
      <c r="D37" s="28"/>
      <c r="E37" s="29"/>
      <c r="F37" s="18"/>
      <c r="G37" s="18"/>
      <c r="H37" s="18"/>
      <c r="I37" s="25"/>
      <c r="J37" s="18"/>
      <c r="K37" s="18"/>
      <c r="L37" s="18"/>
      <c r="M37" s="18"/>
      <c r="N37" s="18"/>
      <c r="O37" s="18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>
      <c r="A38" s="7"/>
      <c r="B38" s="8" t="s">
        <v>116</v>
      </c>
      <c r="C38" s="9">
        <f t="shared" si="1"/>
        <v>10039</v>
      </c>
      <c r="D38" s="28"/>
      <c r="E38" s="29"/>
      <c r="F38" s="18"/>
      <c r="G38" s="18"/>
      <c r="H38" s="18"/>
      <c r="I38" s="25"/>
      <c r="J38" s="18"/>
      <c r="K38" s="18"/>
      <c r="L38" s="18"/>
      <c r="M38" s="18"/>
      <c r="N38" s="18"/>
      <c r="O38" s="18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>
      <c r="A39" s="7"/>
      <c r="B39" s="8" t="s">
        <v>123</v>
      </c>
      <c r="C39" s="9">
        <f t="shared" si="1"/>
        <v>10040</v>
      </c>
      <c r="D39" s="28"/>
      <c r="E39" s="29"/>
      <c r="F39" s="18"/>
      <c r="G39" s="18"/>
      <c r="H39" s="18"/>
      <c r="I39" s="25"/>
      <c r="J39" s="18"/>
      <c r="K39" s="18"/>
      <c r="L39" s="18"/>
      <c r="M39" s="18"/>
      <c r="N39" s="18"/>
      <c r="O39" s="18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>
      <c r="A40" s="7"/>
      <c r="B40" s="8" t="s">
        <v>125</v>
      </c>
      <c r="C40" s="9">
        <f t="shared" si="1"/>
        <v>10041</v>
      </c>
      <c r="D40" s="28"/>
      <c r="E40" s="29"/>
      <c r="F40" s="18"/>
      <c r="G40" s="18"/>
      <c r="H40" s="18"/>
      <c r="I40" s="25"/>
      <c r="J40" s="18"/>
      <c r="K40" s="18"/>
      <c r="L40" s="18"/>
      <c r="M40" s="18"/>
      <c r="N40" s="18"/>
      <c r="O40" s="18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>
      <c r="A41" s="7"/>
      <c r="B41" s="8" t="s">
        <v>126</v>
      </c>
      <c r="C41" s="9">
        <f t="shared" si="1"/>
        <v>10042</v>
      </c>
      <c r="D41" s="28"/>
      <c r="E41" s="29"/>
      <c r="F41" s="18"/>
      <c r="G41" s="18"/>
      <c r="H41" s="18"/>
      <c r="I41" s="25"/>
      <c r="J41" s="18"/>
      <c r="K41" s="18"/>
      <c r="L41" s="18"/>
      <c r="M41" s="18"/>
      <c r="N41" s="18"/>
      <c r="O41" s="18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>
      <c r="A42" s="7"/>
      <c r="B42" s="8" t="s">
        <v>127</v>
      </c>
      <c r="C42" s="9">
        <f t="shared" si="1"/>
        <v>10043</v>
      </c>
      <c r="D42" s="10"/>
      <c r="E42" s="31"/>
      <c r="F42" s="2"/>
      <c r="G42" s="2"/>
      <c r="H42" s="2"/>
      <c r="I42" s="12"/>
      <c r="J42" s="2"/>
      <c r="K42" s="2"/>
      <c r="L42" s="2"/>
      <c r="M42" s="26"/>
      <c r="N42" s="32"/>
      <c r="O42" s="18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>
      <c r="A43" s="7"/>
      <c r="B43" s="8" t="s">
        <v>128</v>
      </c>
      <c r="C43" s="9">
        <f t="shared" si="1"/>
        <v>10044</v>
      </c>
      <c r="D43" s="10"/>
      <c r="E43" s="31"/>
      <c r="F43" s="2"/>
      <c r="G43" s="2"/>
      <c r="H43" s="2"/>
      <c r="I43" s="12"/>
      <c r="J43" s="2"/>
      <c r="K43" s="2"/>
      <c r="L43" s="2"/>
      <c r="M43" s="26"/>
      <c r="N43" s="32"/>
      <c r="O43" s="18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>
      <c r="A44" s="7"/>
      <c r="B44" s="8" t="s">
        <v>129</v>
      </c>
      <c r="C44" s="9">
        <f t="shared" si="1"/>
        <v>10045</v>
      </c>
      <c r="D44" s="10"/>
      <c r="E44" s="31"/>
      <c r="F44" s="2"/>
      <c r="G44" s="2"/>
      <c r="H44" s="2"/>
      <c r="I44" s="12"/>
      <c r="J44" s="2"/>
      <c r="K44" s="2"/>
      <c r="L44" s="2"/>
      <c r="M44" s="26"/>
      <c r="N44" s="32"/>
      <c r="O44" s="18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>
      <c r="A45" s="7"/>
      <c r="B45" s="8" t="s">
        <v>130</v>
      </c>
      <c r="C45" s="9">
        <f t="shared" si="1"/>
        <v>10046</v>
      </c>
      <c r="D45" s="10"/>
      <c r="E45" s="31"/>
      <c r="F45" s="2"/>
      <c r="G45" s="2"/>
      <c r="H45" s="2"/>
      <c r="I45" s="12"/>
      <c r="J45" s="2"/>
      <c r="K45" s="2"/>
      <c r="L45" s="2"/>
      <c r="M45" s="26"/>
      <c r="N45" s="32"/>
      <c r="O45" s="18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>
      <c r="A46" s="7"/>
      <c r="B46" s="8" t="s">
        <v>131</v>
      </c>
      <c r="C46" s="9">
        <f t="shared" si="1"/>
        <v>10047</v>
      </c>
      <c r="D46" s="10"/>
      <c r="E46" s="31"/>
      <c r="F46" s="2"/>
      <c r="G46" s="2"/>
      <c r="H46" s="2"/>
      <c r="I46" s="25"/>
      <c r="J46" s="2"/>
      <c r="K46" s="18"/>
      <c r="L46" s="18"/>
      <c r="M46" s="18"/>
      <c r="N46" s="32"/>
      <c r="O46" s="18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>
      <c r="A47" s="7"/>
      <c r="B47" s="8" t="s">
        <v>132</v>
      </c>
      <c r="C47" s="9">
        <f t="shared" si="1"/>
        <v>10048</v>
      </c>
      <c r="D47" s="10"/>
      <c r="E47" s="31"/>
      <c r="F47" s="2"/>
      <c r="G47" s="2"/>
      <c r="H47" s="2"/>
      <c r="I47" s="25"/>
      <c r="J47" s="2"/>
      <c r="K47" s="18"/>
      <c r="L47" s="18"/>
      <c r="M47" s="18"/>
      <c r="N47" s="32"/>
      <c r="O47" s="18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>
      <c r="A48" s="7"/>
      <c r="B48" s="8" t="s">
        <v>133</v>
      </c>
      <c r="C48" s="9">
        <f t="shared" si="1"/>
        <v>10049</v>
      </c>
      <c r="D48" s="10"/>
      <c r="E48" s="31"/>
      <c r="F48" s="2"/>
      <c r="G48" s="2"/>
      <c r="H48" s="2"/>
      <c r="I48" s="25"/>
      <c r="J48" s="2"/>
      <c r="K48" s="2"/>
      <c r="L48" s="2"/>
      <c r="M48" s="26"/>
      <c r="N48" s="32"/>
      <c r="O48" s="18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>
      <c r="A49" s="7"/>
      <c r="B49" s="8" t="s">
        <v>134</v>
      </c>
      <c r="C49" s="9">
        <f t="shared" si="1"/>
        <v>10050</v>
      </c>
      <c r="D49" s="10"/>
      <c r="E49" s="31"/>
      <c r="F49" s="2"/>
      <c r="G49" s="2"/>
      <c r="H49" s="2"/>
      <c r="I49" s="25"/>
      <c r="J49" s="2"/>
      <c r="K49" s="2"/>
      <c r="L49" s="2"/>
      <c r="M49" s="26"/>
      <c r="N49" s="32"/>
      <c r="O49" s="18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>
      <c r="A50" s="7"/>
      <c r="B50" s="8" t="s">
        <v>135</v>
      </c>
      <c r="C50" s="9">
        <f t="shared" si="1"/>
        <v>10051</v>
      </c>
      <c r="D50" s="10"/>
      <c r="E50" s="31"/>
      <c r="F50" s="2"/>
      <c r="G50" s="2"/>
      <c r="H50" s="2"/>
      <c r="I50" s="25"/>
      <c r="J50" s="2"/>
      <c r="K50" s="2"/>
      <c r="L50" s="2"/>
      <c r="M50" s="26"/>
      <c r="N50" s="32"/>
      <c r="O50" s="18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>
      <c r="A51" s="7"/>
      <c r="B51" s="8" t="s">
        <v>136</v>
      </c>
      <c r="C51" s="9">
        <f t="shared" si="1"/>
        <v>10052</v>
      </c>
      <c r="D51" s="10"/>
      <c r="E51" s="31"/>
      <c r="F51" s="2"/>
      <c r="G51" s="2"/>
      <c r="H51" s="2"/>
      <c r="I51" s="12"/>
      <c r="J51" s="2"/>
      <c r="K51" s="2"/>
      <c r="L51" s="2"/>
      <c r="M51" s="26"/>
      <c r="N51" s="32"/>
      <c r="O51" s="18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>
      <c r="A52" s="7"/>
      <c r="B52" s="8" t="s">
        <v>137</v>
      </c>
      <c r="C52" s="9">
        <f t="shared" si="1"/>
        <v>10053</v>
      </c>
      <c r="D52" s="10"/>
      <c r="E52" s="31"/>
      <c r="F52" s="2"/>
      <c r="G52" s="2"/>
      <c r="H52" s="2"/>
      <c r="I52" s="12"/>
      <c r="J52" s="2"/>
      <c r="K52" s="18"/>
      <c r="L52" s="18"/>
      <c r="M52" s="18"/>
      <c r="N52" s="32"/>
      <c r="O52" s="18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>
      <c r="A53" s="7"/>
      <c r="B53" s="8" t="s">
        <v>138</v>
      </c>
      <c r="C53" s="9">
        <f t="shared" si="1"/>
        <v>10054</v>
      </c>
      <c r="D53" s="10"/>
      <c r="E53" s="31"/>
      <c r="F53" s="2"/>
      <c r="G53" s="2"/>
      <c r="H53" s="2"/>
      <c r="I53" s="12"/>
      <c r="J53" s="2"/>
      <c r="K53" s="18"/>
      <c r="L53" s="18"/>
      <c r="M53" s="18"/>
      <c r="N53" s="32"/>
      <c r="O53" s="18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>
      <c r="A54" s="7"/>
      <c r="B54" s="8" t="s">
        <v>139</v>
      </c>
      <c r="C54" s="9">
        <f t="shared" si="1"/>
        <v>10055</v>
      </c>
      <c r="D54" s="10"/>
      <c r="E54" s="31"/>
      <c r="F54" s="2"/>
      <c r="G54" s="2"/>
      <c r="H54" s="2"/>
      <c r="I54" s="25"/>
      <c r="J54" s="2"/>
      <c r="K54" s="2"/>
      <c r="L54" s="2"/>
      <c r="M54" s="26"/>
      <c r="N54" s="35"/>
      <c r="O54" s="18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>
      <c r="A55" s="7"/>
      <c r="B55" s="8" t="s">
        <v>140</v>
      </c>
      <c r="C55" s="9">
        <f t="shared" si="1"/>
        <v>10056</v>
      </c>
      <c r="D55" s="10"/>
      <c r="E55" s="31"/>
      <c r="F55" s="2"/>
      <c r="G55" s="2"/>
      <c r="H55" s="2"/>
      <c r="I55" s="25"/>
      <c r="J55" s="2"/>
      <c r="K55" s="2"/>
      <c r="L55" s="2"/>
      <c r="M55" s="26"/>
      <c r="N55" s="32"/>
      <c r="O55" s="18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>
      <c r="A56" s="7"/>
      <c r="B56" s="8" t="s">
        <v>141</v>
      </c>
      <c r="C56" s="9">
        <f t="shared" si="1"/>
        <v>10057</v>
      </c>
      <c r="D56" s="10"/>
      <c r="E56" s="31"/>
      <c r="F56" s="2"/>
      <c r="G56" s="2"/>
      <c r="H56" s="2"/>
      <c r="I56" s="25"/>
      <c r="J56" s="2"/>
      <c r="K56" s="18"/>
      <c r="L56" s="18"/>
      <c r="M56" s="18"/>
      <c r="N56" s="32"/>
      <c r="O56" s="18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>
      <c r="A57" s="7"/>
      <c r="B57" s="8" t="s">
        <v>142</v>
      </c>
      <c r="C57" s="9">
        <f t="shared" si="1"/>
        <v>10058</v>
      </c>
      <c r="D57" s="10"/>
      <c r="E57" s="36"/>
      <c r="F57" s="2"/>
      <c r="G57" s="2"/>
      <c r="H57" s="2"/>
      <c r="I57" s="25"/>
      <c r="J57" s="2"/>
      <c r="K57" s="2"/>
      <c r="L57" s="2"/>
      <c r="M57" s="26"/>
      <c r="N57" s="32"/>
      <c r="O57" s="18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>
      <c r="A58" s="7"/>
      <c r="B58" s="8" t="s">
        <v>143</v>
      </c>
      <c r="C58" s="9">
        <f t="shared" si="1"/>
        <v>10059</v>
      </c>
      <c r="D58" s="10"/>
      <c r="E58" s="31"/>
      <c r="F58" s="2"/>
      <c r="G58" s="2"/>
      <c r="H58" s="2"/>
      <c r="I58" s="25"/>
      <c r="J58" s="2"/>
      <c r="K58" s="2"/>
      <c r="L58" s="2"/>
      <c r="M58" s="21"/>
      <c r="N58" s="32"/>
      <c r="O58" s="18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>
      <c r="A59" s="7"/>
      <c r="B59" s="8" t="s">
        <v>144</v>
      </c>
      <c r="C59" s="9">
        <f t="shared" si="1"/>
        <v>10060</v>
      </c>
      <c r="D59" s="10"/>
      <c r="E59" s="31"/>
      <c r="F59" s="2"/>
      <c r="G59" s="2"/>
      <c r="H59" s="2"/>
      <c r="I59" s="25"/>
      <c r="J59" s="2"/>
      <c r="K59" s="2"/>
      <c r="L59" s="2"/>
      <c r="M59" s="26"/>
      <c r="N59" s="32"/>
      <c r="O59" s="18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>
      <c r="A60" s="7"/>
      <c r="B60" s="8" t="s">
        <v>145</v>
      </c>
      <c r="C60" s="9">
        <f t="shared" si="1"/>
        <v>10061</v>
      </c>
      <c r="D60" s="10"/>
      <c r="E60" s="11"/>
      <c r="F60" s="2"/>
      <c r="G60" s="2"/>
      <c r="H60" s="2"/>
      <c r="I60" s="25"/>
      <c r="J60" s="2"/>
      <c r="K60" s="2"/>
      <c r="L60" s="2"/>
      <c r="M60" s="26"/>
      <c r="N60" s="37"/>
      <c r="O60" s="18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>
      <c r="A61" s="7"/>
      <c r="B61" s="8" t="s">
        <v>146</v>
      </c>
      <c r="C61" s="9">
        <f t="shared" si="1"/>
        <v>10062</v>
      </c>
      <c r="D61" s="10"/>
      <c r="E61" s="11"/>
      <c r="F61" s="2"/>
      <c r="G61" s="2"/>
      <c r="H61" s="2"/>
      <c r="I61" s="25"/>
      <c r="J61" s="2"/>
      <c r="K61" s="2"/>
      <c r="L61" s="2"/>
      <c r="M61" s="26"/>
      <c r="N61" s="37"/>
      <c r="O61" s="18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>
      <c r="A62" s="7"/>
      <c r="B62" s="8" t="s">
        <v>147</v>
      </c>
      <c r="C62" s="9">
        <f t="shared" si="1"/>
        <v>10063</v>
      </c>
      <c r="D62" s="10"/>
      <c r="E62" s="11"/>
      <c r="F62" s="2"/>
      <c r="H62" s="2"/>
      <c r="I62" s="38"/>
      <c r="J62" s="2"/>
      <c r="K62" s="38"/>
      <c r="L62" s="38"/>
      <c r="M62" s="26"/>
      <c r="N62" s="32"/>
      <c r="O62" s="18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>
      <c r="A63" s="7"/>
      <c r="B63" s="8" t="s">
        <v>148</v>
      </c>
      <c r="C63" s="9">
        <f t="shared" si="1"/>
        <v>10064</v>
      </c>
      <c r="D63" s="10"/>
      <c r="E63" s="11"/>
      <c r="F63" s="2"/>
      <c r="G63" s="2"/>
      <c r="H63" s="2"/>
      <c r="I63" s="12"/>
      <c r="J63" s="2"/>
      <c r="K63" s="2"/>
      <c r="L63" s="2"/>
      <c r="M63" s="26"/>
      <c r="N63" s="37"/>
      <c r="O63" s="18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>
      <c r="A64" s="7"/>
      <c r="B64" s="8" t="s">
        <v>149</v>
      </c>
      <c r="C64" s="9">
        <f t="shared" si="1"/>
        <v>10065</v>
      </c>
      <c r="D64" s="10"/>
      <c r="E64" s="11"/>
      <c r="F64" s="2"/>
      <c r="G64" s="2"/>
      <c r="H64" s="2"/>
      <c r="I64" s="12"/>
      <c r="J64" s="2"/>
      <c r="K64" s="2"/>
      <c r="L64" s="2"/>
      <c r="M64" s="26"/>
      <c r="N64" s="37"/>
      <c r="O64" s="18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>
      <c r="A65" s="7"/>
      <c r="B65" s="8" t="s">
        <v>150</v>
      </c>
      <c r="C65" s="9">
        <f t="shared" si="1"/>
        <v>10066</v>
      </c>
      <c r="D65" s="10"/>
      <c r="E65" s="11"/>
      <c r="F65" s="2"/>
      <c r="G65" s="2"/>
      <c r="H65" s="2"/>
      <c r="I65" s="25"/>
      <c r="J65" s="2"/>
      <c r="K65" s="2"/>
      <c r="L65" s="2"/>
      <c r="M65" s="26"/>
      <c r="N65" s="37"/>
      <c r="O65" s="18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>
      <c r="A66" s="7"/>
      <c r="B66" s="8" t="s">
        <v>151</v>
      </c>
      <c r="C66" s="9">
        <f t="shared" si="1"/>
        <v>10067</v>
      </c>
      <c r="D66" s="10"/>
      <c r="E66" s="11"/>
      <c r="F66" s="2"/>
      <c r="G66" s="2"/>
      <c r="H66" s="2"/>
      <c r="I66" s="25"/>
      <c r="J66" s="2"/>
      <c r="K66" s="2"/>
      <c r="L66" s="2"/>
      <c r="M66" s="26"/>
      <c r="N66" s="37"/>
      <c r="O66" s="18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>
      <c r="A67" s="7"/>
      <c r="B67" s="8" t="s">
        <v>152</v>
      </c>
      <c r="C67" s="9">
        <f t="shared" si="1"/>
        <v>10068</v>
      </c>
      <c r="D67" s="10"/>
      <c r="E67" s="11"/>
      <c r="F67" s="2"/>
      <c r="G67" s="2"/>
      <c r="H67" s="2"/>
      <c r="I67" s="12"/>
      <c r="J67" s="2"/>
      <c r="K67" s="2"/>
      <c r="L67" s="2"/>
      <c r="M67" s="26"/>
      <c r="N67" s="37"/>
      <c r="O67" s="18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>
      <c r="A68" s="7"/>
      <c r="B68" s="8" t="s">
        <v>153</v>
      </c>
      <c r="C68" s="9">
        <f t="shared" si="1"/>
        <v>10069</v>
      </c>
      <c r="D68" s="10"/>
      <c r="E68" s="11"/>
      <c r="F68" s="2"/>
      <c r="G68" s="2"/>
      <c r="H68" s="2"/>
      <c r="I68" s="12"/>
      <c r="J68" s="2"/>
      <c r="K68" s="2"/>
      <c r="L68" s="2"/>
      <c r="M68" s="26"/>
      <c r="N68" s="37"/>
      <c r="O68" s="18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>
      <c r="A69" s="7"/>
      <c r="B69" s="8" t="s">
        <v>154</v>
      </c>
      <c r="C69" s="9">
        <f t="shared" si="1"/>
        <v>10070</v>
      </c>
      <c r="D69" s="10"/>
      <c r="E69" s="11"/>
      <c r="F69" s="2"/>
      <c r="G69" s="2"/>
      <c r="H69" s="2"/>
      <c r="I69" s="12"/>
      <c r="J69" s="2"/>
      <c r="K69" s="2"/>
      <c r="L69" s="2"/>
      <c r="M69" s="26"/>
      <c r="N69" s="37"/>
      <c r="O69" s="18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>
      <c r="A70" s="7"/>
      <c r="B70" s="8" t="s">
        <v>155</v>
      </c>
      <c r="C70" s="9">
        <f t="shared" si="1"/>
        <v>10071</v>
      </c>
      <c r="D70" s="10"/>
      <c r="E70" s="11"/>
      <c r="F70" s="2"/>
      <c r="G70" s="2"/>
      <c r="H70" s="2"/>
      <c r="I70" s="12"/>
      <c r="J70" s="2"/>
      <c r="K70" s="2"/>
      <c r="L70" s="2"/>
      <c r="M70" s="26"/>
      <c r="N70" s="37"/>
      <c r="O70" s="18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>
      <c r="A71" s="7"/>
      <c r="B71" s="8" t="s">
        <v>156</v>
      </c>
      <c r="C71" s="9">
        <f t="shared" si="1"/>
        <v>10072</v>
      </c>
      <c r="D71" s="10"/>
      <c r="E71" s="11"/>
      <c r="F71" s="2"/>
      <c r="G71" s="2"/>
      <c r="H71" s="2"/>
      <c r="I71" s="25"/>
      <c r="J71" s="2"/>
      <c r="K71" s="2"/>
      <c r="L71" s="2"/>
      <c r="M71" s="26"/>
      <c r="N71" s="37"/>
      <c r="O71" s="18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>
      <c r="A72" s="7"/>
      <c r="B72" s="8" t="s">
        <v>157</v>
      </c>
      <c r="C72" s="9">
        <f t="shared" si="1"/>
        <v>10073</v>
      </c>
      <c r="D72" s="10"/>
      <c r="E72" s="11"/>
      <c r="F72" s="2"/>
      <c r="G72" s="2"/>
      <c r="H72" s="2"/>
      <c r="I72" s="25"/>
      <c r="J72" s="2"/>
      <c r="K72" s="2"/>
      <c r="L72" s="2"/>
      <c r="M72" s="26"/>
      <c r="N72" s="37"/>
      <c r="O72" s="18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>
      <c r="A73" s="7"/>
      <c r="B73" s="8" t="s">
        <v>158</v>
      </c>
      <c r="C73" s="9">
        <f t="shared" si="1"/>
        <v>10074</v>
      </c>
      <c r="D73" s="10"/>
      <c r="E73" s="11"/>
      <c r="F73" s="2"/>
      <c r="G73" s="2"/>
      <c r="H73" s="2"/>
      <c r="I73" s="12"/>
      <c r="J73" s="2"/>
      <c r="K73" s="2"/>
      <c r="L73" s="2"/>
      <c r="M73" s="26"/>
      <c r="N73" s="37"/>
      <c r="O73" s="18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>
      <c r="A74" s="7"/>
      <c r="B74" s="8" t="s">
        <v>159</v>
      </c>
      <c r="C74" s="9">
        <f t="shared" si="1"/>
        <v>10075</v>
      </c>
      <c r="D74" s="10"/>
      <c r="E74" s="31"/>
      <c r="F74" s="2"/>
      <c r="G74" s="2"/>
      <c r="H74" s="2"/>
      <c r="I74" s="12"/>
      <c r="J74" s="2"/>
      <c r="K74" s="2"/>
      <c r="L74" s="2"/>
      <c r="M74" s="26"/>
      <c r="N74" s="32"/>
      <c r="O74" s="18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>
      <c r="A75" s="7"/>
      <c r="B75" s="8" t="s">
        <v>160</v>
      </c>
      <c r="C75" s="9">
        <f t="shared" si="1"/>
        <v>10076</v>
      </c>
      <c r="D75" s="10"/>
      <c r="E75" s="31"/>
      <c r="F75" s="2"/>
      <c r="G75" s="2"/>
      <c r="H75" s="2"/>
      <c r="I75" s="12"/>
      <c r="J75" s="2"/>
      <c r="K75" s="2"/>
      <c r="L75" s="2"/>
      <c r="M75" s="26"/>
      <c r="N75" s="32"/>
      <c r="O75" s="18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>
      <c r="A76" s="7"/>
      <c r="B76" s="8" t="s">
        <v>161</v>
      </c>
      <c r="C76" s="9">
        <f t="shared" si="1"/>
        <v>10077</v>
      </c>
      <c r="D76" s="10"/>
      <c r="E76" s="31"/>
      <c r="F76" s="2"/>
      <c r="G76" s="2"/>
      <c r="H76" s="2"/>
      <c r="I76" s="12"/>
      <c r="J76" s="2"/>
      <c r="K76" s="2"/>
      <c r="L76" s="2"/>
      <c r="M76" s="26"/>
      <c r="N76" s="32"/>
      <c r="O76" s="18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>
      <c r="A77" s="7"/>
      <c r="B77" s="8" t="s">
        <v>162</v>
      </c>
      <c r="C77" s="9">
        <f t="shared" si="1"/>
        <v>10078</v>
      </c>
      <c r="D77" s="10"/>
      <c r="E77" s="31"/>
      <c r="F77" s="2"/>
      <c r="G77" s="2"/>
      <c r="H77" s="2"/>
      <c r="I77" s="12"/>
      <c r="J77" s="2"/>
      <c r="K77" s="2"/>
      <c r="L77" s="2"/>
      <c r="M77" s="26"/>
      <c r="N77" s="32"/>
      <c r="O77" s="18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>
      <c r="A78" s="7"/>
      <c r="B78" s="8" t="s">
        <v>163</v>
      </c>
      <c r="C78" s="9">
        <f t="shared" si="1"/>
        <v>10079</v>
      </c>
      <c r="D78" s="10"/>
      <c r="E78" s="31"/>
      <c r="F78" s="2"/>
      <c r="G78" s="2"/>
      <c r="H78" s="2"/>
      <c r="I78" s="12"/>
      <c r="J78" s="2"/>
      <c r="K78" s="2"/>
      <c r="L78" s="2"/>
      <c r="M78" s="26"/>
      <c r="N78" s="32"/>
      <c r="O78" s="18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>
      <c r="A79" s="7"/>
      <c r="B79" s="8" t="s">
        <v>164</v>
      </c>
      <c r="C79" s="9">
        <f t="shared" si="1"/>
        <v>10080</v>
      </c>
      <c r="D79" s="10"/>
      <c r="E79" s="31"/>
      <c r="F79" s="2"/>
      <c r="G79" s="2"/>
      <c r="H79" s="2"/>
      <c r="I79" s="12"/>
      <c r="J79" s="2"/>
      <c r="K79" s="2"/>
      <c r="L79" s="2"/>
      <c r="M79" s="26"/>
      <c r="N79" s="32"/>
      <c r="O79" s="18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>
      <c r="A80" s="7"/>
      <c r="B80" s="8" t="s">
        <v>165</v>
      </c>
      <c r="C80" s="9">
        <f t="shared" si="1"/>
        <v>10081</v>
      </c>
      <c r="D80" s="10"/>
      <c r="E80" s="31"/>
      <c r="F80" s="2"/>
      <c r="G80" s="2"/>
      <c r="H80" s="2"/>
      <c r="I80" s="12"/>
      <c r="J80" s="2"/>
      <c r="K80" s="2"/>
      <c r="L80" s="2"/>
      <c r="M80" s="26"/>
      <c r="N80" s="32"/>
      <c r="O80" s="18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>
      <c r="A81" s="7"/>
      <c r="B81" s="8" t="s">
        <v>166</v>
      </c>
      <c r="C81" s="9">
        <f t="shared" si="1"/>
        <v>10082</v>
      </c>
      <c r="D81" s="10"/>
      <c r="E81" s="31"/>
      <c r="F81" s="2"/>
      <c r="G81" s="2"/>
      <c r="H81" s="2"/>
      <c r="I81" s="12"/>
      <c r="J81" s="2"/>
      <c r="K81" s="2"/>
      <c r="L81" s="2"/>
      <c r="M81" s="26"/>
      <c r="N81" s="32"/>
      <c r="O81" s="18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>
      <c r="A82" s="7"/>
      <c r="B82" s="8" t="s">
        <v>167</v>
      </c>
      <c r="C82" s="9">
        <f t="shared" si="1"/>
        <v>10083</v>
      </c>
      <c r="D82" s="10"/>
      <c r="E82" s="31"/>
      <c r="F82" s="2"/>
      <c r="G82" s="2"/>
      <c r="H82" s="2"/>
      <c r="I82" s="12"/>
      <c r="J82" s="2"/>
      <c r="K82" s="2"/>
      <c r="L82" s="2"/>
      <c r="M82" s="26"/>
      <c r="N82" s="32"/>
      <c r="O82" s="18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>
      <c r="A83" s="7"/>
      <c r="B83" s="8" t="s">
        <v>168</v>
      </c>
      <c r="C83" s="9">
        <f t="shared" si="1"/>
        <v>10084</v>
      </c>
      <c r="D83" s="10"/>
      <c r="E83" s="31"/>
      <c r="F83" s="2"/>
      <c r="G83" s="2"/>
      <c r="H83" s="2"/>
      <c r="I83" s="12"/>
      <c r="J83" s="2"/>
      <c r="K83" s="2"/>
      <c r="L83" s="2"/>
      <c r="M83" s="26"/>
      <c r="N83" s="32"/>
      <c r="O83" s="18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>
      <c r="A84" s="7"/>
      <c r="B84" s="8" t="s">
        <v>169</v>
      </c>
      <c r="C84" s="9">
        <f t="shared" si="1"/>
        <v>10085</v>
      </c>
      <c r="D84" s="10"/>
      <c r="E84" s="31"/>
      <c r="F84" s="2"/>
      <c r="G84" s="2"/>
      <c r="H84" s="2"/>
      <c r="I84" s="12"/>
      <c r="J84" s="2"/>
      <c r="K84" s="2"/>
      <c r="L84" s="2"/>
      <c r="M84" s="26"/>
      <c r="N84" s="32"/>
      <c r="O84" s="18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>
      <c r="A85" s="7"/>
      <c r="B85" s="8" t="s">
        <v>170</v>
      </c>
      <c r="C85" s="9">
        <f t="shared" si="1"/>
        <v>10086</v>
      </c>
      <c r="D85" s="10"/>
      <c r="E85" s="11"/>
      <c r="F85" s="2"/>
      <c r="G85" s="2"/>
      <c r="H85" s="2"/>
      <c r="I85" s="25"/>
      <c r="J85" s="18"/>
      <c r="K85" s="2"/>
      <c r="L85" s="2"/>
      <c r="M85" s="21"/>
      <c r="N85" s="37"/>
      <c r="O85" s="18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>
      <c r="A86" s="7"/>
      <c r="B86" s="8" t="s">
        <v>171</v>
      </c>
      <c r="C86" s="9">
        <f t="shared" si="1"/>
        <v>10087</v>
      </c>
      <c r="D86" s="10"/>
      <c r="E86" s="11"/>
      <c r="F86" s="2"/>
      <c r="G86" s="2"/>
      <c r="H86" s="2"/>
      <c r="I86" s="25"/>
      <c r="J86" s="18"/>
      <c r="K86" s="2"/>
      <c r="N86" s="18"/>
      <c r="O86" s="18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>
      <c r="A87" s="7"/>
      <c r="B87" s="8" t="s">
        <v>172</v>
      </c>
      <c r="C87" s="9">
        <f t="shared" si="1"/>
        <v>10088</v>
      </c>
      <c r="D87" s="28"/>
      <c r="E87" s="29"/>
      <c r="F87" s="18"/>
      <c r="G87" s="18"/>
      <c r="H87" s="18"/>
      <c r="I87" s="25"/>
      <c r="J87" s="18"/>
      <c r="K87" s="18"/>
      <c r="L87" s="18"/>
      <c r="M87" s="18"/>
      <c r="N87" s="18"/>
      <c r="O87" s="18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>
      <c r="A88" s="7"/>
      <c r="B88" s="8" t="s">
        <v>173</v>
      </c>
      <c r="C88" s="9">
        <f t="shared" si="1"/>
        <v>10089</v>
      </c>
      <c r="D88" s="28"/>
      <c r="E88" s="29"/>
      <c r="F88" s="18"/>
      <c r="G88" s="18"/>
      <c r="H88" s="18"/>
      <c r="I88" s="25"/>
      <c r="J88" s="18"/>
      <c r="K88" s="18"/>
      <c r="L88" s="18"/>
      <c r="M88" s="18"/>
      <c r="N88" s="18"/>
      <c r="O88" s="18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>
      <c r="A89" s="7"/>
      <c r="B89" s="8" t="s">
        <v>174</v>
      </c>
      <c r="C89" s="9">
        <f t="shared" si="1"/>
        <v>10090</v>
      </c>
      <c r="D89" s="28"/>
      <c r="E89" s="29"/>
      <c r="F89" s="18"/>
      <c r="G89" s="18"/>
      <c r="H89" s="18"/>
      <c r="I89" s="25"/>
      <c r="J89" s="18"/>
      <c r="K89" s="18"/>
      <c r="L89" s="18"/>
      <c r="M89" s="18"/>
      <c r="N89" s="18"/>
      <c r="O89" s="18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>
      <c r="A90" s="7"/>
      <c r="B90" s="8" t="s">
        <v>175</v>
      </c>
      <c r="C90" s="9">
        <f t="shared" si="1"/>
        <v>10091</v>
      </c>
      <c r="D90" s="28"/>
      <c r="E90" s="29"/>
      <c r="F90" s="18"/>
      <c r="G90" s="18"/>
      <c r="H90" s="18"/>
      <c r="I90" s="25"/>
      <c r="J90" s="18"/>
      <c r="K90" s="18"/>
      <c r="L90" s="18"/>
      <c r="M90" s="18"/>
      <c r="N90" s="18"/>
      <c r="O90" s="18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>
      <c r="A91" s="7"/>
      <c r="B91" s="8" t="s">
        <v>176</v>
      </c>
      <c r="C91" s="9">
        <f t="shared" si="1"/>
        <v>10092</v>
      </c>
      <c r="D91" s="28"/>
      <c r="E91" s="29"/>
      <c r="F91" s="18"/>
      <c r="G91" s="18"/>
      <c r="H91" s="18"/>
      <c r="I91" s="25"/>
      <c r="J91" s="18"/>
      <c r="K91" s="18"/>
      <c r="L91" s="18"/>
      <c r="M91" s="18"/>
      <c r="N91" s="18"/>
      <c r="O91" s="18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>
      <c r="A92" s="7"/>
      <c r="B92" s="8" t="s">
        <v>177</v>
      </c>
      <c r="C92" s="9">
        <f t="shared" si="1"/>
        <v>10093</v>
      </c>
      <c r="D92" s="28"/>
      <c r="E92" s="29"/>
      <c r="F92" s="18"/>
      <c r="G92" s="18"/>
      <c r="H92" s="18"/>
      <c r="I92" s="25"/>
      <c r="J92" s="18"/>
      <c r="K92" s="18"/>
      <c r="L92" s="18"/>
      <c r="M92" s="18"/>
      <c r="N92" s="18"/>
      <c r="O92" s="18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>
      <c r="A93" s="7"/>
      <c r="B93" s="8" t="s">
        <v>178</v>
      </c>
      <c r="C93" s="9">
        <f t="shared" si="1"/>
        <v>10094</v>
      </c>
      <c r="D93" s="28"/>
      <c r="E93" s="29"/>
      <c r="F93" s="18"/>
      <c r="G93" s="18"/>
      <c r="H93" s="18"/>
      <c r="I93" s="25"/>
      <c r="J93" s="18"/>
      <c r="K93" s="18"/>
      <c r="L93" s="18"/>
      <c r="M93" s="18"/>
      <c r="N93" s="18"/>
      <c r="O93" s="18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>
      <c r="A94" s="7"/>
      <c r="B94" s="8" t="s">
        <v>179</v>
      </c>
      <c r="C94" s="9">
        <f t="shared" si="1"/>
        <v>10095</v>
      </c>
      <c r="D94" s="28"/>
      <c r="E94" s="29"/>
      <c r="F94" s="18"/>
      <c r="G94" s="18"/>
      <c r="H94" s="18"/>
      <c r="I94" s="25"/>
      <c r="J94" s="18"/>
      <c r="K94" s="18"/>
      <c r="L94" s="18"/>
      <c r="M94" s="18"/>
      <c r="N94" s="18"/>
      <c r="O94" s="18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>
      <c r="A95" s="7"/>
      <c r="B95" s="8" t="s">
        <v>180</v>
      </c>
      <c r="C95" s="9">
        <f t="shared" si="1"/>
        <v>10096</v>
      </c>
      <c r="D95" s="28"/>
      <c r="E95" s="29"/>
      <c r="F95" s="18"/>
      <c r="G95" s="18"/>
      <c r="H95" s="18"/>
      <c r="I95" s="25"/>
      <c r="J95" s="18"/>
      <c r="K95" s="18"/>
      <c r="L95" s="18"/>
      <c r="M95" s="18"/>
      <c r="N95" s="18"/>
      <c r="O95" s="18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>
      <c r="A96" s="7"/>
      <c r="B96" s="8" t="s">
        <v>181</v>
      </c>
      <c r="C96" s="9">
        <f t="shared" si="1"/>
        <v>10097</v>
      </c>
      <c r="D96" s="28"/>
      <c r="E96" s="29"/>
      <c r="F96" s="18"/>
      <c r="G96" s="18"/>
      <c r="H96" s="18"/>
      <c r="I96" s="25"/>
      <c r="J96" s="18"/>
      <c r="K96" s="18"/>
      <c r="L96" s="18"/>
      <c r="M96" s="18"/>
      <c r="N96" s="18"/>
      <c r="O96" s="18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>
      <c r="A97" s="7"/>
      <c r="B97" s="8" t="s">
        <v>182</v>
      </c>
      <c r="C97" s="9">
        <f t="shared" si="1"/>
        <v>10098</v>
      </c>
      <c r="D97" s="28"/>
      <c r="E97" s="29"/>
      <c r="F97" s="18"/>
      <c r="G97" s="18"/>
      <c r="H97" s="18"/>
      <c r="I97" s="25"/>
      <c r="J97" s="18"/>
      <c r="K97" s="18"/>
      <c r="L97" s="18"/>
      <c r="M97" s="18"/>
      <c r="N97" s="18"/>
      <c r="O97" s="18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>
      <c r="A98" s="7"/>
      <c r="B98" s="8" t="s">
        <v>183</v>
      </c>
      <c r="C98" s="9">
        <f t="shared" si="1"/>
        <v>10099</v>
      </c>
      <c r="D98" s="28"/>
      <c r="E98" s="29"/>
      <c r="F98" s="18"/>
      <c r="G98" s="18"/>
      <c r="H98" s="18"/>
      <c r="I98" s="25"/>
      <c r="J98" s="18"/>
      <c r="K98" s="18"/>
      <c r="L98" s="18"/>
      <c r="M98" s="18"/>
      <c r="N98" s="18"/>
      <c r="O98" s="18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>
      <c r="A99" s="7"/>
      <c r="B99" s="8" t="s">
        <v>184</v>
      </c>
      <c r="C99" s="9">
        <f t="shared" si="1"/>
        <v>10100</v>
      </c>
      <c r="D99" s="28"/>
      <c r="E99" s="29"/>
      <c r="F99" s="18"/>
      <c r="G99" s="18"/>
      <c r="H99" s="18"/>
      <c r="I99" s="25"/>
      <c r="J99" s="18"/>
      <c r="K99" s="18"/>
      <c r="L99" s="18"/>
      <c r="M99" s="18"/>
      <c r="N99" s="18"/>
      <c r="O99" s="18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>
      <c r="A100" s="7"/>
      <c r="B100" s="8" t="s">
        <v>185</v>
      </c>
      <c r="C100" s="9">
        <f t="shared" si="1"/>
        <v>10101</v>
      </c>
      <c r="D100" s="10"/>
      <c r="E100" s="11"/>
      <c r="F100" s="2"/>
      <c r="G100" s="2"/>
      <c r="H100" s="2"/>
      <c r="I100" s="25"/>
      <c r="J100" s="2"/>
      <c r="K100" s="2"/>
      <c r="L100" s="2"/>
      <c r="M100" s="26"/>
      <c r="N100" s="18"/>
      <c r="O100" s="18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>
      <c r="A101" s="7"/>
      <c r="B101" s="8" t="s">
        <v>186</v>
      </c>
      <c r="C101" s="9">
        <f t="shared" si="1"/>
        <v>10102</v>
      </c>
      <c r="D101" s="10"/>
      <c r="E101" s="11"/>
      <c r="F101" s="2"/>
      <c r="G101" s="2"/>
      <c r="H101" s="2"/>
      <c r="I101" s="12"/>
      <c r="J101" s="2"/>
      <c r="K101" s="2"/>
      <c r="L101" s="2"/>
      <c r="M101" s="26"/>
      <c r="N101" s="18"/>
      <c r="O101" s="18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>
      <c r="A102" s="7"/>
      <c r="B102" s="8" t="s">
        <v>187</v>
      </c>
      <c r="C102" s="9">
        <f t="shared" si="1"/>
        <v>10103</v>
      </c>
      <c r="D102" s="10"/>
      <c r="E102" s="11"/>
      <c r="F102" s="2"/>
      <c r="G102" s="2"/>
      <c r="H102" s="2"/>
      <c r="I102" s="25"/>
      <c r="J102" s="2"/>
      <c r="K102" s="2"/>
      <c r="L102" s="2"/>
      <c r="M102" s="26"/>
      <c r="N102" s="18"/>
      <c r="O102" s="18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>
      <c r="A103" s="7"/>
      <c r="B103" s="8" t="s">
        <v>188</v>
      </c>
      <c r="C103" s="9">
        <f t="shared" si="1"/>
        <v>10104</v>
      </c>
      <c r="D103" s="10"/>
      <c r="E103" s="11"/>
      <c r="F103" s="2"/>
      <c r="G103" s="2"/>
      <c r="H103" s="2"/>
      <c r="I103" s="25"/>
      <c r="J103" s="2"/>
      <c r="K103" s="2"/>
      <c r="L103" s="2"/>
      <c r="M103" s="26"/>
      <c r="N103" s="18"/>
      <c r="O103" s="18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>
      <c r="A104" s="7"/>
      <c r="B104" s="8" t="s">
        <v>189</v>
      </c>
      <c r="C104" s="9">
        <f t="shared" si="1"/>
        <v>10105</v>
      </c>
      <c r="D104" s="10"/>
      <c r="E104" s="11"/>
      <c r="F104" s="2"/>
      <c r="G104" s="2"/>
      <c r="H104" s="2"/>
      <c r="I104" s="12"/>
      <c r="J104" s="2"/>
      <c r="K104" s="2"/>
      <c r="L104" s="2"/>
      <c r="M104" s="21"/>
      <c r="N104" s="2"/>
      <c r="O104" s="18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>
      <c r="A105" s="7"/>
      <c r="B105" s="8" t="s">
        <v>190</v>
      </c>
      <c r="C105" s="9">
        <f t="shared" si="1"/>
        <v>10106</v>
      </c>
      <c r="D105" s="10"/>
      <c r="E105" s="11"/>
      <c r="F105" s="2"/>
      <c r="G105" s="2"/>
      <c r="H105" s="2"/>
      <c r="I105" s="12"/>
      <c r="J105" s="2"/>
      <c r="K105" s="2"/>
      <c r="L105" s="2"/>
      <c r="M105" s="21"/>
      <c r="N105" s="2"/>
      <c r="O105" s="18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>
      <c r="A106" s="7"/>
      <c r="B106" s="8" t="s">
        <v>191</v>
      </c>
      <c r="C106" s="9">
        <f t="shared" si="1"/>
        <v>10107</v>
      </c>
      <c r="D106" s="10"/>
      <c r="E106" s="11"/>
      <c r="F106" s="2"/>
      <c r="G106" s="2"/>
      <c r="H106" s="2"/>
      <c r="I106" s="12"/>
      <c r="J106" s="2"/>
      <c r="K106" s="2"/>
      <c r="L106" s="2"/>
      <c r="M106" s="21"/>
      <c r="N106" s="2"/>
      <c r="O106" s="18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>
      <c r="A107" s="7"/>
      <c r="B107" s="8" t="s">
        <v>192</v>
      </c>
      <c r="C107" s="9">
        <f t="shared" si="1"/>
        <v>10108</v>
      </c>
      <c r="D107" s="10"/>
      <c r="E107" s="11"/>
      <c r="F107" s="2"/>
      <c r="G107" s="2"/>
      <c r="H107" s="2"/>
      <c r="I107" s="12"/>
      <c r="J107" s="2"/>
      <c r="K107" s="2"/>
      <c r="L107" s="2"/>
      <c r="M107" s="26"/>
      <c r="N107" s="2"/>
      <c r="O107" s="18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>
      <c r="A108" s="7"/>
      <c r="B108" s="8" t="s">
        <v>193</v>
      </c>
      <c r="C108" s="9">
        <f t="shared" si="1"/>
        <v>10109</v>
      </c>
      <c r="D108" s="10"/>
      <c r="E108" s="11"/>
      <c r="F108" s="2"/>
      <c r="G108" s="2"/>
      <c r="H108" s="2"/>
      <c r="I108" s="12"/>
      <c r="J108" s="2"/>
      <c r="K108" s="2"/>
      <c r="L108" s="2"/>
      <c r="M108" s="26"/>
      <c r="N108" s="2"/>
      <c r="O108" s="18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>
      <c r="A109" s="7"/>
      <c r="B109" s="8" t="s">
        <v>194</v>
      </c>
      <c r="C109" s="9">
        <f t="shared" si="1"/>
        <v>10110</v>
      </c>
      <c r="D109" s="10"/>
      <c r="E109" s="11"/>
      <c r="F109" s="2"/>
      <c r="G109" s="2"/>
      <c r="H109" s="2"/>
      <c r="I109" s="12"/>
      <c r="J109" s="2"/>
      <c r="K109" s="2"/>
      <c r="L109" s="2"/>
      <c r="M109" s="26"/>
      <c r="N109" s="2"/>
      <c r="O109" s="18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>
      <c r="A110" s="7"/>
      <c r="B110" s="8" t="s">
        <v>195</v>
      </c>
      <c r="C110" s="9">
        <f t="shared" si="1"/>
        <v>10111</v>
      </c>
      <c r="D110" s="10"/>
      <c r="E110" s="11"/>
      <c r="F110" s="2"/>
      <c r="G110" s="2"/>
      <c r="H110" s="2"/>
      <c r="I110" s="12"/>
      <c r="J110" s="2"/>
      <c r="K110" s="2"/>
      <c r="L110" s="2"/>
      <c r="M110" s="26"/>
      <c r="N110" s="2"/>
      <c r="O110" s="18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>
      <c r="A111" s="7"/>
      <c r="B111" s="8" t="s">
        <v>196</v>
      </c>
      <c r="C111" s="9">
        <f t="shared" si="1"/>
        <v>10112</v>
      </c>
      <c r="D111" s="10"/>
      <c r="E111" s="11"/>
      <c r="F111" s="2"/>
      <c r="G111" s="2"/>
      <c r="H111" s="2"/>
      <c r="I111" s="12"/>
      <c r="J111" s="2"/>
      <c r="K111" s="2"/>
      <c r="L111" s="2"/>
      <c r="M111" s="26"/>
      <c r="N111" s="2"/>
      <c r="O111" s="18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>
      <c r="A112" s="7"/>
      <c r="B112" s="8" t="s">
        <v>197</v>
      </c>
      <c r="C112" s="9">
        <f t="shared" si="1"/>
        <v>10113</v>
      </c>
      <c r="D112" s="10"/>
      <c r="E112" s="11"/>
      <c r="F112" s="2"/>
      <c r="G112" s="2"/>
      <c r="H112" s="2"/>
      <c r="I112" s="12"/>
      <c r="J112" s="2"/>
      <c r="K112" s="2"/>
      <c r="L112" s="2"/>
      <c r="M112" s="26"/>
      <c r="N112" s="2"/>
      <c r="O112" s="18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>
      <c r="A113" s="7"/>
      <c r="B113" s="8" t="s">
        <v>198</v>
      </c>
      <c r="C113" s="9">
        <f t="shared" si="1"/>
        <v>10114</v>
      </c>
      <c r="D113" s="28"/>
      <c r="E113" s="11"/>
      <c r="F113" s="2"/>
      <c r="G113" s="2"/>
      <c r="H113" s="2"/>
      <c r="I113" s="12"/>
      <c r="J113" s="2"/>
      <c r="K113" s="2"/>
      <c r="L113" s="2"/>
      <c r="M113" s="26"/>
      <c r="N113" s="2"/>
      <c r="O113" s="18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>
      <c r="A114" s="7"/>
      <c r="B114" s="8" t="s">
        <v>199</v>
      </c>
      <c r="C114" s="9">
        <f t="shared" si="1"/>
        <v>10115</v>
      </c>
      <c r="D114" s="28"/>
      <c r="E114" s="11"/>
      <c r="F114" s="2"/>
      <c r="G114" s="2"/>
      <c r="H114" s="2"/>
      <c r="I114" s="12"/>
      <c r="J114" s="2"/>
      <c r="K114" s="2"/>
      <c r="L114" s="2"/>
      <c r="M114" s="26"/>
      <c r="N114" s="2"/>
      <c r="O114" s="18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>
      <c r="A115" s="7"/>
      <c r="B115" s="8" t="s">
        <v>200</v>
      </c>
      <c r="C115" s="9">
        <f t="shared" si="1"/>
        <v>10116</v>
      </c>
      <c r="D115" s="28"/>
      <c r="E115" s="11"/>
      <c r="F115" s="2"/>
      <c r="G115" s="2"/>
      <c r="H115" s="2"/>
      <c r="I115" s="12"/>
      <c r="J115" s="2"/>
      <c r="K115" s="2"/>
      <c r="L115" s="2"/>
      <c r="M115" s="26"/>
      <c r="N115" s="2"/>
      <c r="O115" s="18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>
      <c r="A116" s="7"/>
      <c r="B116" s="8" t="s">
        <v>201</v>
      </c>
      <c r="C116" s="9">
        <f t="shared" si="1"/>
        <v>10117</v>
      </c>
      <c r="D116" s="28"/>
      <c r="E116" s="11"/>
      <c r="F116" s="2"/>
      <c r="G116" s="2"/>
      <c r="H116" s="2"/>
      <c r="I116" s="12"/>
      <c r="J116" s="2"/>
      <c r="K116" s="2"/>
      <c r="L116" s="2"/>
      <c r="M116" s="26"/>
      <c r="N116" s="2"/>
      <c r="O116" s="18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>
      <c r="A117" s="7"/>
      <c r="B117" s="8" t="s">
        <v>202</v>
      </c>
      <c r="C117" s="9">
        <f t="shared" si="1"/>
        <v>10118</v>
      </c>
      <c r="D117" s="28"/>
      <c r="E117" s="11"/>
      <c r="F117" s="2"/>
      <c r="G117" s="2"/>
      <c r="H117" s="2"/>
      <c r="I117" s="12"/>
      <c r="J117" s="2"/>
      <c r="K117" s="2"/>
      <c r="L117" s="2"/>
      <c r="M117" s="26"/>
      <c r="N117" s="2"/>
      <c r="O117" s="18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>
      <c r="A118" s="7"/>
      <c r="B118" s="8" t="s">
        <v>203</v>
      </c>
      <c r="C118" s="9">
        <f t="shared" si="1"/>
        <v>10119</v>
      </c>
      <c r="D118" s="28"/>
      <c r="E118" s="11"/>
      <c r="F118" s="2"/>
      <c r="G118" s="2"/>
      <c r="H118" s="2"/>
      <c r="I118" s="12"/>
      <c r="J118" s="2"/>
      <c r="K118" s="2"/>
      <c r="L118" s="2"/>
      <c r="M118" s="26"/>
      <c r="N118" s="2"/>
      <c r="O118" s="18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>
      <c r="A119" s="7"/>
      <c r="B119" s="8" t="s">
        <v>204</v>
      </c>
      <c r="C119" s="9">
        <f t="shared" si="1"/>
        <v>10120</v>
      </c>
      <c r="D119" s="28"/>
      <c r="E119" s="11"/>
      <c r="F119" s="2"/>
      <c r="G119" s="2"/>
      <c r="H119" s="2"/>
      <c r="I119" s="12"/>
      <c r="J119" s="2"/>
      <c r="K119" s="2"/>
      <c r="L119" s="2"/>
      <c r="M119" s="26"/>
      <c r="N119" s="2"/>
      <c r="O119" s="18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>
      <c r="A120" s="7"/>
      <c r="B120" s="8" t="s">
        <v>205</v>
      </c>
      <c r="C120" s="9">
        <f t="shared" si="1"/>
        <v>10121</v>
      </c>
      <c r="D120" s="28"/>
      <c r="E120" s="11"/>
      <c r="F120" s="2"/>
      <c r="G120" s="2"/>
      <c r="H120" s="2"/>
      <c r="I120" s="12"/>
      <c r="J120" s="2"/>
      <c r="K120" s="2"/>
      <c r="L120" s="2"/>
      <c r="M120" s="26"/>
      <c r="N120" s="2"/>
      <c r="O120" s="18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>
      <c r="A121" s="7"/>
      <c r="B121" s="8" t="s">
        <v>206</v>
      </c>
      <c r="C121" s="9">
        <f t="shared" si="1"/>
        <v>10122</v>
      </c>
      <c r="D121" s="28"/>
      <c r="E121" s="11"/>
      <c r="F121" s="2"/>
      <c r="G121" s="2"/>
      <c r="H121" s="2"/>
      <c r="I121" s="12"/>
      <c r="J121" s="2"/>
      <c r="K121" s="2"/>
      <c r="L121" s="2"/>
      <c r="M121" s="26"/>
      <c r="N121" s="2"/>
      <c r="O121" s="18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>
      <c r="A122" s="7"/>
      <c r="B122" s="8" t="s">
        <v>207</v>
      </c>
      <c r="C122" s="9">
        <f t="shared" si="1"/>
        <v>10123</v>
      </c>
      <c r="D122" s="28"/>
      <c r="E122" s="11"/>
      <c r="F122" s="2"/>
      <c r="G122" s="2"/>
      <c r="H122" s="2"/>
      <c r="I122" s="12"/>
      <c r="J122" s="2"/>
      <c r="K122" s="2"/>
      <c r="L122" s="2"/>
      <c r="M122" s="26"/>
      <c r="N122" s="2"/>
      <c r="O122" s="18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>
      <c r="A123" s="7"/>
      <c r="B123" s="8" t="s">
        <v>208</v>
      </c>
      <c r="C123" s="9">
        <f t="shared" si="1"/>
        <v>10124</v>
      </c>
      <c r="D123" s="28"/>
      <c r="E123" s="11"/>
      <c r="F123" s="2"/>
      <c r="G123" s="2"/>
      <c r="H123" s="2"/>
      <c r="I123" s="12"/>
      <c r="J123" s="2"/>
      <c r="K123" s="2"/>
      <c r="L123" s="2"/>
      <c r="M123" s="26"/>
      <c r="N123" s="2"/>
      <c r="O123" s="18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>
      <c r="A124" s="7"/>
      <c r="B124" s="8" t="s">
        <v>209</v>
      </c>
      <c r="C124" s="9">
        <f t="shared" si="1"/>
        <v>10125</v>
      </c>
      <c r="D124" s="28"/>
      <c r="E124" s="11"/>
      <c r="F124" s="2"/>
      <c r="G124" s="2"/>
      <c r="H124" s="2"/>
      <c r="I124" s="12"/>
      <c r="J124" s="2"/>
      <c r="K124" s="2"/>
      <c r="L124" s="2"/>
      <c r="M124" s="26"/>
      <c r="N124" s="2"/>
      <c r="O124" s="18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>
      <c r="A125" s="7"/>
      <c r="B125" s="8" t="s">
        <v>210</v>
      </c>
      <c r="C125" s="9">
        <f t="shared" si="1"/>
        <v>10126</v>
      </c>
      <c r="D125" s="28"/>
      <c r="E125" s="11"/>
      <c r="F125" s="2"/>
      <c r="G125" s="2"/>
      <c r="H125" s="2"/>
      <c r="I125" s="12"/>
      <c r="J125" s="2"/>
      <c r="K125" s="2"/>
      <c r="L125" s="2"/>
      <c r="M125" s="26"/>
      <c r="N125" s="2"/>
      <c r="O125" s="18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>
      <c r="A126" s="7"/>
      <c r="B126" s="8" t="s">
        <v>211</v>
      </c>
      <c r="C126" s="9">
        <f t="shared" si="1"/>
        <v>10127</v>
      </c>
      <c r="D126" s="28"/>
      <c r="E126" s="11"/>
      <c r="F126" s="2"/>
      <c r="G126" s="2"/>
      <c r="H126" s="2"/>
      <c r="I126" s="12"/>
      <c r="J126" s="2"/>
      <c r="K126" s="2"/>
      <c r="L126" s="2"/>
      <c r="M126" s="26"/>
      <c r="N126" s="2"/>
      <c r="O126" s="18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>
      <c r="A127" s="7"/>
      <c r="B127" s="8" t="s">
        <v>212</v>
      </c>
      <c r="C127" s="9">
        <f t="shared" si="1"/>
        <v>10128</v>
      </c>
      <c r="D127" s="28"/>
      <c r="E127" s="11"/>
      <c r="F127" s="2"/>
      <c r="G127" s="2"/>
      <c r="H127" s="2"/>
      <c r="I127" s="12"/>
      <c r="J127" s="2"/>
      <c r="K127" s="2"/>
      <c r="L127" s="2"/>
      <c r="M127" s="26"/>
      <c r="N127" s="2"/>
      <c r="O127" s="18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>
      <c r="A128" s="7"/>
      <c r="B128" s="8" t="s">
        <v>213</v>
      </c>
      <c r="C128" s="9">
        <f t="shared" si="1"/>
        <v>10129</v>
      </c>
      <c r="D128" s="28"/>
      <c r="E128" s="11"/>
      <c r="F128" s="2"/>
      <c r="G128" s="2"/>
      <c r="H128" s="2"/>
      <c r="I128" s="12"/>
      <c r="J128" s="2"/>
      <c r="K128" s="2"/>
      <c r="L128" s="2"/>
      <c r="M128" s="26"/>
      <c r="N128" s="2"/>
      <c r="O128" s="18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>
      <c r="A129" s="7"/>
      <c r="B129" s="8" t="s">
        <v>214</v>
      </c>
      <c r="C129" s="9">
        <f t="shared" si="1"/>
        <v>10130</v>
      </c>
      <c r="D129" s="10"/>
      <c r="E129" s="11"/>
      <c r="F129" s="2"/>
      <c r="G129" s="2"/>
      <c r="H129" s="2"/>
      <c r="I129" s="12"/>
      <c r="J129" s="2"/>
      <c r="K129" s="2"/>
      <c r="L129" s="2"/>
      <c r="M129" s="26"/>
      <c r="N129" s="18"/>
      <c r="O129" s="18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>
      <c r="A130" s="7"/>
      <c r="B130" s="8" t="s">
        <v>215</v>
      </c>
      <c r="C130" s="9">
        <f t="shared" si="1"/>
        <v>10131</v>
      </c>
      <c r="D130" s="10"/>
      <c r="E130" s="11"/>
      <c r="F130" s="2"/>
      <c r="G130" s="2"/>
      <c r="H130" s="2"/>
      <c r="I130" s="25"/>
      <c r="J130" s="2"/>
      <c r="K130" s="2"/>
      <c r="L130" s="2"/>
      <c r="M130" s="26"/>
      <c r="N130" s="18"/>
      <c r="O130" s="18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>
      <c r="A131" s="7"/>
      <c r="B131" s="8" t="s">
        <v>216</v>
      </c>
      <c r="C131" s="9">
        <f t="shared" si="1"/>
        <v>10132</v>
      </c>
      <c r="D131" s="28"/>
      <c r="E131" s="29"/>
      <c r="F131" s="18"/>
      <c r="G131" s="18"/>
      <c r="H131" s="18"/>
      <c r="I131" s="25"/>
      <c r="J131" s="18"/>
      <c r="K131" s="18"/>
      <c r="L131" s="18"/>
      <c r="M131" s="18"/>
      <c r="N131" s="18"/>
      <c r="O131" s="18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>
      <c r="A132" s="7"/>
      <c r="B132" s="8" t="s">
        <v>217</v>
      </c>
      <c r="C132" s="9">
        <f t="shared" si="1"/>
        <v>10133</v>
      </c>
      <c r="D132" s="28"/>
      <c r="E132" s="29"/>
      <c r="F132" s="18"/>
      <c r="G132" s="18"/>
      <c r="H132" s="18"/>
      <c r="I132" s="25"/>
      <c r="J132" s="18"/>
      <c r="K132" s="18"/>
      <c r="L132" s="18"/>
      <c r="M132" s="18"/>
      <c r="N132" s="18"/>
      <c r="O132" s="18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>
      <c r="A133" s="7"/>
      <c r="B133" s="8" t="s">
        <v>218</v>
      </c>
      <c r="C133" s="9">
        <f t="shared" si="1"/>
        <v>10134</v>
      </c>
      <c r="D133" s="10"/>
      <c r="E133" s="11"/>
      <c r="F133" s="18"/>
      <c r="G133" s="2"/>
      <c r="H133" s="2"/>
      <c r="I133" s="12"/>
      <c r="J133" s="2"/>
      <c r="K133" s="2"/>
      <c r="L133" s="2"/>
      <c r="M133" s="21"/>
      <c r="N133" s="2"/>
      <c r="O133" s="18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>
      <c r="A134" s="7"/>
      <c r="B134" s="8" t="s">
        <v>219</v>
      </c>
      <c r="C134" s="9">
        <f t="shared" si="1"/>
        <v>10135</v>
      </c>
      <c r="D134" s="10"/>
      <c r="E134" s="11"/>
      <c r="F134" s="18"/>
      <c r="G134" s="2"/>
      <c r="H134" s="2"/>
      <c r="I134" s="12"/>
      <c r="J134" s="2"/>
      <c r="K134" s="2"/>
      <c r="L134" s="2"/>
      <c r="M134" s="41"/>
      <c r="N134" s="2"/>
      <c r="O134" s="18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>
      <c r="A135" s="7"/>
      <c r="B135" s="8" t="s">
        <v>220</v>
      </c>
      <c r="C135" s="9">
        <f t="shared" si="1"/>
        <v>10136</v>
      </c>
      <c r="D135" s="28"/>
      <c r="E135" s="11"/>
      <c r="F135" s="18"/>
      <c r="G135" s="2"/>
      <c r="H135" s="2"/>
      <c r="I135" s="12"/>
      <c r="J135" s="2"/>
      <c r="K135" s="2"/>
      <c r="L135" s="2"/>
      <c r="M135" s="21"/>
      <c r="N135" s="2"/>
      <c r="O135" s="18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>
      <c r="A136" s="7"/>
      <c r="B136" s="8" t="s">
        <v>221</v>
      </c>
      <c r="C136" s="9">
        <f t="shared" si="1"/>
        <v>10137</v>
      </c>
      <c r="D136" s="28"/>
      <c r="E136" s="11"/>
      <c r="F136" s="18"/>
      <c r="G136" s="2"/>
      <c r="H136" s="2"/>
      <c r="I136" s="12"/>
      <c r="J136" s="18"/>
      <c r="K136" s="2"/>
      <c r="L136" s="2"/>
      <c r="M136" s="21"/>
      <c r="N136" s="2"/>
      <c r="O136" s="18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>
      <c r="A137" s="7"/>
      <c r="B137" s="8" t="s">
        <v>222</v>
      </c>
      <c r="C137" s="9">
        <f t="shared" si="1"/>
        <v>10138</v>
      </c>
      <c r="D137" s="28"/>
      <c r="E137" s="11"/>
      <c r="F137" s="18"/>
      <c r="G137" s="2"/>
      <c r="H137" s="2"/>
      <c r="I137" s="12"/>
      <c r="J137" s="2"/>
      <c r="K137" s="2"/>
      <c r="L137" s="2"/>
      <c r="M137" s="21"/>
      <c r="N137" s="2"/>
      <c r="O137" s="18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>
      <c r="A138" s="7"/>
      <c r="B138" s="8" t="s">
        <v>223</v>
      </c>
      <c r="C138" s="9">
        <f t="shared" si="1"/>
        <v>10139</v>
      </c>
      <c r="D138" s="28"/>
      <c r="E138" s="11"/>
      <c r="F138" s="18"/>
      <c r="G138" s="2"/>
      <c r="H138" s="2"/>
      <c r="I138" s="12"/>
      <c r="J138" s="2"/>
      <c r="K138" s="2"/>
      <c r="L138" s="2"/>
      <c r="M138" s="21"/>
      <c r="N138" s="2"/>
      <c r="O138" s="18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>
      <c r="A139" s="7"/>
      <c r="B139" s="8" t="s">
        <v>224</v>
      </c>
      <c r="C139" s="9">
        <f t="shared" si="1"/>
        <v>10140</v>
      </c>
      <c r="D139" s="28"/>
      <c r="E139" s="11"/>
      <c r="F139" s="18"/>
      <c r="G139" s="2"/>
      <c r="H139" s="2"/>
      <c r="I139" s="12"/>
      <c r="J139" s="18"/>
      <c r="K139" s="2"/>
      <c r="L139" s="2"/>
      <c r="M139" s="21"/>
      <c r="N139" s="2"/>
      <c r="O139" s="18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>
      <c r="A140" s="7"/>
      <c r="B140" s="8" t="s">
        <v>225</v>
      </c>
      <c r="C140" s="9">
        <f t="shared" si="1"/>
        <v>10141</v>
      </c>
      <c r="D140" s="28"/>
      <c r="E140" s="11"/>
      <c r="F140" s="18"/>
      <c r="G140" s="2"/>
      <c r="H140" s="2"/>
      <c r="I140" s="12"/>
      <c r="J140" s="2"/>
      <c r="K140" s="2"/>
      <c r="L140" s="2"/>
      <c r="M140" s="21"/>
      <c r="N140" s="2"/>
      <c r="O140" s="18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>
      <c r="A141" s="7"/>
      <c r="B141" s="8" t="s">
        <v>226</v>
      </c>
      <c r="C141" s="9">
        <f t="shared" si="1"/>
        <v>10142</v>
      </c>
      <c r="D141" s="28"/>
      <c r="E141" s="11"/>
      <c r="F141" s="18"/>
      <c r="G141" s="2"/>
      <c r="H141" s="2"/>
      <c r="I141" s="12"/>
      <c r="J141" s="2"/>
      <c r="K141" s="2"/>
      <c r="L141" s="2"/>
      <c r="M141" s="21"/>
      <c r="N141" s="2"/>
      <c r="O141" s="18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>
      <c r="A142" s="7"/>
      <c r="B142" s="8" t="s">
        <v>227</v>
      </c>
      <c r="C142" s="9">
        <f t="shared" si="1"/>
        <v>10143</v>
      </c>
      <c r="D142" s="28"/>
      <c r="E142" s="11"/>
      <c r="F142" s="18"/>
      <c r="G142" s="2"/>
      <c r="H142" s="2"/>
      <c r="I142" s="12"/>
      <c r="J142" s="2"/>
      <c r="K142" s="2"/>
      <c r="L142" s="2"/>
      <c r="M142" s="21"/>
      <c r="N142" s="2"/>
      <c r="O142" s="18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>
      <c r="A143" s="7"/>
      <c r="B143" s="8" t="s">
        <v>228</v>
      </c>
      <c r="C143" s="9">
        <f t="shared" si="1"/>
        <v>10144</v>
      </c>
      <c r="D143" s="28"/>
      <c r="E143" s="11"/>
      <c r="F143" s="18"/>
      <c r="G143" s="2"/>
      <c r="H143" s="2"/>
      <c r="I143" s="12"/>
      <c r="J143" s="2"/>
      <c r="K143" s="2"/>
      <c r="L143" s="2"/>
      <c r="M143" s="21"/>
      <c r="N143" s="2"/>
      <c r="O143" s="18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>
      <c r="A144" s="7"/>
      <c r="B144" s="8" t="s">
        <v>229</v>
      </c>
      <c r="C144" s="9">
        <f t="shared" si="1"/>
        <v>10145</v>
      </c>
      <c r="D144" s="28"/>
      <c r="E144" s="11"/>
      <c r="F144" s="18"/>
      <c r="G144" s="2"/>
      <c r="H144" s="2"/>
      <c r="I144" s="12"/>
      <c r="J144" s="18"/>
      <c r="K144" s="2"/>
      <c r="L144" s="2"/>
      <c r="M144" s="21"/>
      <c r="N144" s="2"/>
      <c r="O144" s="18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>
      <c r="A145" s="7"/>
      <c r="B145" s="8" t="s">
        <v>230</v>
      </c>
      <c r="C145" s="9">
        <f t="shared" si="1"/>
        <v>10146</v>
      </c>
      <c r="D145" s="28"/>
      <c r="E145" s="11"/>
      <c r="F145" s="18"/>
      <c r="G145" s="2"/>
      <c r="H145" s="2"/>
      <c r="I145" s="12"/>
      <c r="J145" s="2"/>
      <c r="K145" s="2"/>
      <c r="L145" s="2"/>
      <c r="M145" s="21"/>
      <c r="N145" s="2"/>
      <c r="O145" s="18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>
      <c r="A146" s="7"/>
      <c r="B146" s="8" t="s">
        <v>231</v>
      </c>
      <c r="C146" s="9">
        <f t="shared" si="1"/>
        <v>10148</v>
      </c>
      <c r="D146" s="28"/>
      <c r="E146" s="11"/>
      <c r="F146" s="18"/>
      <c r="G146" s="2"/>
      <c r="H146" s="2"/>
      <c r="I146" s="12"/>
      <c r="J146" s="2"/>
      <c r="K146" s="2"/>
      <c r="L146" s="2"/>
      <c r="M146" s="21"/>
      <c r="N146" s="12"/>
      <c r="O146" s="18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>
      <c r="A147" s="7"/>
      <c r="B147" s="8" t="s">
        <v>232</v>
      </c>
      <c r="C147" s="9">
        <f t="shared" si="1"/>
        <v>10149</v>
      </c>
      <c r="D147" s="28"/>
      <c r="E147" s="11"/>
      <c r="F147" s="18"/>
      <c r="G147" s="2"/>
      <c r="H147" s="2"/>
      <c r="I147" s="12"/>
      <c r="J147" s="2"/>
      <c r="K147" s="2"/>
      <c r="L147" s="2"/>
      <c r="M147" s="21"/>
      <c r="N147" s="12"/>
      <c r="O147" s="18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>
      <c r="A148" s="7"/>
      <c r="B148" s="8" t="s">
        <v>233</v>
      </c>
      <c r="C148" s="9">
        <f t="shared" si="1"/>
        <v>10150</v>
      </c>
      <c r="D148" s="28"/>
      <c r="E148" s="23"/>
      <c r="F148" s="18"/>
      <c r="G148" s="2"/>
      <c r="H148" s="2"/>
      <c r="I148" s="12"/>
      <c r="J148" s="2"/>
      <c r="K148" s="2"/>
      <c r="L148" s="2"/>
      <c r="M148" s="21"/>
      <c r="N148" s="12"/>
      <c r="O148" s="18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>
      <c r="A149" s="7"/>
      <c r="B149" s="8" t="s">
        <v>234</v>
      </c>
      <c r="C149" s="9">
        <f t="shared" si="1"/>
        <v>10151</v>
      </c>
      <c r="D149" s="28"/>
      <c r="E149" s="11"/>
      <c r="F149" s="18"/>
      <c r="G149" s="2"/>
      <c r="H149" s="2"/>
      <c r="I149" s="12"/>
      <c r="J149" s="2"/>
      <c r="K149" s="2"/>
      <c r="L149" s="2"/>
      <c r="M149" s="21"/>
      <c r="N149" s="12"/>
      <c r="O149" s="18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>
      <c r="A150" s="7"/>
      <c r="B150" s="8" t="s">
        <v>235</v>
      </c>
      <c r="C150" s="9">
        <f t="shared" si="1"/>
        <v>10152</v>
      </c>
      <c r="D150" s="28"/>
      <c r="E150" s="11"/>
      <c r="F150" s="18"/>
      <c r="G150" s="2"/>
      <c r="H150" s="2"/>
      <c r="I150" s="12"/>
      <c r="J150" s="2"/>
      <c r="K150" s="2"/>
      <c r="L150" s="2"/>
      <c r="M150" s="21"/>
      <c r="N150" s="12"/>
      <c r="O150" s="18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>
      <c r="A151" s="7"/>
      <c r="B151" s="8" t="s">
        <v>236</v>
      </c>
      <c r="C151" s="9">
        <f t="shared" si="1"/>
        <v>10153</v>
      </c>
      <c r="D151" s="28"/>
      <c r="E151" s="11"/>
      <c r="F151" s="18"/>
      <c r="G151" s="2"/>
      <c r="H151" s="2"/>
      <c r="I151" s="12"/>
      <c r="J151" s="2"/>
      <c r="K151" s="2"/>
      <c r="L151" s="2"/>
      <c r="M151" s="21"/>
      <c r="N151" s="12"/>
      <c r="O151" s="18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>
      <c r="A152" s="7"/>
      <c r="B152" s="8" t="s">
        <v>237</v>
      </c>
      <c r="C152" s="9">
        <f t="shared" si="1"/>
        <v>10154</v>
      </c>
      <c r="D152" s="28"/>
      <c r="E152" s="11"/>
      <c r="F152" s="18"/>
      <c r="G152" s="2"/>
      <c r="H152" s="2"/>
      <c r="I152" s="12"/>
      <c r="J152" s="2"/>
      <c r="K152" s="2"/>
      <c r="L152" s="2"/>
      <c r="M152" s="21"/>
      <c r="N152" s="12"/>
      <c r="O152" s="18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>
      <c r="A153" s="7"/>
      <c r="B153" s="8" t="s">
        <v>238</v>
      </c>
      <c r="C153" s="9">
        <f t="shared" si="1"/>
        <v>10155</v>
      </c>
      <c r="D153" s="28"/>
      <c r="E153" s="11"/>
      <c r="F153" s="18"/>
      <c r="G153" s="2"/>
      <c r="H153" s="2"/>
      <c r="I153" s="12"/>
      <c r="J153" s="2"/>
      <c r="K153" s="2"/>
      <c r="L153" s="2"/>
      <c r="M153" s="21"/>
      <c r="N153" s="12"/>
      <c r="O153" s="18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>
      <c r="A154" s="7"/>
      <c r="B154" s="8" t="s">
        <v>239</v>
      </c>
      <c r="C154" s="9">
        <f t="shared" si="1"/>
        <v>10156</v>
      </c>
      <c r="D154" s="28"/>
      <c r="E154" s="11"/>
      <c r="F154" s="18"/>
      <c r="G154" s="2"/>
      <c r="H154" s="2"/>
      <c r="I154" s="12"/>
      <c r="J154" s="2"/>
      <c r="K154" s="2"/>
      <c r="L154" s="2"/>
      <c r="M154" s="21"/>
      <c r="N154" s="12"/>
      <c r="O154" s="18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>
      <c r="A155" s="7"/>
      <c r="B155" s="8" t="s">
        <v>240</v>
      </c>
      <c r="C155" s="9">
        <f t="shared" si="1"/>
        <v>10157</v>
      </c>
      <c r="D155" s="28"/>
      <c r="E155" s="11"/>
      <c r="F155" s="18"/>
      <c r="G155" s="2"/>
      <c r="H155" s="2"/>
      <c r="I155" s="12"/>
      <c r="J155" s="2"/>
      <c r="K155" s="2"/>
      <c r="L155" s="2"/>
      <c r="M155" s="21"/>
      <c r="N155" s="12"/>
      <c r="O155" s="18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>
      <c r="A156" s="7"/>
      <c r="B156" s="8" t="s">
        <v>241</v>
      </c>
      <c r="C156" s="9">
        <f t="shared" si="1"/>
        <v>10158</v>
      </c>
      <c r="D156" s="28"/>
      <c r="E156" s="11"/>
      <c r="F156" s="18"/>
      <c r="G156" s="2"/>
      <c r="H156" s="2"/>
      <c r="I156" s="12"/>
      <c r="J156" s="2"/>
      <c r="K156" s="2"/>
      <c r="L156" s="2"/>
      <c r="M156" s="21"/>
      <c r="N156" s="12"/>
      <c r="O156" s="18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>
      <c r="A157" s="7"/>
      <c r="B157" s="8" t="s">
        <v>242</v>
      </c>
      <c r="C157" s="9">
        <f t="shared" si="1"/>
        <v>10159</v>
      </c>
      <c r="D157" s="28"/>
      <c r="E157" s="11"/>
      <c r="F157" s="18"/>
      <c r="G157" s="2"/>
      <c r="H157" s="2"/>
      <c r="I157" s="12"/>
      <c r="J157" s="2"/>
      <c r="K157" s="2"/>
      <c r="L157" s="2"/>
      <c r="M157" s="21"/>
      <c r="N157" s="12"/>
      <c r="O157" s="18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>
      <c r="A158" s="7"/>
      <c r="B158" s="8" t="s">
        <v>243</v>
      </c>
      <c r="C158" s="9">
        <f t="shared" si="1"/>
        <v>10160</v>
      </c>
      <c r="D158" s="28"/>
      <c r="E158" s="11"/>
      <c r="F158" s="18"/>
      <c r="G158" s="2"/>
      <c r="H158" s="2"/>
      <c r="I158" s="12"/>
      <c r="J158" s="2"/>
      <c r="K158" s="2"/>
      <c r="L158" s="2"/>
      <c r="M158" s="21"/>
      <c r="N158" s="12"/>
      <c r="O158" s="18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>
      <c r="A159" s="7"/>
      <c r="B159" s="8" t="s">
        <v>244</v>
      </c>
      <c r="C159" s="9">
        <f t="shared" si="1"/>
        <v>10161</v>
      </c>
      <c r="D159" s="28"/>
      <c r="E159" s="11"/>
      <c r="F159" s="18"/>
      <c r="G159" s="2"/>
      <c r="H159" s="2"/>
      <c r="I159" s="12"/>
      <c r="J159" s="2"/>
      <c r="K159" s="2"/>
      <c r="L159" s="2"/>
      <c r="M159" s="21"/>
      <c r="N159" s="12"/>
      <c r="O159" s="18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>
      <c r="A160" s="7"/>
      <c r="B160" s="8" t="s">
        <v>245</v>
      </c>
      <c r="C160" s="9">
        <f t="shared" si="1"/>
        <v>10162</v>
      </c>
      <c r="D160" s="28"/>
      <c r="E160" s="23"/>
      <c r="F160" s="18"/>
      <c r="G160" s="2"/>
      <c r="H160" s="2"/>
      <c r="I160" s="12"/>
      <c r="J160" s="2"/>
      <c r="K160" s="2"/>
      <c r="L160" s="2"/>
      <c r="M160" s="21"/>
      <c r="N160" s="2"/>
      <c r="O160" s="18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>
      <c r="A161" s="7"/>
      <c r="B161" s="8" t="s">
        <v>246</v>
      </c>
      <c r="C161" s="9">
        <f t="shared" si="1"/>
        <v>10163</v>
      </c>
      <c r="D161" s="28"/>
      <c r="E161" s="11"/>
      <c r="F161" s="18"/>
      <c r="G161" s="2"/>
      <c r="H161" s="2"/>
      <c r="I161" s="12"/>
      <c r="J161" s="2"/>
      <c r="K161" s="2"/>
      <c r="L161" s="2"/>
      <c r="M161" s="21"/>
      <c r="N161" s="2"/>
      <c r="O161" s="18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>
      <c r="A162" s="7"/>
      <c r="B162" s="8" t="s">
        <v>247</v>
      </c>
      <c r="C162" s="9">
        <f t="shared" si="1"/>
        <v>10164</v>
      </c>
      <c r="D162" s="28"/>
      <c r="E162" s="11"/>
      <c r="F162" s="18"/>
      <c r="G162" s="2"/>
      <c r="H162" s="2"/>
      <c r="I162" s="12"/>
      <c r="J162" s="2"/>
      <c r="K162" s="2"/>
      <c r="L162" s="2"/>
      <c r="M162" s="21"/>
      <c r="N162" s="2"/>
      <c r="O162" s="18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>
      <c r="A163" s="7"/>
      <c r="B163" s="8" t="s">
        <v>248</v>
      </c>
      <c r="C163" s="9">
        <f t="shared" si="1"/>
        <v>10165</v>
      </c>
      <c r="D163" s="28"/>
      <c r="E163" s="11"/>
      <c r="F163" s="18"/>
      <c r="G163" s="2"/>
      <c r="H163" s="2"/>
      <c r="I163" s="12"/>
      <c r="J163" s="2"/>
      <c r="K163" s="2"/>
      <c r="L163" s="2"/>
      <c r="M163" s="21"/>
      <c r="N163" s="2"/>
      <c r="O163" s="18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>
      <c r="A164" s="7"/>
      <c r="B164" s="8" t="s">
        <v>249</v>
      </c>
      <c r="C164" s="9">
        <f t="shared" si="1"/>
        <v>10166</v>
      </c>
      <c r="D164" s="28"/>
      <c r="E164" s="11"/>
      <c r="F164" s="18"/>
      <c r="G164" s="2"/>
      <c r="H164" s="2"/>
      <c r="I164" s="12"/>
      <c r="J164" s="2"/>
      <c r="K164" s="2"/>
      <c r="L164" s="2"/>
      <c r="M164" s="21"/>
      <c r="N164" s="2"/>
      <c r="O164" s="18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>
      <c r="A165" s="7"/>
      <c r="B165" s="8" t="s">
        <v>250</v>
      </c>
      <c r="C165" s="9">
        <f t="shared" si="1"/>
        <v>10167</v>
      </c>
      <c r="D165" s="28"/>
      <c r="E165" s="11"/>
      <c r="F165" s="18"/>
      <c r="G165" s="18"/>
      <c r="H165" s="18"/>
      <c r="I165" s="25"/>
      <c r="J165" s="18"/>
      <c r="K165" s="18"/>
      <c r="L165" s="18"/>
      <c r="M165" s="18"/>
      <c r="N165" s="18"/>
      <c r="O165" s="18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>
      <c r="A166" s="7"/>
      <c r="B166" s="8" t="s">
        <v>251</v>
      </c>
      <c r="C166" s="9">
        <f t="shared" si="1"/>
        <v>10168</v>
      </c>
      <c r="D166" s="28"/>
      <c r="E166" s="11"/>
      <c r="F166" s="18"/>
      <c r="G166" s="18"/>
      <c r="H166" s="18"/>
      <c r="I166" s="25"/>
      <c r="J166" s="18"/>
      <c r="K166" s="18"/>
      <c r="L166" s="18"/>
      <c r="M166" s="18"/>
      <c r="N166" s="18"/>
      <c r="O166" s="18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>
      <c r="A167" s="7"/>
      <c r="B167" s="8" t="s">
        <v>252</v>
      </c>
      <c r="C167" s="9">
        <f t="shared" si="1"/>
        <v>10169</v>
      </c>
      <c r="D167" s="10"/>
      <c r="E167" s="11"/>
      <c r="F167" s="2"/>
      <c r="G167" s="2"/>
      <c r="H167" s="2"/>
      <c r="I167" s="12"/>
      <c r="J167" s="2"/>
      <c r="K167" s="2"/>
      <c r="L167" s="2"/>
      <c r="M167" s="26"/>
      <c r="N167" s="18"/>
      <c r="O167" s="18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>
      <c r="A168" s="7"/>
      <c r="B168" s="8" t="s">
        <v>253</v>
      </c>
      <c r="C168" s="9">
        <f t="shared" si="1"/>
        <v>10170</v>
      </c>
      <c r="D168" s="28"/>
      <c r="E168" s="29"/>
      <c r="F168" s="18"/>
      <c r="G168" s="18"/>
      <c r="H168" s="18"/>
      <c r="I168" s="25"/>
      <c r="J168" s="18"/>
      <c r="K168" s="18"/>
      <c r="L168" s="18"/>
      <c r="M168" s="18"/>
      <c r="N168" s="18"/>
      <c r="O168" s="18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>
      <c r="A169" s="7"/>
      <c r="B169" s="8" t="s">
        <v>254</v>
      </c>
      <c r="C169" s="9">
        <f t="shared" si="1"/>
        <v>10171</v>
      </c>
      <c r="D169" s="28"/>
      <c r="E169" s="29"/>
      <c r="F169" s="18"/>
      <c r="G169" s="18"/>
      <c r="H169" s="18"/>
      <c r="I169" s="25"/>
      <c r="J169" s="18"/>
      <c r="K169" s="18"/>
      <c r="L169" s="18"/>
      <c r="M169" s="18"/>
      <c r="N169" s="18"/>
      <c r="O169" s="18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>
      <c r="A170" s="7"/>
      <c r="B170" s="8" t="s">
        <v>255</v>
      </c>
      <c r="C170" s="9">
        <f t="shared" si="1"/>
        <v>10172</v>
      </c>
      <c r="D170" s="28"/>
      <c r="E170" s="29"/>
      <c r="F170" s="18"/>
      <c r="G170" s="18"/>
      <c r="H170" s="18"/>
      <c r="I170" s="25"/>
      <c r="J170" s="18"/>
      <c r="K170" s="18"/>
      <c r="L170" s="18"/>
      <c r="M170" s="18"/>
      <c r="N170" s="18"/>
      <c r="O170" s="18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>
      <c r="A171" s="7"/>
      <c r="B171" s="8" t="s">
        <v>256</v>
      </c>
      <c r="C171" s="9">
        <f t="shared" si="1"/>
        <v>10173</v>
      </c>
      <c r="D171" s="28"/>
      <c r="E171" s="29"/>
      <c r="F171" s="18"/>
      <c r="G171" s="18"/>
      <c r="H171" s="18"/>
      <c r="I171" s="25"/>
      <c r="J171" s="18"/>
      <c r="K171" s="18"/>
      <c r="L171" s="18"/>
      <c r="M171" s="18"/>
      <c r="N171" s="18"/>
      <c r="O171" s="18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>
      <c r="A172" s="7"/>
      <c r="B172" s="8" t="s">
        <v>257</v>
      </c>
      <c r="C172" s="9">
        <f t="shared" si="1"/>
        <v>10174</v>
      </c>
      <c r="D172" s="28"/>
      <c r="E172" s="29"/>
      <c r="F172" s="18"/>
      <c r="G172" s="18"/>
      <c r="H172" s="18"/>
      <c r="I172" s="25"/>
      <c r="J172" s="18"/>
      <c r="K172" s="18"/>
      <c r="L172" s="18"/>
      <c r="M172" s="18"/>
      <c r="N172" s="18"/>
      <c r="O172" s="18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>
      <c r="A173" s="7"/>
      <c r="B173" s="8" t="s">
        <v>258</v>
      </c>
      <c r="C173" s="9">
        <f t="shared" si="1"/>
        <v>10175</v>
      </c>
      <c r="D173" s="28"/>
      <c r="E173" s="29"/>
      <c r="F173" s="18"/>
      <c r="G173" s="18"/>
      <c r="H173" s="18"/>
      <c r="I173" s="25"/>
      <c r="J173" s="18"/>
      <c r="K173" s="18"/>
      <c r="L173" s="18"/>
      <c r="M173" s="18"/>
      <c r="N173" s="18"/>
      <c r="O173" s="18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>
      <c r="A174" s="7"/>
      <c r="B174" s="8" t="s">
        <v>259</v>
      </c>
      <c r="C174" s="9">
        <f t="shared" si="1"/>
        <v>10176</v>
      </c>
      <c r="D174" s="28"/>
      <c r="E174" s="29"/>
      <c r="F174" s="18"/>
      <c r="G174" s="18"/>
      <c r="H174" s="18"/>
      <c r="I174" s="25"/>
      <c r="J174" s="18"/>
      <c r="K174" s="18"/>
      <c r="L174" s="18"/>
      <c r="M174" s="18"/>
      <c r="N174" s="18"/>
      <c r="O174" s="18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>
      <c r="A175" s="7"/>
      <c r="B175" s="8" t="s">
        <v>260</v>
      </c>
      <c r="C175" s="9">
        <f t="shared" si="1"/>
        <v>10177</v>
      </c>
      <c r="D175" s="28"/>
      <c r="E175" s="29"/>
      <c r="F175" s="18"/>
      <c r="G175" s="18"/>
      <c r="H175" s="18"/>
      <c r="I175" s="25"/>
      <c r="J175" s="18"/>
      <c r="K175" s="18"/>
      <c r="L175" s="18"/>
      <c r="M175" s="18"/>
      <c r="N175" s="18"/>
      <c r="O175" s="18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>
      <c r="A176" s="7"/>
      <c r="B176" s="8" t="s">
        <v>261</v>
      </c>
      <c r="C176" s="9">
        <f t="shared" si="1"/>
        <v>10178</v>
      </c>
      <c r="D176" s="28"/>
      <c r="E176" s="29"/>
      <c r="F176" s="18"/>
      <c r="G176" s="18"/>
      <c r="H176" s="18"/>
      <c r="I176" s="25"/>
      <c r="J176" s="18"/>
      <c r="K176" s="18"/>
      <c r="L176" s="18"/>
      <c r="M176" s="18"/>
      <c r="N176" s="18"/>
      <c r="O176" s="18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>
      <c r="A177" s="7"/>
      <c r="B177" s="8" t="s">
        <v>262</v>
      </c>
      <c r="C177" s="9">
        <f t="shared" si="1"/>
        <v>10179</v>
      </c>
      <c r="D177" s="28"/>
      <c r="E177" s="29"/>
      <c r="F177" s="18"/>
      <c r="G177" s="18"/>
      <c r="H177" s="18"/>
      <c r="I177" s="25"/>
      <c r="J177" s="18"/>
      <c r="K177" s="18"/>
      <c r="L177" s="18"/>
      <c r="M177" s="18"/>
      <c r="N177" s="18"/>
      <c r="O177" s="18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>
      <c r="A178" s="7"/>
      <c r="B178" s="8" t="s">
        <v>263</v>
      </c>
      <c r="C178" s="9">
        <f t="shared" si="1"/>
        <v>10180</v>
      </c>
      <c r="D178" s="28"/>
      <c r="E178" s="29"/>
      <c r="F178" s="18"/>
      <c r="G178" s="18"/>
      <c r="H178" s="18"/>
      <c r="I178" s="25"/>
      <c r="J178" s="18"/>
      <c r="K178" s="18"/>
      <c r="L178" s="18"/>
      <c r="M178" s="18"/>
      <c r="N178" s="18"/>
      <c r="O178" s="18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>
      <c r="A179" s="7"/>
      <c r="B179" s="8" t="s">
        <v>264</v>
      </c>
      <c r="C179" s="9">
        <f t="shared" si="1"/>
        <v>10181</v>
      </c>
      <c r="D179" s="28"/>
      <c r="E179" s="29"/>
      <c r="F179" s="18"/>
      <c r="G179" s="18"/>
      <c r="H179" s="18"/>
      <c r="I179" s="25"/>
      <c r="J179" s="18"/>
      <c r="K179" s="18"/>
      <c r="L179" s="18"/>
      <c r="M179" s="18"/>
      <c r="N179" s="18"/>
      <c r="O179" s="18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>
      <c r="A180" s="7"/>
      <c r="B180" s="8" t="s">
        <v>265</v>
      </c>
      <c r="C180" s="9">
        <f t="shared" si="1"/>
        <v>10182</v>
      </c>
      <c r="D180" s="28"/>
      <c r="E180" s="29"/>
      <c r="F180" s="18"/>
      <c r="G180" s="18"/>
      <c r="H180" s="18"/>
      <c r="I180" s="25"/>
      <c r="J180" s="18"/>
      <c r="K180" s="18"/>
      <c r="L180" s="18"/>
      <c r="M180" s="18"/>
      <c r="N180" s="18"/>
      <c r="O180" s="18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>
      <c r="A181" s="7"/>
      <c r="B181" s="8" t="s">
        <v>266</v>
      </c>
      <c r="C181" s="9">
        <f t="shared" si="1"/>
        <v>10183</v>
      </c>
      <c r="D181" s="28"/>
      <c r="E181" s="29"/>
      <c r="F181" s="18"/>
      <c r="G181" s="18"/>
      <c r="H181" s="18"/>
      <c r="I181" s="25"/>
      <c r="J181" s="18"/>
      <c r="K181" s="18"/>
      <c r="L181" s="18"/>
      <c r="M181" s="18"/>
      <c r="N181" s="18"/>
      <c r="O181" s="18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>
      <c r="A182" s="7"/>
      <c r="B182" s="8" t="s">
        <v>267</v>
      </c>
      <c r="C182" s="9">
        <f t="shared" si="1"/>
        <v>10184</v>
      </c>
      <c r="D182" s="28"/>
      <c r="E182" s="29"/>
      <c r="F182" s="18"/>
      <c r="G182" s="18"/>
      <c r="H182" s="18"/>
      <c r="I182" s="25"/>
      <c r="J182" s="18"/>
      <c r="K182" s="18"/>
      <c r="L182" s="18"/>
      <c r="M182" s="18"/>
      <c r="N182" s="18"/>
      <c r="O182" s="18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>
      <c r="A183" s="7"/>
      <c r="B183" s="8" t="s">
        <v>268</v>
      </c>
      <c r="C183" s="9">
        <f t="shared" si="1"/>
        <v>10185</v>
      </c>
      <c r="D183" s="28"/>
      <c r="E183" s="29"/>
      <c r="F183" s="18"/>
      <c r="G183" s="18"/>
      <c r="H183" s="18"/>
      <c r="I183" s="25"/>
      <c r="J183" s="18"/>
      <c r="K183" s="18"/>
      <c r="L183" s="18"/>
      <c r="M183" s="18"/>
      <c r="N183" s="18"/>
      <c r="O183" s="18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>
      <c r="A184" s="7"/>
      <c r="B184" s="8" t="s">
        <v>269</v>
      </c>
      <c r="C184" s="9">
        <f t="shared" si="1"/>
        <v>10186</v>
      </c>
      <c r="D184" s="28"/>
      <c r="E184" s="29"/>
      <c r="F184" s="18"/>
      <c r="G184" s="18"/>
      <c r="H184" s="18"/>
      <c r="I184" s="25"/>
      <c r="J184" s="18"/>
      <c r="K184" s="18"/>
      <c r="L184" s="18"/>
      <c r="M184" s="18"/>
      <c r="N184" s="18"/>
      <c r="O184" s="18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>
      <c r="A185" s="7"/>
      <c r="B185" s="8" t="s">
        <v>270</v>
      </c>
      <c r="C185" s="9">
        <f t="shared" si="1"/>
        <v>10187</v>
      </c>
      <c r="D185" s="28"/>
      <c r="E185" s="29"/>
      <c r="F185" s="18"/>
      <c r="G185" s="18"/>
      <c r="H185" s="18"/>
      <c r="I185" s="25"/>
      <c r="J185" s="18"/>
      <c r="K185" s="18"/>
      <c r="L185" s="18"/>
      <c r="M185" s="18"/>
      <c r="N185" s="18"/>
      <c r="O185" s="18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>
      <c r="A186" s="7"/>
      <c r="B186" s="8" t="s">
        <v>271</v>
      </c>
      <c r="C186" s="9">
        <f t="shared" si="1"/>
        <v>10188</v>
      </c>
      <c r="D186" s="28"/>
      <c r="E186" s="29"/>
      <c r="F186" s="18"/>
      <c r="G186" s="18"/>
      <c r="H186" s="18"/>
      <c r="I186" s="25"/>
      <c r="J186" s="18"/>
      <c r="K186" s="18"/>
      <c r="L186" s="18"/>
      <c r="M186" s="18"/>
      <c r="N186" s="18"/>
      <c r="O186" s="18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>
      <c r="A187" s="7"/>
      <c r="B187" s="8" t="s">
        <v>272</v>
      </c>
      <c r="C187" s="9">
        <f t="shared" si="1"/>
        <v>10189</v>
      </c>
      <c r="D187" s="28"/>
      <c r="E187" s="29"/>
      <c r="F187" s="18"/>
      <c r="G187" s="18"/>
      <c r="H187" s="18"/>
      <c r="I187" s="25"/>
      <c r="J187" s="18"/>
      <c r="K187" s="18"/>
      <c r="L187" s="18"/>
      <c r="M187" s="18"/>
      <c r="N187" s="18"/>
      <c r="O187" s="18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>
      <c r="A188" s="7"/>
      <c r="B188" s="8" t="s">
        <v>273</v>
      </c>
      <c r="C188" s="9">
        <f t="shared" si="1"/>
        <v>10190</v>
      </c>
      <c r="D188" s="28"/>
      <c r="E188" s="29"/>
      <c r="F188" s="18"/>
      <c r="G188" s="18"/>
      <c r="H188" s="18"/>
      <c r="I188" s="25"/>
      <c r="J188" s="18"/>
      <c r="K188" s="18"/>
      <c r="L188" s="18"/>
      <c r="M188" s="18"/>
      <c r="N188" s="18"/>
      <c r="O188" s="18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>
      <c r="A189" s="7"/>
      <c r="B189" s="8" t="s">
        <v>274</v>
      </c>
      <c r="C189" s="9">
        <f t="shared" si="1"/>
        <v>10191</v>
      </c>
      <c r="D189" s="28"/>
      <c r="E189" s="29"/>
      <c r="F189" s="18"/>
      <c r="G189" s="18"/>
      <c r="H189" s="18"/>
      <c r="I189" s="25"/>
      <c r="J189" s="18"/>
      <c r="K189" s="18"/>
      <c r="L189" s="18"/>
      <c r="M189" s="18"/>
      <c r="N189" s="18"/>
      <c r="O189" s="18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>
      <c r="A190" s="7"/>
      <c r="B190" s="8" t="s">
        <v>275</v>
      </c>
      <c r="C190" s="9">
        <f t="shared" si="1"/>
        <v>10192</v>
      </c>
      <c r="D190" s="28"/>
      <c r="E190" s="29"/>
      <c r="F190" s="18"/>
      <c r="G190" s="18"/>
      <c r="H190" s="18"/>
      <c r="I190" s="25"/>
      <c r="J190" s="18"/>
      <c r="K190" s="18"/>
      <c r="L190" s="18"/>
      <c r="M190" s="18"/>
      <c r="N190" s="18"/>
      <c r="O190" s="18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>
      <c r="A191" s="7"/>
      <c r="B191" s="8" t="s">
        <v>276</v>
      </c>
      <c r="C191" s="9">
        <f t="shared" si="1"/>
        <v>10193</v>
      </c>
      <c r="D191" s="28"/>
      <c r="E191" s="29"/>
      <c r="F191" s="18"/>
      <c r="G191" s="18"/>
      <c r="H191" s="18"/>
      <c r="I191" s="25"/>
      <c r="J191" s="18"/>
      <c r="K191" s="18"/>
      <c r="L191" s="18"/>
      <c r="M191" s="18"/>
      <c r="N191" s="18"/>
      <c r="O191" s="18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>
      <c r="A192" s="7"/>
      <c r="B192" s="8" t="s">
        <v>277</v>
      </c>
      <c r="C192" s="9">
        <f t="shared" si="1"/>
        <v>10194</v>
      </c>
      <c r="D192" s="28"/>
      <c r="E192" s="29"/>
      <c r="F192" s="18"/>
      <c r="G192" s="18"/>
      <c r="H192" s="18"/>
      <c r="I192" s="25"/>
      <c r="J192" s="18"/>
      <c r="K192" s="18"/>
      <c r="L192" s="18"/>
      <c r="M192" s="18"/>
      <c r="N192" s="18"/>
      <c r="O192" s="18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>
      <c r="A193" s="7"/>
      <c r="B193" s="8" t="s">
        <v>278</v>
      </c>
      <c r="C193" s="9">
        <f t="shared" si="1"/>
        <v>10195</v>
      </c>
      <c r="D193" s="28"/>
      <c r="E193" s="29"/>
      <c r="F193" s="18"/>
      <c r="G193" s="18"/>
      <c r="H193" s="18"/>
      <c r="I193" s="25"/>
      <c r="J193" s="18"/>
      <c r="K193" s="18"/>
      <c r="L193" s="18"/>
      <c r="M193" s="18"/>
      <c r="N193" s="18"/>
      <c r="O193" s="18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>
      <c r="A194" s="7"/>
      <c r="B194" s="8" t="s">
        <v>279</v>
      </c>
      <c r="C194" s="9">
        <f t="shared" si="1"/>
        <v>10196</v>
      </c>
      <c r="D194" s="28"/>
      <c r="E194" s="29"/>
      <c r="F194" s="18"/>
      <c r="G194" s="18"/>
      <c r="H194" s="18"/>
      <c r="I194" s="25"/>
      <c r="J194" s="18"/>
      <c r="K194" s="18"/>
      <c r="L194" s="18"/>
      <c r="M194" s="18"/>
      <c r="N194" s="18"/>
      <c r="O194" s="18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>
      <c r="A195" s="7"/>
      <c r="B195" s="8" t="s">
        <v>280</v>
      </c>
      <c r="C195" s="9">
        <f t="shared" si="1"/>
        <v>10197</v>
      </c>
      <c r="D195" s="28"/>
      <c r="E195" s="29"/>
      <c r="F195" s="18"/>
      <c r="G195" s="18"/>
      <c r="H195" s="18"/>
      <c r="I195" s="25"/>
      <c r="J195" s="18"/>
      <c r="K195" s="18"/>
      <c r="L195" s="18"/>
      <c r="M195" s="18"/>
      <c r="N195" s="18"/>
      <c r="O195" s="18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>
      <c r="A196" s="7"/>
      <c r="B196" s="8" t="s">
        <v>281</v>
      </c>
      <c r="C196" s="9">
        <f t="shared" si="1"/>
        <v>10198</v>
      </c>
      <c r="D196" s="28"/>
      <c r="E196" s="29"/>
      <c r="F196" s="18"/>
      <c r="G196" s="18"/>
      <c r="H196" s="18"/>
      <c r="I196" s="25"/>
      <c r="J196" s="18"/>
      <c r="K196" s="18"/>
      <c r="L196" s="18"/>
      <c r="M196" s="18"/>
      <c r="N196" s="18"/>
      <c r="O196" s="18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>
      <c r="A197" s="7"/>
      <c r="B197" s="8" t="s">
        <v>282</v>
      </c>
      <c r="C197" s="9">
        <f t="shared" si="1"/>
        <v>10199</v>
      </c>
      <c r="D197" s="28"/>
      <c r="E197" s="29"/>
      <c r="F197" s="18"/>
      <c r="G197" s="18"/>
      <c r="H197" s="18"/>
      <c r="I197" s="25"/>
      <c r="J197" s="18"/>
      <c r="K197" s="18"/>
      <c r="L197" s="18"/>
      <c r="M197" s="18"/>
      <c r="N197" s="18"/>
      <c r="O197" s="18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>
      <c r="A198" s="7"/>
      <c r="B198" s="8" t="s">
        <v>283</v>
      </c>
      <c r="C198" s="9">
        <f t="shared" si="1"/>
        <v>10200</v>
      </c>
      <c r="D198" s="10"/>
      <c r="E198" s="11"/>
      <c r="F198" s="2"/>
      <c r="G198" s="2"/>
      <c r="H198" s="2"/>
      <c r="I198" s="25"/>
      <c r="J198" s="2"/>
      <c r="K198" s="2"/>
      <c r="L198" s="2"/>
      <c r="M198" s="26"/>
      <c r="N198" s="18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>
      <c r="A199" s="7"/>
      <c r="B199" s="8" t="s">
        <v>284</v>
      </c>
      <c r="C199" s="9">
        <f t="shared" si="1"/>
        <v>10201</v>
      </c>
      <c r="D199" s="10"/>
      <c r="E199" s="11"/>
      <c r="F199" s="2"/>
      <c r="G199" s="2"/>
      <c r="H199" s="2"/>
      <c r="I199" s="25"/>
      <c r="J199" s="2"/>
      <c r="K199" s="2"/>
      <c r="L199" s="2"/>
      <c r="M199" s="26"/>
      <c r="N199" s="18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>
      <c r="A200" s="7"/>
      <c r="B200" s="8" t="s">
        <v>285</v>
      </c>
      <c r="C200" s="9">
        <f t="shared" si="1"/>
        <v>10202</v>
      </c>
      <c r="D200" s="10"/>
      <c r="E200" s="11"/>
      <c r="F200" s="2"/>
      <c r="G200" s="2"/>
      <c r="H200" s="2"/>
      <c r="I200" s="25"/>
      <c r="J200" s="2"/>
      <c r="K200" s="2"/>
      <c r="L200" s="2"/>
      <c r="M200" s="26"/>
      <c r="N200" s="18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>
      <c r="A201" s="7"/>
      <c r="B201" s="8" t="s">
        <v>286</v>
      </c>
      <c r="C201" s="9">
        <f t="shared" si="1"/>
        <v>10203</v>
      </c>
      <c r="D201" s="10"/>
      <c r="E201" s="11"/>
      <c r="F201" s="2"/>
      <c r="G201" s="2"/>
      <c r="H201" s="2"/>
      <c r="I201" s="25"/>
      <c r="J201" s="2"/>
      <c r="K201" s="2"/>
      <c r="L201" s="2"/>
      <c r="M201" s="26"/>
      <c r="N201" s="18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>
      <c r="A202" s="7"/>
      <c r="B202" s="8" t="s">
        <v>287</v>
      </c>
      <c r="C202" s="9">
        <f t="shared" si="1"/>
        <v>10204</v>
      </c>
      <c r="D202" s="10"/>
      <c r="E202" s="11"/>
      <c r="F202" s="2"/>
      <c r="G202" s="2"/>
      <c r="H202" s="2"/>
      <c r="I202" s="25"/>
      <c r="J202" s="2"/>
      <c r="K202" s="2"/>
      <c r="L202" s="2"/>
      <c r="M202" s="26"/>
      <c r="N202" s="18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>
      <c r="A203" s="7"/>
      <c r="B203" s="8" t="s">
        <v>288</v>
      </c>
      <c r="C203" s="9">
        <f t="shared" si="1"/>
        <v>10205</v>
      </c>
      <c r="D203" s="10"/>
      <c r="E203" s="11"/>
      <c r="F203" s="2"/>
      <c r="G203" s="2"/>
      <c r="H203" s="2"/>
      <c r="I203" s="25"/>
      <c r="J203" s="2"/>
      <c r="K203" s="2"/>
      <c r="L203" s="2"/>
      <c r="M203" s="26"/>
      <c r="N203" s="18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>
      <c r="A204" s="7"/>
      <c r="B204" s="8" t="s">
        <v>289</v>
      </c>
      <c r="C204" s="9">
        <f t="shared" si="1"/>
        <v>10206</v>
      </c>
      <c r="D204" s="10"/>
      <c r="E204" s="11"/>
      <c r="F204" s="2"/>
      <c r="G204" s="2"/>
      <c r="H204" s="2"/>
      <c r="I204" s="25"/>
      <c r="J204" s="2"/>
      <c r="K204" s="2"/>
      <c r="L204" s="2"/>
      <c r="M204" s="26"/>
      <c r="N204" s="18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>
      <c r="A205" s="7"/>
      <c r="B205" s="8" t="s">
        <v>290</v>
      </c>
      <c r="C205" s="9">
        <f t="shared" si="1"/>
        <v>10207</v>
      </c>
      <c r="D205" s="10"/>
      <c r="E205" s="11"/>
      <c r="F205" s="2"/>
      <c r="G205" s="2"/>
      <c r="H205" s="2"/>
      <c r="I205" s="25"/>
      <c r="J205" s="2"/>
      <c r="K205" s="2"/>
      <c r="L205" s="2"/>
      <c r="M205" s="26"/>
      <c r="N205" s="18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>
      <c r="A206" s="7"/>
      <c r="B206" s="8" t="s">
        <v>291</v>
      </c>
      <c r="C206" s="9">
        <f t="shared" si="1"/>
        <v>10208</v>
      </c>
      <c r="D206" s="28"/>
      <c r="E206" s="29"/>
      <c r="F206" s="18"/>
      <c r="G206" s="18"/>
      <c r="H206" s="18"/>
      <c r="I206" s="25"/>
      <c r="J206" s="18"/>
      <c r="K206" s="18"/>
      <c r="L206" s="18"/>
      <c r="M206" s="18"/>
      <c r="N206" s="18"/>
      <c r="O206" s="18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>
      <c r="A207" s="7"/>
      <c r="B207" s="8" t="s">
        <v>292</v>
      </c>
      <c r="C207" s="9">
        <f t="shared" si="1"/>
        <v>10209</v>
      </c>
      <c r="D207" s="28"/>
      <c r="E207" s="29"/>
      <c r="F207" s="18"/>
      <c r="G207" s="18"/>
      <c r="H207" s="18"/>
      <c r="I207" s="25"/>
      <c r="J207" s="18"/>
      <c r="K207" s="18"/>
      <c r="L207" s="18"/>
      <c r="M207" s="18"/>
      <c r="N207" s="18"/>
      <c r="O207" s="18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>
      <c r="A208" s="7"/>
      <c r="B208" s="8" t="s">
        <v>293</v>
      </c>
      <c r="C208" s="9">
        <f t="shared" si="1"/>
        <v>10210</v>
      </c>
      <c r="D208" s="28"/>
      <c r="E208" s="29"/>
      <c r="F208" s="18"/>
      <c r="G208" s="18"/>
      <c r="H208" s="18"/>
      <c r="I208" s="25"/>
      <c r="J208" s="18"/>
      <c r="K208" s="18"/>
      <c r="L208" s="18"/>
      <c r="M208" s="18"/>
      <c r="N208" s="18"/>
      <c r="O208" s="18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>
      <c r="A209" s="7"/>
      <c r="B209" s="8" t="s">
        <v>294</v>
      </c>
      <c r="C209" s="9">
        <f t="shared" si="1"/>
        <v>10211</v>
      </c>
      <c r="D209" s="28"/>
      <c r="E209" s="29"/>
      <c r="F209" s="18"/>
      <c r="G209" s="18"/>
      <c r="H209" s="18"/>
      <c r="I209" s="25"/>
      <c r="J209" s="18"/>
      <c r="K209" s="18"/>
      <c r="L209" s="18"/>
      <c r="M209" s="18"/>
      <c r="N209" s="18"/>
      <c r="O209" s="18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>
      <c r="A210" s="7"/>
      <c r="B210" s="8" t="s">
        <v>295</v>
      </c>
      <c r="C210" s="9">
        <f t="shared" si="1"/>
        <v>10212</v>
      </c>
      <c r="D210" s="28"/>
      <c r="E210" s="29"/>
      <c r="F210" s="18"/>
      <c r="G210" s="18"/>
      <c r="H210" s="18"/>
      <c r="I210" s="25"/>
      <c r="J210" s="18"/>
      <c r="K210" s="18"/>
      <c r="L210" s="18"/>
      <c r="M210" s="18"/>
      <c r="N210" s="18"/>
      <c r="O210" s="18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>
      <c r="A211" s="7"/>
      <c r="B211" s="8" t="s">
        <v>296</v>
      </c>
      <c r="C211" s="9">
        <f t="shared" si="1"/>
        <v>10213</v>
      </c>
      <c r="D211" s="28"/>
      <c r="E211" s="29"/>
      <c r="F211" s="18"/>
      <c r="G211" s="18"/>
      <c r="H211" s="18"/>
      <c r="I211" s="25"/>
      <c r="J211" s="18"/>
      <c r="K211" s="18"/>
      <c r="L211" s="18"/>
      <c r="M211" s="18"/>
      <c r="N211" s="18"/>
      <c r="O211" s="18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>
      <c r="A212" s="7"/>
      <c r="B212" s="8" t="s">
        <v>297</v>
      </c>
      <c r="C212" s="9">
        <f t="shared" si="1"/>
        <v>10214</v>
      </c>
      <c r="D212" s="28"/>
      <c r="E212" s="29"/>
      <c r="F212" s="18"/>
      <c r="G212" s="18"/>
      <c r="H212" s="18"/>
      <c r="I212" s="25"/>
      <c r="J212" s="18"/>
      <c r="K212" s="18"/>
      <c r="L212" s="18"/>
      <c r="M212" s="18"/>
      <c r="N212" s="18"/>
      <c r="O212" s="18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>
      <c r="A213" s="7"/>
      <c r="B213" s="8" t="s">
        <v>298</v>
      </c>
      <c r="C213" s="9">
        <f t="shared" si="1"/>
        <v>10215</v>
      </c>
      <c r="D213" s="28"/>
      <c r="E213" s="29"/>
      <c r="F213" s="18"/>
      <c r="G213" s="18"/>
      <c r="H213" s="18"/>
      <c r="I213" s="25"/>
      <c r="J213" s="18"/>
      <c r="K213" s="18"/>
      <c r="L213" s="18"/>
      <c r="M213" s="18"/>
      <c r="N213" s="18"/>
      <c r="O213" s="18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>
      <c r="A214" s="7"/>
      <c r="B214" s="8" t="s">
        <v>299</v>
      </c>
      <c r="C214" s="9">
        <f t="shared" si="1"/>
        <v>10216</v>
      </c>
      <c r="D214" s="28"/>
      <c r="E214" s="29"/>
      <c r="F214" s="18"/>
      <c r="G214" s="18"/>
      <c r="H214" s="18"/>
      <c r="I214" s="25"/>
      <c r="J214" s="18"/>
      <c r="K214" s="18"/>
      <c r="L214" s="18"/>
      <c r="M214" s="18"/>
      <c r="N214" s="18"/>
      <c r="O214" s="18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>
      <c r="A215" s="7"/>
      <c r="B215" s="8" t="s">
        <v>300</v>
      </c>
      <c r="C215" s="9">
        <f t="shared" si="1"/>
        <v>10217</v>
      </c>
      <c r="D215" s="28"/>
      <c r="E215" s="29"/>
      <c r="F215" s="18"/>
      <c r="G215" s="18"/>
      <c r="H215" s="18"/>
      <c r="I215" s="25"/>
      <c r="J215" s="18"/>
      <c r="K215" s="18"/>
      <c r="L215" s="18"/>
      <c r="M215" s="18"/>
      <c r="N215" s="18"/>
      <c r="O215" s="18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>
      <c r="A216" s="7"/>
      <c r="B216" s="8" t="s">
        <v>301</v>
      </c>
      <c r="C216" s="9">
        <f t="shared" si="1"/>
        <v>10218</v>
      </c>
      <c r="D216" s="28"/>
      <c r="E216" s="29"/>
      <c r="F216" s="18"/>
      <c r="G216" s="18"/>
      <c r="H216" s="18"/>
      <c r="I216" s="25"/>
      <c r="J216" s="18"/>
      <c r="K216" s="18"/>
      <c r="L216" s="18"/>
      <c r="M216" s="18"/>
      <c r="N216" s="18"/>
      <c r="O216" s="18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>
      <c r="A217" s="7"/>
      <c r="B217" s="8" t="s">
        <v>302</v>
      </c>
      <c r="C217" s="9">
        <f t="shared" si="1"/>
        <v>10219</v>
      </c>
      <c r="D217" s="28"/>
      <c r="E217" s="29"/>
      <c r="F217" s="18"/>
      <c r="G217" s="18"/>
      <c r="H217" s="18"/>
      <c r="I217" s="25"/>
      <c r="J217" s="18"/>
      <c r="K217" s="18"/>
      <c r="L217" s="18"/>
      <c r="M217" s="18"/>
      <c r="N217" s="18"/>
      <c r="O217" s="18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>
      <c r="A218" s="7"/>
      <c r="B218" s="8" t="s">
        <v>303</v>
      </c>
      <c r="C218" s="9">
        <f t="shared" si="1"/>
        <v>10220</v>
      </c>
      <c r="D218" s="28"/>
      <c r="E218" s="29"/>
      <c r="F218" s="18"/>
      <c r="G218" s="18"/>
      <c r="H218" s="18"/>
      <c r="I218" s="25"/>
      <c r="J218" s="18"/>
      <c r="K218" s="18"/>
      <c r="L218" s="18"/>
      <c r="M218" s="18"/>
      <c r="N218" s="18"/>
      <c r="O218" s="18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>
      <c r="A219" s="7"/>
      <c r="B219" s="8" t="s">
        <v>304</v>
      </c>
      <c r="C219" s="9">
        <f t="shared" si="1"/>
        <v>10221</v>
      </c>
      <c r="D219" s="28"/>
      <c r="E219" s="29"/>
      <c r="F219" s="18"/>
      <c r="G219" s="18"/>
      <c r="H219" s="18"/>
      <c r="I219" s="25"/>
      <c r="J219" s="18"/>
      <c r="K219" s="18"/>
      <c r="L219" s="18"/>
      <c r="M219" s="18"/>
      <c r="N219" s="18"/>
      <c r="O219" s="18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>
      <c r="A220" s="7"/>
      <c r="B220" s="8" t="s">
        <v>305</v>
      </c>
      <c r="C220" s="9">
        <f t="shared" si="1"/>
        <v>10222</v>
      </c>
      <c r="D220" s="28"/>
      <c r="E220" s="29"/>
      <c r="F220" s="18"/>
      <c r="G220" s="18"/>
      <c r="H220" s="18"/>
      <c r="I220" s="25"/>
      <c r="J220" s="18"/>
      <c r="K220" s="18"/>
      <c r="L220" s="18"/>
      <c r="M220" s="18"/>
      <c r="N220" s="18"/>
      <c r="O220" s="18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>
      <c r="A221" s="7"/>
      <c r="B221" s="8" t="s">
        <v>306</v>
      </c>
      <c r="C221" s="9">
        <f t="shared" si="1"/>
        <v>10223</v>
      </c>
      <c r="D221" s="28"/>
      <c r="E221" s="29"/>
      <c r="F221" s="18"/>
      <c r="G221" s="18"/>
      <c r="H221" s="18"/>
      <c r="I221" s="25"/>
      <c r="J221" s="18"/>
      <c r="K221" s="18"/>
      <c r="L221" s="18"/>
      <c r="M221" s="18"/>
      <c r="N221" s="18"/>
      <c r="O221" s="18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>
      <c r="A222" s="7"/>
      <c r="B222" s="8" t="s">
        <v>307</v>
      </c>
      <c r="C222" s="9">
        <f t="shared" si="1"/>
        <v>10224</v>
      </c>
      <c r="D222" s="28"/>
      <c r="E222" s="29"/>
      <c r="F222" s="18"/>
      <c r="G222" s="18"/>
      <c r="H222" s="18"/>
      <c r="I222" s="25"/>
      <c r="J222" s="18"/>
      <c r="K222" s="18"/>
      <c r="L222" s="18"/>
      <c r="M222" s="18"/>
      <c r="N222" s="18"/>
      <c r="O222" s="18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>
      <c r="A223" s="7"/>
      <c r="B223" s="8" t="s">
        <v>308</v>
      </c>
      <c r="C223" s="9">
        <f t="shared" si="1"/>
        <v>10225</v>
      </c>
      <c r="D223" s="28"/>
      <c r="E223" s="29"/>
      <c r="F223" s="18"/>
      <c r="G223" s="18"/>
      <c r="H223" s="18"/>
      <c r="I223" s="25"/>
      <c r="J223" s="18"/>
      <c r="K223" s="18"/>
      <c r="L223" s="18"/>
      <c r="M223" s="18"/>
      <c r="N223" s="18"/>
      <c r="O223" s="18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>
      <c r="A224" s="7"/>
      <c r="B224" s="8" t="s">
        <v>309</v>
      </c>
      <c r="C224" s="9">
        <f t="shared" si="1"/>
        <v>10226</v>
      </c>
      <c r="D224" s="28"/>
      <c r="E224" s="29"/>
      <c r="F224" s="18"/>
      <c r="G224" s="18"/>
      <c r="H224" s="18"/>
      <c r="I224" s="25"/>
      <c r="J224" s="18"/>
      <c r="K224" s="18"/>
      <c r="L224" s="18"/>
      <c r="M224" s="18"/>
      <c r="N224" s="18"/>
      <c r="O224" s="18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>
      <c r="A225" s="7"/>
      <c r="B225" s="8" t="s">
        <v>310</v>
      </c>
      <c r="C225" s="9">
        <f t="shared" si="1"/>
        <v>10227</v>
      </c>
      <c r="D225" s="28"/>
      <c r="E225" s="29"/>
      <c r="F225" s="18"/>
      <c r="G225" s="18"/>
      <c r="H225" s="18"/>
      <c r="I225" s="25"/>
      <c r="J225" s="18"/>
      <c r="K225" s="18"/>
      <c r="L225" s="18"/>
      <c r="M225" s="18"/>
      <c r="N225" s="18"/>
      <c r="O225" s="18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>
      <c r="A226" s="7"/>
      <c r="B226" s="8" t="s">
        <v>311</v>
      </c>
      <c r="C226" s="9">
        <f t="shared" si="1"/>
        <v>10228</v>
      </c>
      <c r="D226" s="28"/>
      <c r="E226" s="29"/>
      <c r="F226" s="18"/>
      <c r="G226" s="18"/>
      <c r="H226" s="18"/>
      <c r="I226" s="25"/>
      <c r="J226" s="18"/>
      <c r="K226" s="18"/>
      <c r="L226" s="18"/>
      <c r="M226" s="18"/>
      <c r="N226" s="18"/>
      <c r="O226" s="18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>
      <c r="A227" s="7"/>
      <c r="B227" s="8" t="s">
        <v>312</v>
      </c>
      <c r="C227" s="9">
        <f t="shared" si="1"/>
        <v>10229</v>
      </c>
      <c r="D227" s="28"/>
      <c r="E227" s="29"/>
      <c r="F227" s="18"/>
      <c r="G227" s="18"/>
      <c r="H227" s="18"/>
      <c r="I227" s="25"/>
      <c r="J227" s="18"/>
      <c r="K227" s="18"/>
      <c r="L227" s="18"/>
      <c r="M227" s="18"/>
      <c r="N227" s="18"/>
      <c r="O227" s="18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>
      <c r="A228" s="7"/>
      <c r="B228" s="8" t="s">
        <v>313</v>
      </c>
      <c r="C228" s="9">
        <f t="shared" si="1"/>
        <v>10230</v>
      </c>
      <c r="D228" s="28"/>
      <c r="E228" s="29"/>
      <c r="F228" s="18"/>
      <c r="G228" s="18"/>
      <c r="H228" s="18"/>
      <c r="I228" s="25"/>
      <c r="J228" s="18"/>
      <c r="K228" s="18"/>
      <c r="L228" s="18"/>
      <c r="M228" s="18"/>
      <c r="N228" s="18"/>
      <c r="O228" s="18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>
      <c r="A229" s="7"/>
      <c r="B229" s="8" t="s">
        <v>314</v>
      </c>
      <c r="C229" s="9">
        <f t="shared" si="1"/>
        <v>10231</v>
      </c>
      <c r="D229" s="28"/>
      <c r="E229" s="29"/>
      <c r="F229" s="18"/>
      <c r="G229" s="18"/>
      <c r="H229" s="18"/>
      <c r="I229" s="25"/>
      <c r="J229" s="18"/>
      <c r="K229" s="18"/>
      <c r="L229" s="18"/>
      <c r="M229" s="18"/>
      <c r="N229" s="18"/>
      <c r="O229" s="18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>
      <c r="A230" s="7"/>
      <c r="B230" s="8" t="s">
        <v>315</v>
      </c>
      <c r="C230" s="9">
        <f t="shared" si="1"/>
        <v>10232</v>
      </c>
      <c r="D230" s="28"/>
      <c r="E230" s="29"/>
      <c r="F230" s="18"/>
      <c r="G230" s="18"/>
      <c r="H230" s="18"/>
      <c r="I230" s="25"/>
      <c r="J230" s="18"/>
      <c r="K230" s="18"/>
      <c r="L230" s="18"/>
      <c r="M230" s="18"/>
      <c r="N230" s="18"/>
      <c r="O230" s="18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>
      <c r="A231" s="7"/>
      <c r="B231" s="8" t="s">
        <v>316</v>
      </c>
      <c r="C231" s="9">
        <f t="shared" si="1"/>
        <v>10233</v>
      </c>
      <c r="D231" s="28"/>
      <c r="E231" s="29"/>
      <c r="F231" s="18"/>
      <c r="G231" s="18"/>
      <c r="H231" s="18"/>
      <c r="I231" s="25"/>
      <c r="J231" s="18"/>
      <c r="K231" s="18"/>
      <c r="L231" s="18"/>
      <c r="M231" s="18"/>
      <c r="N231" s="18"/>
      <c r="O231" s="18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>
      <c r="A232" s="7"/>
      <c r="B232" s="8" t="s">
        <v>317</v>
      </c>
      <c r="C232" s="9">
        <f t="shared" si="1"/>
        <v>10234</v>
      </c>
      <c r="D232" s="28"/>
      <c r="E232" s="29"/>
      <c r="F232" s="18"/>
      <c r="G232" s="18"/>
      <c r="H232" s="18"/>
      <c r="I232" s="25"/>
      <c r="J232" s="18"/>
      <c r="K232" s="18"/>
      <c r="L232" s="18"/>
      <c r="M232" s="18"/>
      <c r="N232" s="18"/>
      <c r="O232" s="18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>
      <c r="A233" s="7"/>
      <c r="B233" s="8" t="s">
        <v>318</v>
      </c>
      <c r="C233" s="9">
        <f t="shared" si="1"/>
        <v>10235</v>
      </c>
      <c r="D233" s="28"/>
      <c r="E233" s="29"/>
      <c r="F233" s="18"/>
      <c r="G233" s="18"/>
      <c r="H233" s="18"/>
      <c r="I233" s="25"/>
      <c r="J233" s="18"/>
      <c r="K233" s="18"/>
      <c r="L233" s="18"/>
      <c r="M233" s="18"/>
      <c r="N233" s="18"/>
      <c r="O233" s="18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>
      <c r="A234" s="7"/>
      <c r="B234" s="8" t="s">
        <v>319</v>
      </c>
      <c r="C234" s="9">
        <f t="shared" si="1"/>
        <v>10236</v>
      </c>
      <c r="D234" s="28"/>
      <c r="E234" s="29"/>
      <c r="F234" s="18"/>
      <c r="G234" s="18"/>
      <c r="H234" s="18"/>
      <c r="I234" s="25"/>
      <c r="J234" s="18"/>
      <c r="K234" s="18"/>
      <c r="L234" s="18"/>
      <c r="M234" s="18"/>
      <c r="N234" s="18"/>
      <c r="O234" s="18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>
      <c r="A235" s="7"/>
      <c r="B235" s="8" t="s">
        <v>320</v>
      </c>
      <c r="C235" s="9">
        <f t="shared" si="1"/>
        <v>10237</v>
      </c>
      <c r="D235" s="28"/>
      <c r="E235" s="29"/>
      <c r="F235" s="18"/>
      <c r="G235" s="18"/>
      <c r="H235" s="18"/>
      <c r="I235" s="25"/>
      <c r="J235" s="18"/>
      <c r="K235" s="18"/>
      <c r="L235" s="18"/>
      <c r="M235" s="18"/>
      <c r="N235" s="18"/>
      <c r="O235" s="18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>
      <c r="A236" s="7"/>
      <c r="B236" s="8" t="s">
        <v>321</v>
      </c>
      <c r="C236" s="9">
        <f t="shared" si="1"/>
        <v>10238</v>
      </c>
      <c r="D236" s="28"/>
      <c r="E236" s="29"/>
      <c r="F236" s="18"/>
      <c r="G236" s="18"/>
      <c r="H236" s="18"/>
      <c r="I236" s="25"/>
      <c r="J236" s="18"/>
      <c r="K236" s="18"/>
      <c r="L236" s="18"/>
      <c r="M236" s="18"/>
      <c r="N236" s="18"/>
      <c r="O236" s="18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>
      <c r="A237" s="7"/>
      <c r="B237" s="8" t="s">
        <v>322</v>
      </c>
      <c r="C237" s="9">
        <f t="shared" si="1"/>
        <v>10239</v>
      </c>
      <c r="D237" s="28"/>
      <c r="E237" s="29"/>
      <c r="F237" s="18"/>
      <c r="G237" s="18"/>
      <c r="H237" s="18"/>
      <c r="I237" s="25"/>
      <c r="J237" s="18"/>
      <c r="K237" s="18"/>
      <c r="L237" s="18"/>
      <c r="M237" s="18"/>
      <c r="N237" s="18"/>
      <c r="O237" s="18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>
      <c r="A238" s="7"/>
      <c r="B238" s="8" t="s">
        <v>323</v>
      </c>
      <c r="C238" s="9">
        <f t="shared" si="1"/>
        <v>10240</v>
      </c>
      <c r="D238" s="28"/>
      <c r="E238" s="29"/>
      <c r="F238" s="18"/>
      <c r="G238" s="18"/>
      <c r="H238" s="18"/>
      <c r="I238" s="25"/>
      <c r="J238" s="18"/>
      <c r="K238" s="18"/>
      <c r="L238" s="18"/>
      <c r="M238" s="18"/>
      <c r="N238" s="18"/>
      <c r="O238" s="18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>
      <c r="A239" s="7"/>
      <c r="B239" s="8" t="s">
        <v>324</v>
      </c>
      <c r="C239" s="9">
        <f t="shared" si="1"/>
        <v>10241</v>
      </c>
      <c r="D239" s="28"/>
      <c r="E239" s="29"/>
      <c r="F239" s="18"/>
      <c r="G239" s="18"/>
      <c r="H239" s="18"/>
      <c r="I239" s="25"/>
      <c r="J239" s="18"/>
      <c r="K239" s="18"/>
      <c r="L239" s="18"/>
      <c r="M239" s="18"/>
      <c r="N239" s="18"/>
      <c r="O239" s="18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>
      <c r="A240" s="7"/>
      <c r="B240" s="8" t="s">
        <v>325</v>
      </c>
      <c r="C240" s="9">
        <f t="shared" si="1"/>
        <v>10242</v>
      </c>
      <c r="D240" s="28"/>
      <c r="E240" s="29"/>
      <c r="F240" s="18"/>
      <c r="G240" s="18"/>
      <c r="H240" s="18"/>
      <c r="I240" s="25"/>
      <c r="J240" s="18"/>
      <c r="K240" s="18"/>
      <c r="L240" s="18"/>
      <c r="M240" s="18"/>
      <c r="N240" s="18"/>
      <c r="O240" s="18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>
      <c r="A241" s="7"/>
      <c r="B241" s="8" t="s">
        <v>326</v>
      </c>
      <c r="C241" s="9">
        <f t="shared" si="1"/>
        <v>10243</v>
      </c>
      <c r="D241" s="28"/>
      <c r="E241" s="29"/>
      <c r="F241" s="18"/>
      <c r="G241" s="18"/>
      <c r="H241" s="18"/>
      <c r="I241" s="25"/>
      <c r="J241" s="18"/>
      <c r="K241" s="18"/>
      <c r="L241" s="18"/>
      <c r="M241" s="18"/>
      <c r="N241" s="18"/>
      <c r="O241" s="18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>
      <c r="A242" s="7"/>
      <c r="B242" s="8" t="s">
        <v>327</v>
      </c>
      <c r="C242" s="9">
        <f t="shared" si="1"/>
        <v>10244</v>
      </c>
      <c r="D242" s="28"/>
      <c r="E242" s="29"/>
      <c r="F242" s="18"/>
      <c r="G242" s="18"/>
      <c r="H242" s="18"/>
      <c r="I242" s="25"/>
      <c r="J242" s="18"/>
      <c r="K242" s="18"/>
      <c r="L242" s="18"/>
      <c r="M242" s="18"/>
      <c r="N242" s="18"/>
      <c r="O242" s="18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>
      <c r="A243" s="7"/>
      <c r="B243" s="8" t="s">
        <v>328</v>
      </c>
      <c r="C243" s="9">
        <f t="shared" si="1"/>
        <v>10245</v>
      </c>
      <c r="D243" s="28"/>
      <c r="E243" s="29"/>
      <c r="F243" s="18"/>
      <c r="G243" s="18"/>
      <c r="H243" s="18"/>
      <c r="I243" s="25"/>
      <c r="J243" s="18"/>
      <c r="K243" s="18"/>
      <c r="L243" s="18"/>
      <c r="M243" s="18"/>
      <c r="N243" s="18"/>
      <c r="O243" s="18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>
      <c r="A244" s="7"/>
      <c r="B244" s="8" t="s">
        <v>329</v>
      </c>
      <c r="C244" s="9">
        <f t="shared" si="1"/>
        <v>10246</v>
      </c>
      <c r="D244" s="28"/>
      <c r="E244" s="29"/>
      <c r="F244" s="18"/>
      <c r="G244" s="18"/>
      <c r="H244" s="18"/>
      <c r="I244" s="25"/>
      <c r="J244" s="18"/>
      <c r="K244" s="18"/>
      <c r="L244" s="18"/>
      <c r="M244" s="18"/>
      <c r="N244" s="18"/>
      <c r="O244" s="18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>
      <c r="A245" s="7"/>
      <c r="B245" s="8" t="s">
        <v>330</v>
      </c>
      <c r="C245" s="9">
        <f t="shared" si="1"/>
        <v>10247</v>
      </c>
      <c r="D245" s="28"/>
      <c r="E245" s="29"/>
      <c r="F245" s="18"/>
      <c r="G245" s="18"/>
      <c r="H245" s="18"/>
      <c r="I245" s="25"/>
      <c r="J245" s="18"/>
      <c r="K245" s="18"/>
      <c r="L245" s="18"/>
      <c r="M245" s="18"/>
      <c r="N245" s="18"/>
      <c r="O245" s="18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>
      <c r="A246" s="7"/>
      <c r="B246" s="8" t="s">
        <v>331</v>
      </c>
      <c r="C246" s="9">
        <f t="shared" si="1"/>
        <v>10248</v>
      </c>
      <c r="D246" s="28"/>
      <c r="E246" s="29"/>
      <c r="F246" s="18"/>
      <c r="G246" s="18"/>
      <c r="H246" s="18"/>
      <c r="I246" s="25"/>
      <c r="J246" s="18"/>
      <c r="K246" s="18"/>
      <c r="L246" s="18"/>
      <c r="M246" s="18"/>
      <c r="N246" s="18"/>
      <c r="O246" s="18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>
      <c r="A247" s="7"/>
      <c r="B247" s="8" t="s">
        <v>332</v>
      </c>
      <c r="C247" s="9">
        <f t="shared" si="1"/>
        <v>10249</v>
      </c>
      <c r="D247" s="28"/>
      <c r="E247" s="29"/>
      <c r="F247" s="18"/>
      <c r="G247" s="18"/>
      <c r="H247" s="18"/>
      <c r="I247" s="25"/>
      <c r="J247" s="18"/>
      <c r="K247" s="18"/>
      <c r="L247" s="18"/>
      <c r="M247" s="18"/>
      <c r="N247" s="18"/>
      <c r="O247" s="18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>
      <c r="A248" s="7"/>
      <c r="B248" s="8" t="s">
        <v>333</v>
      </c>
      <c r="C248" s="9">
        <f t="shared" si="1"/>
        <v>10250</v>
      </c>
      <c r="D248" s="28"/>
      <c r="E248" s="29"/>
      <c r="F248" s="18"/>
      <c r="G248" s="18"/>
      <c r="H248" s="18"/>
      <c r="I248" s="25"/>
      <c r="J248" s="18"/>
      <c r="K248" s="18"/>
      <c r="L248" s="18"/>
      <c r="M248" s="18"/>
      <c r="N248" s="18"/>
      <c r="O248" s="18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>
      <c r="A249" s="1"/>
      <c r="B249" s="1"/>
      <c r="C249" s="18"/>
      <c r="D249" s="47"/>
      <c r="E249" s="18"/>
      <c r="F249" s="18"/>
      <c r="G249" s="18"/>
      <c r="H249" s="18"/>
      <c r="I249" s="25"/>
      <c r="J249" s="18"/>
      <c r="K249" s="18"/>
      <c r="L249" s="18"/>
      <c r="M249" s="18"/>
      <c r="N249" s="18"/>
      <c r="O249" s="18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>
      <c r="A250" s="1"/>
      <c r="B250" s="1"/>
      <c r="C250" s="18"/>
      <c r="D250" s="47"/>
      <c r="E250" s="18"/>
      <c r="F250" s="18"/>
      <c r="G250" s="18"/>
      <c r="H250" s="18"/>
      <c r="I250" s="25"/>
      <c r="J250" s="18"/>
      <c r="K250" s="18"/>
      <c r="L250" s="18"/>
      <c r="M250" s="18"/>
      <c r="N250" s="18"/>
      <c r="O250" s="18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>
      <c r="A251" s="1"/>
      <c r="B251" s="1"/>
      <c r="C251" s="18"/>
      <c r="D251" s="47"/>
      <c r="E251" s="18"/>
      <c r="F251" s="18"/>
      <c r="G251" s="18"/>
      <c r="H251" s="18"/>
      <c r="I251" s="25"/>
      <c r="J251" s="18"/>
      <c r="K251" s="18"/>
      <c r="L251" s="18"/>
      <c r="M251" s="18"/>
      <c r="N251" s="18"/>
      <c r="O251" s="18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>
      <c r="A252" s="1"/>
      <c r="B252" s="1"/>
      <c r="C252" s="18"/>
      <c r="D252" s="47"/>
      <c r="E252" s="18"/>
      <c r="F252" s="18"/>
      <c r="G252" s="18"/>
      <c r="H252" s="18"/>
      <c r="I252" s="25"/>
      <c r="J252" s="18"/>
      <c r="K252" s="18"/>
      <c r="L252" s="18"/>
      <c r="M252" s="18"/>
      <c r="N252" s="18"/>
      <c r="O252" s="18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>
      <c r="A253" s="1"/>
      <c r="B253" s="1"/>
      <c r="C253" s="18"/>
      <c r="D253" s="47"/>
      <c r="E253" s="18"/>
      <c r="F253" s="18"/>
      <c r="G253" s="18"/>
      <c r="H253" s="18"/>
      <c r="I253" s="25"/>
      <c r="J253" s="18"/>
      <c r="K253" s="18"/>
      <c r="L253" s="18"/>
      <c r="M253" s="18"/>
      <c r="N253" s="18"/>
      <c r="O253" s="18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>
      <c r="A254" s="1"/>
      <c r="B254" s="1"/>
      <c r="C254" s="18"/>
      <c r="D254" s="47"/>
      <c r="E254" s="18"/>
      <c r="F254" s="18"/>
      <c r="G254" s="18"/>
      <c r="H254" s="18"/>
      <c r="I254" s="25"/>
      <c r="J254" s="18"/>
      <c r="K254" s="18"/>
      <c r="L254" s="18"/>
      <c r="M254" s="18"/>
      <c r="N254" s="18"/>
      <c r="O254" s="18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>
      <c r="A255" s="1"/>
      <c r="B255" s="1"/>
      <c r="C255" s="18"/>
      <c r="D255" s="47"/>
      <c r="E255" s="18"/>
      <c r="F255" s="18"/>
      <c r="G255" s="18"/>
      <c r="H255" s="18"/>
      <c r="I255" s="25"/>
      <c r="J255" s="18"/>
      <c r="K255" s="18"/>
      <c r="L255" s="18"/>
      <c r="M255" s="18"/>
      <c r="N255" s="18"/>
      <c r="O255" s="18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>
      <c r="A256" s="1"/>
      <c r="B256" s="1"/>
      <c r="C256" s="18"/>
      <c r="D256" s="47"/>
      <c r="E256" s="18"/>
      <c r="F256" s="18"/>
      <c r="G256" s="18"/>
      <c r="H256" s="18"/>
      <c r="I256" s="25"/>
      <c r="J256" s="18"/>
      <c r="K256" s="18"/>
      <c r="L256" s="18"/>
      <c r="M256" s="18"/>
      <c r="N256" s="18"/>
      <c r="O256" s="18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>
      <c r="A257" s="1"/>
      <c r="B257" s="1"/>
      <c r="C257" s="18"/>
      <c r="D257" s="47"/>
      <c r="E257" s="18"/>
      <c r="F257" s="18"/>
      <c r="G257" s="18"/>
      <c r="H257" s="18"/>
      <c r="I257" s="25"/>
      <c r="J257" s="18"/>
      <c r="K257" s="18"/>
      <c r="L257" s="18"/>
      <c r="M257" s="18"/>
      <c r="N257" s="18"/>
      <c r="O257" s="18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>
      <c r="A258" s="1"/>
      <c r="B258" s="1"/>
      <c r="C258" s="18"/>
      <c r="D258" s="47"/>
      <c r="E258" s="18"/>
      <c r="F258" s="18"/>
      <c r="G258" s="18"/>
      <c r="H258" s="18"/>
      <c r="I258" s="25"/>
      <c r="J258" s="18"/>
      <c r="K258" s="18"/>
      <c r="L258" s="18"/>
      <c r="M258" s="18"/>
      <c r="N258" s="18"/>
      <c r="O258" s="18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>
      <c r="A259" s="1"/>
      <c r="B259" s="1"/>
      <c r="C259" s="18"/>
      <c r="D259" s="47"/>
      <c r="E259" s="18"/>
      <c r="F259" s="18"/>
      <c r="G259" s="18"/>
      <c r="H259" s="18"/>
      <c r="I259" s="25"/>
      <c r="J259" s="18"/>
      <c r="K259" s="18"/>
      <c r="L259" s="18"/>
      <c r="M259" s="18"/>
      <c r="N259" s="18"/>
      <c r="O259" s="18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>
      <c r="A260" s="1"/>
      <c r="B260" s="1"/>
      <c r="C260" s="18"/>
      <c r="D260" s="47"/>
      <c r="E260" s="18"/>
      <c r="F260" s="18"/>
      <c r="G260" s="18"/>
      <c r="H260" s="18"/>
      <c r="I260" s="25"/>
      <c r="J260" s="18"/>
      <c r="K260" s="18"/>
      <c r="L260" s="18"/>
      <c r="M260" s="18"/>
      <c r="N260" s="18"/>
      <c r="O260" s="18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>
      <c r="A261" s="1"/>
      <c r="B261" s="1"/>
      <c r="C261" s="18"/>
      <c r="D261" s="47"/>
      <c r="E261" s="18"/>
      <c r="F261" s="18"/>
      <c r="G261" s="18"/>
      <c r="H261" s="18"/>
      <c r="I261" s="25"/>
      <c r="J261" s="18"/>
      <c r="K261" s="18"/>
      <c r="L261" s="18"/>
      <c r="M261" s="18"/>
      <c r="N261" s="18"/>
      <c r="O261" s="18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>
      <c r="A262" s="1"/>
      <c r="B262" s="1"/>
      <c r="C262" s="18"/>
      <c r="D262" s="47"/>
      <c r="E262" s="18"/>
      <c r="F262" s="18"/>
      <c r="G262" s="18"/>
      <c r="H262" s="18"/>
      <c r="I262" s="25"/>
      <c r="J262" s="18"/>
      <c r="K262" s="18"/>
      <c r="L262" s="18"/>
      <c r="M262" s="18"/>
      <c r="N262" s="18"/>
      <c r="O262" s="18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>
      <c r="A263" s="1"/>
      <c r="B263" s="1"/>
      <c r="C263" s="18"/>
      <c r="D263" s="47"/>
      <c r="E263" s="18"/>
      <c r="F263" s="18"/>
      <c r="G263" s="18"/>
      <c r="H263" s="18"/>
      <c r="I263" s="25"/>
      <c r="J263" s="18"/>
      <c r="K263" s="18"/>
      <c r="L263" s="18"/>
      <c r="M263" s="18"/>
      <c r="N263" s="18"/>
      <c r="O263" s="18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>
      <c r="A264" s="1"/>
      <c r="B264" s="1"/>
      <c r="C264" s="18"/>
      <c r="D264" s="47"/>
      <c r="E264" s="18"/>
      <c r="F264" s="18"/>
      <c r="G264" s="18"/>
      <c r="H264" s="18"/>
      <c r="I264" s="25"/>
      <c r="J264" s="18"/>
      <c r="K264" s="18"/>
      <c r="L264" s="18"/>
      <c r="M264" s="18"/>
      <c r="N264" s="18"/>
      <c r="O264" s="18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>
      <c r="A265" s="1"/>
      <c r="B265" s="1"/>
      <c r="C265" s="18"/>
      <c r="D265" s="47"/>
      <c r="E265" s="18"/>
      <c r="F265" s="18"/>
      <c r="G265" s="18"/>
      <c r="H265" s="18"/>
      <c r="I265" s="25"/>
      <c r="J265" s="18"/>
      <c r="K265" s="18"/>
      <c r="L265" s="18"/>
      <c r="M265" s="18"/>
      <c r="N265" s="18"/>
      <c r="O265" s="18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>
      <c r="A266" s="1"/>
      <c r="B266" s="1"/>
      <c r="C266" s="18"/>
      <c r="D266" s="47"/>
      <c r="E266" s="18"/>
      <c r="F266" s="18"/>
      <c r="G266" s="18"/>
      <c r="H266" s="18"/>
      <c r="I266" s="25"/>
      <c r="J266" s="18"/>
      <c r="K266" s="18"/>
      <c r="L266" s="18"/>
      <c r="M266" s="18"/>
      <c r="N266" s="18"/>
      <c r="O266" s="18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>
      <c r="A267" s="1"/>
      <c r="B267" s="1"/>
      <c r="C267" s="18"/>
      <c r="D267" s="47"/>
      <c r="E267" s="18"/>
      <c r="F267" s="18"/>
      <c r="G267" s="18"/>
      <c r="H267" s="18"/>
      <c r="I267" s="25"/>
      <c r="J267" s="18"/>
      <c r="K267" s="18"/>
      <c r="L267" s="18"/>
      <c r="M267" s="18"/>
      <c r="N267" s="18"/>
      <c r="O267" s="18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>
      <c r="A268" s="1"/>
      <c r="B268" s="1"/>
      <c r="C268" s="18"/>
      <c r="D268" s="47"/>
      <c r="E268" s="18"/>
      <c r="F268" s="18"/>
      <c r="G268" s="18"/>
      <c r="H268" s="18"/>
      <c r="I268" s="25"/>
      <c r="J268" s="18"/>
      <c r="K268" s="18"/>
      <c r="L268" s="18"/>
      <c r="M268" s="18"/>
      <c r="N268" s="18"/>
      <c r="O268" s="18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>
      <c r="A269" s="1"/>
      <c r="B269" s="1"/>
      <c r="C269" s="18"/>
      <c r="D269" s="47"/>
      <c r="E269" s="18"/>
      <c r="F269" s="18"/>
      <c r="G269" s="18"/>
      <c r="H269" s="18"/>
      <c r="I269" s="25"/>
      <c r="J269" s="18"/>
      <c r="K269" s="18"/>
      <c r="L269" s="18"/>
      <c r="M269" s="18"/>
      <c r="N269" s="18"/>
      <c r="O269" s="18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>
      <c r="A270" s="1"/>
      <c r="B270" s="1"/>
      <c r="C270" s="18"/>
      <c r="D270" s="47"/>
      <c r="E270" s="18"/>
      <c r="F270" s="18"/>
      <c r="G270" s="18"/>
      <c r="H270" s="18"/>
      <c r="I270" s="25"/>
      <c r="J270" s="18"/>
      <c r="K270" s="18"/>
      <c r="L270" s="18"/>
      <c r="M270" s="18"/>
      <c r="N270" s="18"/>
      <c r="O270" s="18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>
      <c r="A271" s="1"/>
      <c r="B271" s="1"/>
      <c r="C271" s="18"/>
      <c r="D271" s="47"/>
      <c r="E271" s="18"/>
      <c r="F271" s="18"/>
      <c r="G271" s="18"/>
      <c r="H271" s="18"/>
      <c r="I271" s="25"/>
      <c r="J271" s="18"/>
      <c r="K271" s="18"/>
      <c r="L271" s="18"/>
      <c r="M271" s="18"/>
      <c r="N271" s="18"/>
      <c r="O271" s="18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>
      <c r="A272" s="1"/>
      <c r="B272" s="1"/>
      <c r="C272" s="18"/>
      <c r="D272" s="47"/>
      <c r="E272" s="18"/>
      <c r="F272" s="18"/>
      <c r="G272" s="18"/>
      <c r="H272" s="18"/>
      <c r="I272" s="25"/>
      <c r="J272" s="18"/>
      <c r="K272" s="18"/>
      <c r="L272" s="18"/>
      <c r="M272" s="18"/>
      <c r="N272" s="18"/>
      <c r="O272" s="18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>
      <c r="A273" s="1"/>
      <c r="B273" s="1"/>
      <c r="C273" s="18"/>
      <c r="D273" s="47"/>
      <c r="E273" s="18"/>
      <c r="F273" s="18"/>
      <c r="G273" s="18"/>
      <c r="H273" s="18"/>
      <c r="I273" s="25"/>
      <c r="J273" s="18"/>
      <c r="K273" s="18"/>
      <c r="L273" s="18"/>
      <c r="M273" s="18"/>
      <c r="N273" s="18"/>
      <c r="O273" s="18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>
      <c r="A274" s="1"/>
      <c r="B274" s="1"/>
      <c r="C274" s="18"/>
      <c r="D274" s="47"/>
      <c r="E274" s="18"/>
      <c r="F274" s="18"/>
      <c r="G274" s="18"/>
      <c r="H274" s="18"/>
      <c r="I274" s="25"/>
      <c r="J274" s="18"/>
      <c r="K274" s="18"/>
      <c r="L274" s="18"/>
      <c r="M274" s="18"/>
      <c r="N274" s="18"/>
      <c r="O274" s="18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>
      <c r="A275" s="1"/>
      <c r="B275" s="1"/>
      <c r="C275" s="18"/>
      <c r="D275" s="47"/>
      <c r="E275" s="18"/>
      <c r="F275" s="18"/>
      <c r="G275" s="18"/>
      <c r="H275" s="18"/>
      <c r="I275" s="25"/>
      <c r="J275" s="18"/>
      <c r="K275" s="18"/>
      <c r="L275" s="18"/>
      <c r="M275" s="18"/>
      <c r="N275" s="18"/>
      <c r="O275" s="18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>
      <c r="A276" s="1"/>
      <c r="B276" s="1"/>
      <c r="C276" s="18"/>
      <c r="D276" s="47"/>
      <c r="E276" s="18"/>
      <c r="F276" s="18"/>
      <c r="G276" s="18"/>
      <c r="H276" s="18"/>
      <c r="I276" s="25"/>
      <c r="J276" s="18"/>
      <c r="K276" s="18"/>
      <c r="L276" s="18"/>
      <c r="M276" s="18"/>
      <c r="N276" s="18"/>
      <c r="O276" s="18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>
      <c r="A277" s="1"/>
      <c r="B277" s="1"/>
      <c r="C277" s="18"/>
      <c r="D277" s="47"/>
      <c r="E277" s="18"/>
      <c r="F277" s="18"/>
      <c r="G277" s="18"/>
      <c r="H277" s="18"/>
      <c r="I277" s="25"/>
      <c r="J277" s="18"/>
      <c r="K277" s="18"/>
      <c r="L277" s="18"/>
      <c r="M277" s="18"/>
      <c r="N277" s="18"/>
      <c r="O277" s="18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>
      <c r="A278" s="1"/>
      <c r="B278" s="1"/>
      <c r="C278" s="18"/>
      <c r="D278" s="47"/>
      <c r="E278" s="18"/>
      <c r="F278" s="18"/>
      <c r="G278" s="18"/>
      <c r="H278" s="18"/>
      <c r="I278" s="25"/>
      <c r="J278" s="18"/>
      <c r="K278" s="18"/>
      <c r="L278" s="18"/>
      <c r="M278" s="18"/>
      <c r="N278" s="18"/>
      <c r="O278" s="18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>
      <c r="A279" s="1"/>
      <c r="B279" s="1"/>
      <c r="C279" s="18"/>
      <c r="D279" s="47"/>
      <c r="E279" s="18"/>
      <c r="F279" s="18"/>
      <c r="G279" s="18"/>
      <c r="H279" s="18"/>
      <c r="I279" s="25"/>
      <c r="J279" s="18"/>
      <c r="K279" s="18"/>
      <c r="L279" s="18"/>
      <c r="M279" s="18"/>
      <c r="N279" s="18"/>
      <c r="O279" s="18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>
      <c r="A280" s="1"/>
      <c r="B280" s="1"/>
      <c r="C280" s="18"/>
      <c r="D280" s="47"/>
      <c r="E280" s="18"/>
      <c r="F280" s="18"/>
      <c r="G280" s="18"/>
      <c r="H280" s="18"/>
      <c r="I280" s="25"/>
      <c r="J280" s="18"/>
      <c r="K280" s="18"/>
      <c r="L280" s="18"/>
      <c r="M280" s="18"/>
      <c r="N280" s="18"/>
      <c r="O280" s="18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>
      <c r="A281" s="1"/>
      <c r="B281" s="1"/>
      <c r="C281" s="18"/>
      <c r="D281" s="47"/>
      <c r="E281" s="18"/>
      <c r="F281" s="18"/>
      <c r="G281" s="18"/>
      <c r="H281" s="18"/>
      <c r="I281" s="25"/>
      <c r="J281" s="18"/>
      <c r="K281" s="18"/>
      <c r="L281" s="18"/>
      <c r="M281" s="18"/>
      <c r="N281" s="18"/>
      <c r="O281" s="18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>
      <c r="A282" s="1"/>
      <c r="B282" s="1"/>
      <c r="C282" s="18"/>
      <c r="D282" s="47"/>
      <c r="E282" s="18"/>
      <c r="F282" s="18"/>
      <c r="G282" s="18"/>
      <c r="H282" s="18"/>
      <c r="I282" s="25"/>
      <c r="J282" s="18"/>
      <c r="K282" s="18"/>
      <c r="L282" s="18"/>
      <c r="M282" s="18"/>
      <c r="N282" s="18"/>
      <c r="O282" s="18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>
      <c r="A283" s="1"/>
      <c r="B283" s="1"/>
      <c r="C283" s="18"/>
      <c r="D283" s="47"/>
      <c r="E283" s="18"/>
      <c r="F283" s="18"/>
      <c r="G283" s="18"/>
      <c r="H283" s="18"/>
      <c r="I283" s="25"/>
      <c r="J283" s="18"/>
      <c r="K283" s="18"/>
      <c r="L283" s="18"/>
      <c r="M283" s="18"/>
      <c r="N283" s="18"/>
      <c r="O283" s="18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>
      <c r="A284" s="1"/>
      <c r="B284" s="1"/>
      <c r="C284" s="18"/>
      <c r="D284" s="47"/>
      <c r="E284" s="18"/>
      <c r="F284" s="18"/>
      <c r="G284" s="18"/>
      <c r="H284" s="18"/>
      <c r="I284" s="25"/>
      <c r="J284" s="18"/>
      <c r="K284" s="18"/>
      <c r="L284" s="18"/>
      <c r="M284" s="18"/>
      <c r="N284" s="18"/>
      <c r="O284" s="18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>
      <c r="A285" s="1"/>
      <c r="B285" s="1"/>
      <c r="C285" s="18"/>
      <c r="D285" s="47"/>
      <c r="E285" s="18"/>
      <c r="F285" s="18"/>
      <c r="G285" s="18"/>
      <c r="H285" s="18"/>
      <c r="I285" s="25"/>
      <c r="J285" s="18"/>
      <c r="K285" s="18"/>
      <c r="L285" s="18"/>
      <c r="M285" s="18"/>
      <c r="N285" s="18"/>
      <c r="O285" s="18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>
      <c r="A286" s="1"/>
      <c r="B286" s="1"/>
      <c r="C286" s="18"/>
      <c r="D286" s="47"/>
      <c r="E286" s="18"/>
      <c r="F286" s="18"/>
      <c r="G286" s="18"/>
      <c r="H286" s="18"/>
      <c r="I286" s="25"/>
      <c r="J286" s="18"/>
      <c r="K286" s="18"/>
      <c r="L286" s="18"/>
      <c r="M286" s="18"/>
      <c r="N286" s="18"/>
      <c r="O286" s="18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>
      <c r="A287" s="1"/>
      <c r="B287" s="1"/>
      <c r="C287" s="18"/>
      <c r="D287" s="47"/>
      <c r="E287" s="18"/>
      <c r="F287" s="18"/>
      <c r="G287" s="18"/>
      <c r="H287" s="18"/>
      <c r="I287" s="25"/>
      <c r="J287" s="18"/>
      <c r="K287" s="18"/>
      <c r="L287" s="18"/>
      <c r="M287" s="18"/>
      <c r="N287" s="18"/>
      <c r="O287" s="18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>
      <c r="A288" s="1"/>
      <c r="B288" s="1"/>
      <c r="C288" s="18"/>
      <c r="D288" s="47"/>
      <c r="E288" s="18"/>
      <c r="F288" s="18"/>
      <c r="G288" s="18"/>
      <c r="H288" s="18"/>
      <c r="I288" s="25"/>
      <c r="J288" s="18"/>
      <c r="K288" s="18"/>
      <c r="L288" s="18"/>
      <c r="M288" s="18"/>
      <c r="N288" s="18"/>
      <c r="O288" s="18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>
      <c r="A289" s="1"/>
      <c r="B289" s="1"/>
      <c r="C289" s="18"/>
      <c r="D289" s="47"/>
      <c r="E289" s="18"/>
      <c r="F289" s="18"/>
      <c r="G289" s="18"/>
      <c r="H289" s="18"/>
      <c r="I289" s="25"/>
      <c r="J289" s="18"/>
      <c r="K289" s="18"/>
      <c r="L289" s="18"/>
      <c r="M289" s="18"/>
      <c r="N289" s="18"/>
      <c r="O289" s="18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>
      <c r="A290" s="1"/>
      <c r="B290" s="1"/>
      <c r="C290" s="18"/>
      <c r="D290" s="47"/>
      <c r="E290" s="18"/>
      <c r="F290" s="18"/>
      <c r="G290" s="18"/>
      <c r="H290" s="18"/>
      <c r="I290" s="25"/>
      <c r="J290" s="18"/>
      <c r="K290" s="18"/>
      <c r="L290" s="18"/>
      <c r="M290" s="18"/>
      <c r="N290" s="18"/>
      <c r="O290" s="18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>
      <c r="A291" s="1"/>
      <c r="B291" s="1"/>
      <c r="C291" s="18"/>
      <c r="D291" s="47"/>
      <c r="E291" s="18"/>
      <c r="F291" s="18"/>
      <c r="G291" s="18"/>
      <c r="H291" s="18"/>
      <c r="I291" s="25"/>
      <c r="J291" s="18"/>
      <c r="K291" s="18"/>
      <c r="L291" s="18"/>
      <c r="M291" s="18"/>
      <c r="N291" s="18"/>
      <c r="O291" s="18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>
      <c r="A292" s="1"/>
      <c r="B292" s="1"/>
      <c r="C292" s="18"/>
      <c r="D292" s="47"/>
      <c r="E292" s="18"/>
      <c r="F292" s="18"/>
      <c r="G292" s="18"/>
      <c r="H292" s="18"/>
      <c r="I292" s="25"/>
      <c r="J292" s="18"/>
      <c r="K292" s="18"/>
      <c r="L292" s="18"/>
      <c r="M292" s="18"/>
      <c r="N292" s="18"/>
      <c r="O292" s="18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>
      <c r="A293" s="1"/>
      <c r="B293" s="1"/>
      <c r="C293" s="18"/>
      <c r="D293" s="47"/>
      <c r="E293" s="18"/>
      <c r="F293" s="18"/>
      <c r="G293" s="18"/>
      <c r="H293" s="18"/>
      <c r="I293" s="25"/>
      <c r="J293" s="18"/>
      <c r="K293" s="18"/>
      <c r="L293" s="18"/>
      <c r="M293" s="18"/>
      <c r="N293" s="18"/>
      <c r="O293" s="18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>
      <c r="A294" s="1"/>
      <c r="B294" s="1"/>
      <c r="C294" s="18"/>
      <c r="D294" s="47"/>
      <c r="E294" s="18"/>
      <c r="F294" s="18"/>
      <c r="G294" s="18"/>
      <c r="H294" s="18"/>
      <c r="I294" s="25"/>
      <c r="J294" s="18"/>
      <c r="K294" s="18"/>
      <c r="L294" s="18"/>
      <c r="M294" s="18"/>
      <c r="N294" s="18"/>
      <c r="O294" s="18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>
      <c r="A295" s="1"/>
      <c r="B295" s="1"/>
      <c r="C295" s="18"/>
      <c r="D295" s="47"/>
      <c r="E295" s="18"/>
      <c r="F295" s="18"/>
      <c r="G295" s="18"/>
      <c r="H295" s="18"/>
      <c r="I295" s="25"/>
      <c r="J295" s="18"/>
      <c r="K295" s="18"/>
      <c r="L295" s="18"/>
      <c r="M295" s="18"/>
      <c r="N295" s="18"/>
      <c r="O295" s="18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>
      <c r="A296" s="1"/>
      <c r="B296" s="1"/>
      <c r="C296" s="18"/>
      <c r="D296" s="47"/>
      <c r="E296" s="18"/>
      <c r="F296" s="18"/>
      <c r="G296" s="18"/>
      <c r="H296" s="18"/>
      <c r="I296" s="25"/>
      <c r="J296" s="18"/>
      <c r="K296" s="18"/>
      <c r="L296" s="18"/>
      <c r="M296" s="18"/>
      <c r="N296" s="18"/>
      <c r="O296" s="18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>
      <c r="A297" s="1"/>
      <c r="B297" s="1"/>
      <c r="C297" s="18"/>
      <c r="D297" s="47"/>
      <c r="E297" s="18"/>
      <c r="F297" s="18"/>
      <c r="G297" s="18"/>
      <c r="H297" s="18"/>
      <c r="I297" s="25"/>
      <c r="J297" s="18"/>
      <c r="K297" s="18"/>
      <c r="L297" s="18"/>
      <c r="M297" s="18"/>
      <c r="N297" s="18"/>
      <c r="O297" s="18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>
      <c r="A298" s="1"/>
      <c r="B298" s="1"/>
      <c r="C298" s="18"/>
      <c r="D298" s="47"/>
      <c r="E298" s="18"/>
      <c r="F298" s="18"/>
      <c r="G298" s="18"/>
      <c r="H298" s="18"/>
      <c r="I298" s="25"/>
      <c r="J298" s="18"/>
      <c r="K298" s="18"/>
      <c r="L298" s="18"/>
      <c r="M298" s="18"/>
      <c r="N298" s="18"/>
      <c r="O298" s="18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>
      <c r="A299" s="1"/>
      <c r="B299" s="1"/>
      <c r="C299" s="18"/>
      <c r="D299" s="47"/>
      <c r="E299" s="18"/>
      <c r="F299" s="18"/>
      <c r="G299" s="18"/>
      <c r="H299" s="18"/>
      <c r="I299" s="25"/>
      <c r="J299" s="18"/>
      <c r="K299" s="18"/>
      <c r="L299" s="18"/>
      <c r="M299" s="18"/>
      <c r="N299" s="18"/>
      <c r="O299" s="18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>
      <c r="A300" s="1"/>
      <c r="B300" s="1"/>
      <c r="C300" s="18"/>
      <c r="D300" s="47"/>
      <c r="E300" s="18"/>
      <c r="F300" s="18"/>
      <c r="G300" s="18"/>
      <c r="H300" s="18"/>
      <c r="I300" s="25"/>
      <c r="J300" s="18"/>
      <c r="K300" s="18"/>
      <c r="L300" s="18"/>
      <c r="M300" s="18"/>
      <c r="N300" s="18"/>
      <c r="O300" s="18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>
      <c r="A301" s="1"/>
      <c r="B301" s="1"/>
      <c r="C301" s="18"/>
      <c r="D301" s="47"/>
      <c r="E301" s="18"/>
      <c r="F301" s="18"/>
      <c r="G301" s="18"/>
      <c r="H301" s="18"/>
      <c r="I301" s="25"/>
      <c r="J301" s="18"/>
      <c r="K301" s="18"/>
      <c r="L301" s="18"/>
      <c r="M301" s="18"/>
      <c r="N301" s="18"/>
      <c r="O301" s="18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>
      <c r="A302" s="1"/>
      <c r="B302" s="1"/>
      <c r="C302" s="18"/>
      <c r="D302" s="47"/>
      <c r="E302" s="18"/>
      <c r="F302" s="18"/>
      <c r="G302" s="18"/>
      <c r="H302" s="18"/>
      <c r="I302" s="25"/>
      <c r="J302" s="18"/>
      <c r="K302" s="18"/>
      <c r="L302" s="18"/>
      <c r="M302" s="18"/>
      <c r="N302" s="18"/>
      <c r="O302" s="18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>
      <c r="A303" s="1"/>
      <c r="B303" s="1"/>
      <c r="C303" s="18"/>
      <c r="D303" s="47"/>
      <c r="E303" s="18"/>
      <c r="F303" s="18"/>
      <c r="G303" s="18"/>
      <c r="H303" s="18"/>
      <c r="I303" s="25"/>
      <c r="J303" s="18"/>
      <c r="K303" s="18"/>
      <c r="L303" s="18"/>
      <c r="M303" s="18"/>
      <c r="N303" s="18"/>
      <c r="O303" s="18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>
      <c r="A304" s="1"/>
      <c r="B304" s="1"/>
      <c r="C304" s="18"/>
      <c r="D304" s="47"/>
      <c r="E304" s="18"/>
      <c r="F304" s="18"/>
      <c r="G304" s="18"/>
      <c r="H304" s="18"/>
      <c r="I304" s="25"/>
      <c r="J304" s="18"/>
      <c r="K304" s="18"/>
      <c r="L304" s="18"/>
      <c r="M304" s="18"/>
      <c r="N304" s="18"/>
      <c r="O304" s="18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>
      <c r="A305" s="1"/>
      <c r="B305" s="1"/>
      <c r="C305" s="18"/>
      <c r="D305" s="47"/>
      <c r="E305" s="18"/>
      <c r="F305" s="18"/>
      <c r="G305" s="18"/>
      <c r="H305" s="18"/>
      <c r="I305" s="25"/>
      <c r="J305" s="18"/>
      <c r="K305" s="18"/>
      <c r="L305" s="18"/>
      <c r="M305" s="18"/>
      <c r="N305" s="18"/>
      <c r="O305" s="18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>
      <c r="A306" s="1"/>
      <c r="B306" s="1"/>
      <c r="C306" s="18"/>
      <c r="D306" s="47"/>
      <c r="E306" s="18"/>
      <c r="F306" s="18"/>
      <c r="G306" s="18"/>
      <c r="H306" s="18"/>
      <c r="I306" s="25"/>
      <c r="J306" s="18"/>
      <c r="K306" s="18"/>
      <c r="L306" s="18"/>
      <c r="M306" s="18"/>
      <c r="N306" s="18"/>
      <c r="O306" s="18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>
      <c r="A307" s="1"/>
      <c r="B307" s="1"/>
      <c r="C307" s="18"/>
      <c r="D307" s="47"/>
      <c r="E307" s="18"/>
      <c r="F307" s="18"/>
      <c r="G307" s="18"/>
      <c r="H307" s="18"/>
      <c r="I307" s="25"/>
      <c r="J307" s="18"/>
      <c r="K307" s="18"/>
      <c r="L307" s="18"/>
      <c r="M307" s="18"/>
      <c r="N307" s="18"/>
      <c r="O307" s="18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>
      <c r="A308" s="1"/>
      <c r="B308" s="1"/>
      <c r="C308" s="18"/>
      <c r="D308" s="47"/>
      <c r="E308" s="18"/>
      <c r="F308" s="18"/>
      <c r="G308" s="18"/>
      <c r="H308" s="18"/>
      <c r="I308" s="25"/>
      <c r="J308" s="18"/>
      <c r="K308" s="18"/>
      <c r="L308" s="18"/>
      <c r="M308" s="18"/>
      <c r="N308" s="18"/>
      <c r="O308" s="18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>
      <c r="A309" s="1"/>
      <c r="B309" s="1"/>
      <c r="C309" s="18"/>
      <c r="D309" s="47"/>
      <c r="E309" s="18"/>
      <c r="F309" s="18"/>
      <c r="G309" s="18"/>
      <c r="H309" s="18"/>
      <c r="I309" s="25"/>
      <c r="J309" s="18"/>
      <c r="K309" s="18"/>
      <c r="L309" s="18"/>
      <c r="M309" s="18"/>
      <c r="N309" s="18"/>
      <c r="O309" s="18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>
      <c r="A310" s="1"/>
      <c r="B310" s="1"/>
      <c r="C310" s="18"/>
      <c r="D310" s="47"/>
      <c r="E310" s="18"/>
      <c r="F310" s="18"/>
      <c r="G310" s="18"/>
      <c r="H310" s="18"/>
      <c r="I310" s="25"/>
      <c r="J310" s="18"/>
      <c r="K310" s="18"/>
      <c r="L310" s="18"/>
      <c r="M310" s="18"/>
      <c r="N310" s="18"/>
      <c r="O310" s="18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>
      <c r="A311" s="1"/>
      <c r="B311" s="1"/>
      <c r="C311" s="18"/>
      <c r="D311" s="47"/>
      <c r="E311" s="18"/>
      <c r="F311" s="18"/>
      <c r="G311" s="18"/>
      <c r="H311" s="18"/>
      <c r="I311" s="25"/>
      <c r="J311" s="18"/>
      <c r="K311" s="18"/>
      <c r="L311" s="18"/>
      <c r="M311" s="18"/>
      <c r="N311" s="18"/>
      <c r="O311" s="18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>
      <c r="A312" s="1"/>
      <c r="B312" s="1"/>
      <c r="C312" s="18"/>
      <c r="D312" s="47"/>
      <c r="E312" s="18"/>
      <c r="F312" s="18"/>
      <c r="G312" s="18"/>
      <c r="H312" s="18"/>
      <c r="I312" s="25"/>
      <c r="J312" s="18"/>
      <c r="K312" s="18"/>
      <c r="L312" s="18"/>
      <c r="M312" s="18"/>
      <c r="N312" s="18"/>
      <c r="O312" s="18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>
      <c r="A313" s="1"/>
      <c r="B313" s="1"/>
      <c r="C313" s="18"/>
      <c r="D313" s="47"/>
      <c r="E313" s="18"/>
      <c r="F313" s="18"/>
      <c r="G313" s="18"/>
      <c r="H313" s="18"/>
      <c r="I313" s="25"/>
      <c r="J313" s="18"/>
      <c r="K313" s="18"/>
      <c r="L313" s="18"/>
      <c r="M313" s="18"/>
      <c r="N313" s="18"/>
      <c r="O313" s="18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>
      <c r="A314" s="1"/>
      <c r="B314" s="1"/>
      <c r="C314" s="18"/>
      <c r="D314" s="47"/>
      <c r="E314" s="18"/>
      <c r="F314" s="18"/>
      <c r="G314" s="18"/>
      <c r="H314" s="18"/>
      <c r="I314" s="25"/>
      <c r="J314" s="18"/>
      <c r="K314" s="18"/>
      <c r="L314" s="18"/>
      <c r="M314" s="18"/>
      <c r="N314" s="18"/>
      <c r="O314" s="18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>
      <c r="A315" s="1"/>
      <c r="B315" s="1"/>
      <c r="C315" s="18"/>
      <c r="D315" s="47"/>
      <c r="E315" s="18"/>
      <c r="F315" s="18"/>
      <c r="G315" s="18"/>
      <c r="H315" s="18"/>
      <c r="I315" s="25"/>
      <c r="J315" s="18"/>
      <c r="K315" s="18"/>
      <c r="L315" s="18"/>
      <c r="M315" s="18"/>
      <c r="N315" s="18"/>
      <c r="O315" s="18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>
      <c r="A316" s="1"/>
      <c r="B316" s="1"/>
      <c r="C316" s="18"/>
      <c r="D316" s="47"/>
      <c r="E316" s="18"/>
      <c r="F316" s="18"/>
      <c r="G316" s="18"/>
      <c r="H316" s="18"/>
      <c r="I316" s="25"/>
      <c r="J316" s="18"/>
      <c r="K316" s="18"/>
      <c r="L316" s="18"/>
      <c r="M316" s="18"/>
      <c r="N316" s="18"/>
      <c r="O316" s="18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>
      <c r="A317" s="1"/>
      <c r="B317" s="1"/>
      <c r="C317" s="18"/>
      <c r="D317" s="47"/>
      <c r="E317" s="18"/>
      <c r="F317" s="18"/>
      <c r="G317" s="18"/>
      <c r="H317" s="18"/>
      <c r="I317" s="25"/>
      <c r="J317" s="18"/>
      <c r="K317" s="18"/>
      <c r="L317" s="18"/>
      <c r="M317" s="18"/>
      <c r="N317" s="18"/>
      <c r="O317" s="18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>
      <c r="A318" s="1"/>
      <c r="B318" s="1"/>
      <c r="C318" s="18"/>
      <c r="D318" s="47"/>
      <c r="E318" s="18"/>
      <c r="F318" s="18"/>
      <c r="G318" s="18"/>
      <c r="H318" s="18"/>
      <c r="I318" s="25"/>
      <c r="J318" s="18"/>
      <c r="K318" s="18"/>
      <c r="L318" s="18"/>
      <c r="M318" s="18"/>
      <c r="N318" s="18"/>
      <c r="O318" s="18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>
      <c r="A319" s="1"/>
      <c r="B319" s="1"/>
      <c r="C319" s="18"/>
      <c r="D319" s="47"/>
      <c r="E319" s="18"/>
      <c r="F319" s="18"/>
      <c r="G319" s="18"/>
      <c r="H319" s="18"/>
      <c r="I319" s="25"/>
      <c r="J319" s="18"/>
      <c r="K319" s="18"/>
      <c r="L319" s="18"/>
      <c r="M319" s="18"/>
      <c r="N319" s="18"/>
      <c r="O319" s="18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>
      <c r="A320" s="1"/>
      <c r="B320" s="1"/>
      <c r="C320" s="18"/>
      <c r="D320" s="47"/>
      <c r="E320" s="18"/>
      <c r="F320" s="18"/>
      <c r="G320" s="18"/>
      <c r="H320" s="18"/>
      <c r="I320" s="25"/>
      <c r="J320" s="18"/>
      <c r="K320" s="18"/>
      <c r="L320" s="18"/>
      <c r="M320" s="18"/>
      <c r="N320" s="18"/>
      <c r="O320" s="18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>
      <c r="A321" s="1"/>
      <c r="B321" s="1"/>
      <c r="C321" s="18"/>
      <c r="D321" s="47"/>
      <c r="E321" s="18"/>
      <c r="F321" s="18"/>
      <c r="G321" s="18"/>
      <c r="H321" s="18"/>
      <c r="I321" s="25"/>
      <c r="J321" s="18"/>
      <c r="K321" s="18"/>
      <c r="L321" s="18"/>
      <c r="M321" s="18"/>
      <c r="N321" s="18"/>
      <c r="O321" s="18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>
      <c r="A322" s="1"/>
      <c r="B322" s="1"/>
      <c r="C322" s="18"/>
      <c r="D322" s="47"/>
      <c r="E322" s="18"/>
      <c r="F322" s="18"/>
      <c r="G322" s="18"/>
      <c r="H322" s="18"/>
      <c r="I322" s="25"/>
      <c r="J322" s="18"/>
      <c r="K322" s="18"/>
      <c r="L322" s="18"/>
      <c r="M322" s="18"/>
      <c r="N322" s="18"/>
      <c r="O322" s="18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>
      <c r="A323" s="1"/>
      <c r="B323" s="1"/>
      <c r="C323" s="18"/>
      <c r="D323" s="47"/>
      <c r="E323" s="18"/>
      <c r="F323" s="18"/>
      <c r="G323" s="18"/>
      <c r="H323" s="18"/>
      <c r="I323" s="25"/>
      <c r="J323" s="18"/>
      <c r="K323" s="18"/>
      <c r="L323" s="18"/>
      <c r="M323" s="18"/>
      <c r="N323" s="18"/>
      <c r="O323" s="18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>
      <c r="A324" s="1"/>
      <c r="B324" s="1"/>
      <c r="C324" s="18"/>
      <c r="D324" s="47"/>
      <c r="E324" s="18"/>
      <c r="F324" s="18"/>
      <c r="G324" s="18"/>
      <c r="H324" s="18"/>
      <c r="I324" s="25"/>
      <c r="J324" s="18"/>
      <c r="K324" s="18"/>
      <c r="L324" s="18"/>
      <c r="M324" s="18"/>
      <c r="N324" s="18"/>
      <c r="O324" s="18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>
      <c r="A325" s="1"/>
      <c r="B325" s="1"/>
      <c r="C325" s="18"/>
      <c r="D325" s="47"/>
      <c r="E325" s="18"/>
      <c r="F325" s="18"/>
      <c r="G325" s="18"/>
      <c r="H325" s="18"/>
      <c r="I325" s="25"/>
      <c r="J325" s="18"/>
      <c r="K325" s="18"/>
      <c r="L325" s="18"/>
      <c r="M325" s="18"/>
      <c r="N325" s="18"/>
      <c r="O325" s="18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>
      <c r="A326" s="1"/>
      <c r="B326" s="1"/>
      <c r="C326" s="18"/>
      <c r="D326" s="47"/>
      <c r="E326" s="18"/>
      <c r="F326" s="18"/>
      <c r="G326" s="18"/>
      <c r="H326" s="18"/>
      <c r="I326" s="25"/>
      <c r="J326" s="18"/>
      <c r="K326" s="18"/>
      <c r="L326" s="18"/>
      <c r="M326" s="18"/>
      <c r="N326" s="18"/>
      <c r="O326" s="18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>
      <c r="A327" s="1"/>
      <c r="B327" s="1"/>
      <c r="C327" s="18"/>
      <c r="D327" s="47"/>
      <c r="E327" s="18"/>
      <c r="F327" s="18"/>
      <c r="G327" s="18"/>
      <c r="H327" s="18"/>
      <c r="I327" s="25"/>
      <c r="J327" s="18"/>
      <c r="K327" s="18"/>
      <c r="L327" s="18"/>
      <c r="M327" s="18"/>
      <c r="N327" s="18"/>
      <c r="O327" s="18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>
      <c r="A328" s="1"/>
      <c r="B328" s="1"/>
      <c r="C328" s="18"/>
      <c r="D328" s="47"/>
      <c r="E328" s="18"/>
      <c r="F328" s="18"/>
      <c r="G328" s="18"/>
      <c r="H328" s="18"/>
      <c r="I328" s="25"/>
      <c r="J328" s="18"/>
      <c r="K328" s="18"/>
      <c r="L328" s="18"/>
      <c r="M328" s="18"/>
      <c r="N328" s="18"/>
      <c r="O328" s="18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>
      <c r="A329" s="1"/>
      <c r="B329" s="1"/>
      <c r="C329" s="18"/>
      <c r="D329" s="47"/>
      <c r="E329" s="18"/>
      <c r="F329" s="18"/>
      <c r="G329" s="18"/>
      <c r="H329" s="18"/>
      <c r="I329" s="25"/>
      <c r="J329" s="18"/>
      <c r="K329" s="18"/>
      <c r="L329" s="18"/>
      <c r="M329" s="18"/>
      <c r="N329" s="18"/>
      <c r="O329" s="18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>
      <c r="A330" s="1"/>
      <c r="B330" s="1"/>
      <c r="C330" s="18"/>
      <c r="D330" s="47"/>
      <c r="E330" s="18"/>
      <c r="F330" s="18"/>
      <c r="G330" s="18"/>
      <c r="H330" s="18"/>
      <c r="I330" s="25"/>
      <c r="J330" s="18"/>
      <c r="K330" s="18"/>
      <c r="L330" s="18"/>
      <c r="M330" s="18"/>
      <c r="N330" s="18"/>
      <c r="O330" s="18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>
      <c r="A331" s="1"/>
      <c r="B331" s="1"/>
      <c r="C331" s="18"/>
      <c r="D331" s="47"/>
      <c r="E331" s="18"/>
      <c r="F331" s="18"/>
      <c r="G331" s="18"/>
      <c r="H331" s="18"/>
      <c r="I331" s="25"/>
      <c r="J331" s="18"/>
      <c r="K331" s="18"/>
      <c r="L331" s="18"/>
      <c r="M331" s="18"/>
      <c r="N331" s="18"/>
      <c r="O331" s="18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>
      <c r="A332" s="1"/>
      <c r="B332" s="1"/>
      <c r="C332" s="18"/>
      <c r="D332" s="47"/>
      <c r="E332" s="18"/>
      <c r="F332" s="18"/>
      <c r="G332" s="18"/>
      <c r="H332" s="18"/>
      <c r="I332" s="25"/>
      <c r="J332" s="18"/>
      <c r="K332" s="18"/>
      <c r="L332" s="18"/>
      <c r="M332" s="18"/>
      <c r="N332" s="18"/>
      <c r="O332" s="18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>
      <c r="A333" s="1"/>
      <c r="B333" s="1"/>
      <c r="C333" s="18"/>
      <c r="D333" s="47"/>
      <c r="E333" s="18"/>
      <c r="F333" s="18"/>
      <c r="G333" s="18"/>
      <c r="H333" s="18"/>
      <c r="I333" s="25"/>
      <c r="J333" s="18"/>
      <c r="K333" s="18"/>
      <c r="L333" s="18"/>
      <c r="M333" s="18"/>
      <c r="N333" s="18"/>
      <c r="O333" s="18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>
      <c r="A334" s="1"/>
      <c r="B334" s="1"/>
      <c r="C334" s="18"/>
      <c r="D334" s="47"/>
      <c r="E334" s="18"/>
      <c r="F334" s="18"/>
      <c r="G334" s="18"/>
      <c r="H334" s="18"/>
      <c r="I334" s="25"/>
      <c r="J334" s="18"/>
      <c r="K334" s="18"/>
      <c r="L334" s="18"/>
      <c r="M334" s="18"/>
      <c r="N334" s="18"/>
      <c r="O334" s="18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>
      <c r="A335" s="1"/>
      <c r="B335" s="1"/>
      <c r="C335" s="18"/>
      <c r="D335" s="47"/>
      <c r="E335" s="18"/>
      <c r="F335" s="18"/>
      <c r="G335" s="18"/>
      <c r="H335" s="18"/>
      <c r="I335" s="25"/>
      <c r="J335" s="18"/>
      <c r="K335" s="18"/>
      <c r="L335" s="18"/>
      <c r="M335" s="18"/>
      <c r="N335" s="18"/>
      <c r="O335" s="18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>
      <c r="A336" s="1"/>
      <c r="B336" s="1"/>
      <c r="C336" s="18"/>
      <c r="D336" s="47"/>
      <c r="E336" s="18"/>
      <c r="F336" s="18"/>
      <c r="G336" s="18"/>
      <c r="H336" s="18"/>
      <c r="I336" s="25"/>
      <c r="J336" s="18"/>
      <c r="K336" s="18"/>
      <c r="L336" s="18"/>
      <c r="M336" s="18"/>
      <c r="N336" s="18"/>
      <c r="O336" s="18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>
      <c r="A337" s="1"/>
      <c r="B337" s="1"/>
      <c r="C337" s="18"/>
      <c r="D337" s="47"/>
      <c r="E337" s="18"/>
      <c r="F337" s="18"/>
      <c r="G337" s="18"/>
      <c r="H337" s="18"/>
      <c r="I337" s="25"/>
      <c r="J337" s="18"/>
      <c r="K337" s="18"/>
      <c r="L337" s="18"/>
      <c r="M337" s="18"/>
      <c r="N337" s="18"/>
      <c r="O337" s="18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>
      <c r="A338" s="1"/>
      <c r="B338" s="1"/>
      <c r="C338" s="18"/>
      <c r="D338" s="47"/>
      <c r="E338" s="18"/>
      <c r="F338" s="18"/>
      <c r="G338" s="18"/>
      <c r="H338" s="18"/>
      <c r="I338" s="25"/>
      <c r="J338" s="18"/>
      <c r="K338" s="18"/>
      <c r="L338" s="18"/>
      <c r="M338" s="18"/>
      <c r="N338" s="18"/>
      <c r="O338" s="18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>
      <c r="A339" s="1"/>
      <c r="B339" s="1"/>
      <c r="C339" s="18"/>
      <c r="D339" s="47"/>
      <c r="E339" s="18"/>
      <c r="F339" s="18"/>
      <c r="G339" s="18"/>
      <c r="H339" s="18"/>
      <c r="I339" s="25"/>
      <c r="J339" s="18"/>
      <c r="K339" s="18"/>
      <c r="L339" s="18"/>
      <c r="M339" s="18"/>
      <c r="N339" s="18"/>
      <c r="O339" s="18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>
      <c r="A340" s="1"/>
      <c r="B340" s="1"/>
      <c r="C340" s="18"/>
      <c r="D340" s="47"/>
      <c r="E340" s="18"/>
      <c r="F340" s="18"/>
      <c r="G340" s="18"/>
      <c r="H340" s="18"/>
      <c r="I340" s="25"/>
      <c r="J340" s="18"/>
      <c r="K340" s="18"/>
      <c r="L340" s="18"/>
      <c r="M340" s="18"/>
      <c r="N340" s="18"/>
      <c r="O340" s="18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>
      <c r="A341" s="1"/>
      <c r="B341" s="1"/>
      <c r="C341" s="18"/>
      <c r="D341" s="47"/>
      <c r="E341" s="18"/>
      <c r="F341" s="18"/>
      <c r="G341" s="18"/>
      <c r="H341" s="18"/>
      <c r="I341" s="25"/>
      <c r="J341" s="18"/>
      <c r="K341" s="18"/>
      <c r="L341" s="18"/>
      <c r="M341" s="18"/>
      <c r="N341" s="18"/>
      <c r="O341" s="18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>
      <c r="A342" s="1"/>
      <c r="B342" s="1"/>
      <c r="C342" s="18"/>
      <c r="D342" s="47"/>
      <c r="E342" s="18"/>
      <c r="F342" s="18"/>
      <c r="G342" s="18"/>
      <c r="H342" s="18"/>
      <c r="I342" s="25"/>
      <c r="J342" s="18"/>
      <c r="K342" s="18"/>
      <c r="L342" s="18"/>
      <c r="M342" s="18"/>
      <c r="N342" s="18"/>
      <c r="O342" s="18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>
      <c r="A343" s="1"/>
      <c r="B343" s="1"/>
      <c r="C343" s="18"/>
      <c r="D343" s="47"/>
      <c r="E343" s="18"/>
      <c r="F343" s="18"/>
      <c r="G343" s="18"/>
      <c r="H343" s="18"/>
      <c r="I343" s="25"/>
      <c r="J343" s="18"/>
      <c r="K343" s="18"/>
      <c r="L343" s="18"/>
      <c r="M343" s="18"/>
      <c r="N343" s="18"/>
      <c r="O343" s="18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>
      <c r="A344" s="1"/>
      <c r="B344" s="1"/>
      <c r="C344" s="18"/>
      <c r="D344" s="47"/>
      <c r="E344" s="18"/>
      <c r="F344" s="18"/>
      <c r="G344" s="18"/>
      <c r="H344" s="18"/>
      <c r="I344" s="25"/>
      <c r="J344" s="18"/>
      <c r="K344" s="18"/>
      <c r="L344" s="18"/>
      <c r="M344" s="18"/>
      <c r="N344" s="18"/>
      <c r="O344" s="18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>
      <c r="A345" s="1"/>
      <c r="B345" s="1"/>
      <c r="C345" s="18"/>
      <c r="D345" s="47"/>
      <c r="E345" s="18"/>
      <c r="F345" s="18"/>
      <c r="G345" s="18"/>
      <c r="H345" s="18"/>
      <c r="I345" s="25"/>
      <c r="J345" s="18"/>
      <c r="K345" s="18"/>
      <c r="L345" s="18"/>
      <c r="M345" s="18"/>
      <c r="N345" s="18"/>
      <c r="O345" s="18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>
      <c r="A346" s="1"/>
      <c r="B346" s="1"/>
      <c r="C346" s="18"/>
      <c r="D346" s="47"/>
      <c r="E346" s="18"/>
      <c r="F346" s="18"/>
      <c r="G346" s="18"/>
      <c r="H346" s="18"/>
      <c r="I346" s="25"/>
      <c r="J346" s="18"/>
      <c r="K346" s="18"/>
      <c r="L346" s="18"/>
      <c r="M346" s="18"/>
      <c r="N346" s="18"/>
      <c r="O346" s="18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>
      <c r="A347" s="1"/>
      <c r="B347" s="1"/>
      <c r="C347" s="18"/>
      <c r="D347" s="47"/>
      <c r="E347" s="18"/>
      <c r="F347" s="18"/>
      <c r="G347" s="18"/>
      <c r="H347" s="18"/>
      <c r="I347" s="25"/>
      <c r="J347" s="18"/>
      <c r="K347" s="18"/>
      <c r="L347" s="18"/>
      <c r="M347" s="18"/>
      <c r="N347" s="18"/>
      <c r="O347" s="18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>
      <c r="A348" s="1"/>
      <c r="B348" s="1"/>
      <c r="C348" s="18"/>
      <c r="D348" s="47"/>
      <c r="E348" s="18"/>
      <c r="F348" s="18"/>
      <c r="G348" s="18"/>
      <c r="H348" s="18"/>
      <c r="I348" s="25"/>
      <c r="J348" s="18"/>
      <c r="K348" s="18"/>
      <c r="L348" s="18"/>
      <c r="M348" s="18"/>
      <c r="N348" s="18"/>
      <c r="O348" s="18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>
      <c r="A349" s="1"/>
      <c r="B349" s="1"/>
      <c r="C349" s="18"/>
      <c r="D349" s="47"/>
      <c r="E349" s="18"/>
      <c r="F349" s="18"/>
      <c r="G349" s="18"/>
      <c r="H349" s="18"/>
      <c r="I349" s="25"/>
      <c r="J349" s="18"/>
      <c r="K349" s="18"/>
      <c r="L349" s="18"/>
      <c r="M349" s="18"/>
      <c r="N349" s="18"/>
      <c r="O349" s="18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>
      <c r="A350" s="1"/>
      <c r="B350" s="1"/>
      <c r="C350" s="18"/>
      <c r="D350" s="47"/>
      <c r="E350" s="18"/>
      <c r="F350" s="18"/>
      <c r="G350" s="18"/>
      <c r="H350" s="18"/>
      <c r="I350" s="25"/>
      <c r="J350" s="18"/>
      <c r="K350" s="18"/>
      <c r="L350" s="18"/>
      <c r="M350" s="18"/>
      <c r="N350" s="18"/>
      <c r="O350" s="18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>
      <c r="A351" s="1"/>
      <c r="B351" s="1"/>
      <c r="C351" s="18"/>
      <c r="D351" s="47"/>
      <c r="E351" s="18"/>
      <c r="F351" s="18"/>
      <c r="G351" s="18"/>
      <c r="H351" s="18"/>
      <c r="I351" s="25"/>
      <c r="J351" s="18"/>
      <c r="K351" s="18"/>
      <c r="L351" s="18"/>
      <c r="M351" s="18"/>
      <c r="N351" s="18"/>
      <c r="O351" s="18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>
      <c r="A352" s="1"/>
      <c r="B352" s="1"/>
      <c r="C352" s="18"/>
      <c r="D352" s="47"/>
      <c r="E352" s="18"/>
      <c r="F352" s="18"/>
      <c r="G352" s="18"/>
      <c r="H352" s="18"/>
      <c r="I352" s="25"/>
      <c r="J352" s="18"/>
      <c r="K352" s="18"/>
      <c r="L352" s="18"/>
      <c r="M352" s="18"/>
      <c r="N352" s="18"/>
      <c r="O352" s="18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>
      <c r="A353" s="1"/>
      <c r="B353" s="1"/>
      <c r="C353" s="18"/>
      <c r="D353" s="47"/>
      <c r="E353" s="18"/>
      <c r="F353" s="18"/>
      <c r="G353" s="18"/>
      <c r="H353" s="18"/>
      <c r="I353" s="25"/>
      <c r="J353" s="18"/>
      <c r="K353" s="18"/>
      <c r="L353" s="18"/>
      <c r="M353" s="18"/>
      <c r="N353" s="18"/>
      <c r="O353" s="18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>
      <c r="A354" s="1"/>
      <c r="B354" s="1"/>
      <c r="C354" s="18"/>
      <c r="D354" s="47"/>
      <c r="E354" s="18"/>
      <c r="F354" s="18"/>
      <c r="G354" s="18"/>
      <c r="H354" s="18"/>
      <c r="I354" s="25"/>
      <c r="J354" s="18"/>
      <c r="K354" s="18"/>
      <c r="L354" s="18"/>
      <c r="M354" s="18"/>
      <c r="N354" s="18"/>
      <c r="O354" s="18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>
      <c r="A355" s="1"/>
      <c r="B355" s="1"/>
      <c r="C355" s="18"/>
      <c r="D355" s="47"/>
      <c r="E355" s="18"/>
      <c r="F355" s="18"/>
      <c r="G355" s="18"/>
      <c r="H355" s="18"/>
      <c r="I355" s="25"/>
      <c r="J355" s="18"/>
      <c r="K355" s="18"/>
      <c r="L355" s="18"/>
      <c r="M355" s="18"/>
      <c r="N355" s="18"/>
      <c r="O355" s="18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>
      <c r="A356" s="1"/>
      <c r="B356" s="1"/>
      <c r="C356" s="18"/>
      <c r="D356" s="47"/>
      <c r="E356" s="18"/>
      <c r="F356" s="18"/>
      <c r="G356" s="18"/>
      <c r="H356" s="18"/>
      <c r="I356" s="25"/>
      <c r="J356" s="18"/>
      <c r="K356" s="18"/>
      <c r="L356" s="18"/>
      <c r="M356" s="18"/>
      <c r="N356" s="18"/>
      <c r="O356" s="18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>
      <c r="A357" s="1"/>
      <c r="B357" s="1"/>
      <c r="C357" s="18"/>
      <c r="D357" s="47"/>
      <c r="E357" s="18"/>
      <c r="F357" s="18"/>
      <c r="G357" s="18"/>
      <c r="H357" s="18"/>
      <c r="I357" s="25"/>
      <c r="J357" s="18"/>
      <c r="K357" s="18"/>
      <c r="L357" s="18"/>
      <c r="M357" s="18"/>
      <c r="N357" s="18"/>
      <c r="O357" s="18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>
      <c r="A358" s="1"/>
      <c r="B358" s="1"/>
      <c r="C358" s="18"/>
      <c r="D358" s="47"/>
      <c r="E358" s="18"/>
      <c r="F358" s="18"/>
      <c r="G358" s="18"/>
      <c r="H358" s="18"/>
      <c r="I358" s="25"/>
      <c r="J358" s="18"/>
      <c r="K358" s="18"/>
      <c r="L358" s="18"/>
      <c r="M358" s="18"/>
      <c r="N358" s="18"/>
      <c r="O358" s="18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>
      <c r="A359" s="1"/>
      <c r="B359" s="1"/>
      <c r="C359" s="18"/>
      <c r="D359" s="47"/>
      <c r="E359" s="18"/>
      <c r="F359" s="18"/>
      <c r="G359" s="18"/>
      <c r="H359" s="18"/>
      <c r="I359" s="25"/>
      <c r="J359" s="18"/>
      <c r="K359" s="18"/>
      <c r="L359" s="18"/>
      <c r="M359" s="18"/>
      <c r="N359" s="18"/>
      <c r="O359" s="18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>
      <c r="A360" s="1"/>
      <c r="B360" s="1"/>
      <c r="C360" s="18"/>
      <c r="D360" s="47"/>
      <c r="E360" s="18"/>
      <c r="F360" s="18"/>
      <c r="G360" s="18"/>
      <c r="H360" s="18"/>
      <c r="I360" s="25"/>
      <c r="J360" s="18"/>
      <c r="K360" s="18"/>
      <c r="L360" s="18"/>
      <c r="M360" s="18"/>
      <c r="N360" s="18"/>
      <c r="O360" s="18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>
      <c r="A361" s="1"/>
      <c r="B361" s="1"/>
      <c r="C361" s="18"/>
      <c r="D361" s="47"/>
      <c r="E361" s="18"/>
      <c r="F361" s="18"/>
      <c r="G361" s="18"/>
      <c r="H361" s="18"/>
      <c r="I361" s="25"/>
      <c r="J361" s="18"/>
      <c r="K361" s="18"/>
      <c r="L361" s="18"/>
      <c r="M361" s="18"/>
      <c r="N361" s="18"/>
      <c r="O361" s="18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>
      <c r="A362" s="1"/>
      <c r="B362" s="1"/>
      <c r="C362" s="18"/>
      <c r="D362" s="47"/>
      <c r="E362" s="18"/>
      <c r="F362" s="18"/>
      <c r="G362" s="18"/>
      <c r="H362" s="18"/>
      <c r="I362" s="25"/>
      <c r="J362" s="18"/>
      <c r="K362" s="18"/>
      <c r="L362" s="18"/>
      <c r="M362" s="18"/>
      <c r="N362" s="18"/>
      <c r="O362" s="18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>
      <c r="A363" s="1"/>
      <c r="B363" s="1"/>
      <c r="C363" s="18"/>
      <c r="D363" s="47"/>
      <c r="E363" s="18"/>
      <c r="F363" s="18"/>
      <c r="G363" s="18"/>
      <c r="H363" s="18"/>
      <c r="I363" s="25"/>
      <c r="J363" s="18"/>
      <c r="K363" s="18"/>
      <c r="L363" s="18"/>
      <c r="M363" s="18"/>
      <c r="N363" s="18"/>
      <c r="O363" s="18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>
      <c r="A364" s="1"/>
      <c r="B364" s="1"/>
      <c r="C364" s="18"/>
      <c r="D364" s="47"/>
      <c r="E364" s="18"/>
      <c r="F364" s="18"/>
      <c r="G364" s="18"/>
      <c r="H364" s="18"/>
      <c r="I364" s="25"/>
      <c r="J364" s="18"/>
      <c r="K364" s="18"/>
      <c r="L364" s="18"/>
      <c r="M364" s="18"/>
      <c r="N364" s="18"/>
      <c r="O364" s="18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>
      <c r="A365" s="1"/>
      <c r="B365" s="1"/>
      <c r="C365" s="18"/>
      <c r="D365" s="47"/>
      <c r="E365" s="18"/>
      <c r="F365" s="18"/>
      <c r="G365" s="18"/>
      <c r="H365" s="18"/>
      <c r="I365" s="25"/>
      <c r="J365" s="18"/>
      <c r="K365" s="18"/>
      <c r="L365" s="18"/>
      <c r="M365" s="18"/>
      <c r="N365" s="18"/>
      <c r="O365" s="18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>
      <c r="A366" s="1"/>
      <c r="B366" s="1"/>
      <c r="C366" s="18"/>
      <c r="D366" s="47"/>
      <c r="E366" s="18"/>
      <c r="F366" s="18"/>
      <c r="G366" s="18"/>
      <c r="H366" s="18"/>
      <c r="I366" s="25"/>
      <c r="J366" s="18"/>
      <c r="K366" s="18"/>
      <c r="L366" s="18"/>
      <c r="M366" s="18"/>
      <c r="N366" s="18"/>
      <c r="O366" s="18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>
      <c r="A367" s="1"/>
      <c r="B367" s="1"/>
      <c r="C367" s="18"/>
      <c r="D367" s="47"/>
      <c r="E367" s="18"/>
      <c r="F367" s="18"/>
      <c r="G367" s="18"/>
      <c r="H367" s="18"/>
      <c r="I367" s="25"/>
      <c r="J367" s="18"/>
      <c r="K367" s="18"/>
      <c r="L367" s="18"/>
      <c r="M367" s="18"/>
      <c r="N367" s="18"/>
      <c r="O367" s="18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>
      <c r="A368" s="1"/>
      <c r="B368" s="1"/>
      <c r="C368" s="18"/>
      <c r="D368" s="47"/>
      <c r="E368" s="18"/>
      <c r="F368" s="18"/>
      <c r="G368" s="18"/>
      <c r="H368" s="18"/>
      <c r="I368" s="25"/>
      <c r="J368" s="18"/>
      <c r="K368" s="18"/>
      <c r="L368" s="18"/>
      <c r="M368" s="18"/>
      <c r="N368" s="18"/>
      <c r="O368" s="18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>
      <c r="A369" s="1"/>
      <c r="B369" s="1"/>
      <c r="C369" s="18"/>
      <c r="D369" s="47"/>
      <c r="E369" s="18"/>
      <c r="F369" s="18"/>
      <c r="G369" s="18"/>
      <c r="H369" s="18"/>
      <c r="I369" s="25"/>
      <c r="J369" s="18"/>
      <c r="K369" s="18"/>
      <c r="L369" s="18"/>
      <c r="M369" s="18"/>
      <c r="N369" s="18"/>
      <c r="O369" s="18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>
      <c r="A370" s="1"/>
      <c r="B370" s="1"/>
      <c r="C370" s="18"/>
      <c r="D370" s="47"/>
      <c r="E370" s="18"/>
      <c r="F370" s="18"/>
      <c r="G370" s="18"/>
      <c r="H370" s="18"/>
      <c r="I370" s="25"/>
      <c r="J370" s="18"/>
      <c r="K370" s="18"/>
      <c r="L370" s="18"/>
      <c r="M370" s="18"/>
      <c r="N370" s="18"/>
      <c r="O370" s="18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>
      <c r="A371" s="1"/>
      <c r="B371" s="1"/>
      <c r="C371" s="18"/>
      <c r="D371" s="47"/>
      <c r="E371" s="18"/>
      <c r="F371" s="18"/>
      <c r="G371" s="18"/>
      <c r="H371" s="18"/>
      <c r="I371" s="25"/>
      <c r="J371" s="18"/>
      <c r="K371" s="18"/>
      <c r="L371" s="18"/>
      <c r="M371" s="18"/>
      <c r="N371" s="18"/>
      <c r="O371" s="18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>
      <c r="A372" s="1"/>
      <c r="B372" s="1"/>
      <c r="C372" s="18"/>
      <c r="D372" s="47"/>
      <c r="E372" s="18"/>
      <c r="F372" s="18"/>
      <c r="G372" s="18"/>
      <c r="H372" s="18"/>
      <c r="I372" s="25"/>
      <c r="J372" s="18"/>
      <c r="K372" s="18"/>
      <c r="L372" s="18"/>
      <c r="M372" s="18"/>
      <c r="N372" s="18"/>
      <c r="O372" s="18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>
      <c r="A373" s="1"/>
      <c r="B373" s="1"/>
      <c r="C373" s="18"/>
      <c r="D373" s="47"/>
      <c r="E373" s="18"/>
      <c r="F373" s="18"/>
      <c r="G373" s="18"/>
      <c r="H373" s="18"/>
      <c r="I373" s="25"/>
      <c r="J373" s="18"/>
      <c r="K373" s="18"/>
      <c r="L373" s="18"/>
      <c r="M373" s="18"/>
      <c r="N373" s="18"/>
      <c r="O373" s="18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>
      <c r="A374" s="1"/>
      <c r="B374" s="1"/>
      <c r="C374" s="18"/>
      <c r="D374" s="47"/>
      <c r="E374" s="18"/>
      <c r="F374" s="18"/>
      <c r="G374" s="18"/>
      <c r="H374" s="18"/>
      <c r="I374" s="25"/>
      <c r="J374" s="18"/>
      <c r="K374" s="18"/>
      <c r="L374" s="18"/>
      <c r="M374" s="18"/>
      <c r="N374" s="18"/>
      <c r="O374" s="18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>
      <c r="A375" s="1"/>
      <c r="B375" s="1"/>
      <c r="C375" s="18"/>
      <c r="D375" s="47"/>
      <c r="E375" s="18"/>
      <c r="F375" s="18"/>
      <c r="G375" s="18"/>
      <c r="H375" s="18"/>
      <c r="I375" s="25"/>
      <c r="J375" s="18"/>
      <c r="K375" s="18"/>
      <c r="L375" s="18"/>
      <c r="M375" s="18"/>
      <c r="N375" s="18"/>
      <c r="O375" s="18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>
      <c r="A376" s="1"/>
      <c r="B376" s="1"/>
      <c r="C376" s="18"/>
      <c r="D376" s="47"/>
      <c r="E376" s="18"/>
      <c r="F376" s="18"/>
      <c r="G376" s="18"/>
      <c r="H376" s="18"/>
      <c r="I376" s="25"/>
      <c r="J376" s="18"/>
      <c r="K376" s="18"/>
      <c r="L376" s="18"/>
      <c r="M376" s="18"/>
      <c r="N376" s="18"/>
      <c r="O376" s="18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>
      <c r="A377" s="1"/>
      <c r="B377" s="1"/>
      <c r="C377" s="18"/>
      <c r="D377" s="47"/>
      <c r="E377" s="18"/>
      <c r="F377" s="18"/>
      <c r="G377" s="18"/>
      <c r="H377" s="18"/>
      <c r="I377" s="25"/>
      <c r="J377" s="18"/>
      <c r="K377" s="18"/>
      <c r="L377" s="18"/>
      <c r="M377" s="18"/>
      <c r="N377" s="18"/>
      <c r="O377" s="18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>
      <c r="A378" s="1"/>
      <c r="B378" s="1"/>
      <c r="C378" s="18"/>
      <c r="D378" s="47"/>
      <c r="E378" s="18"/>
      <c r="F378" s="18"/>
      <c r="G378" s="18"/>
      <c r="H378" s="18"/>
      <c r="I378" s="25"/>
      <c r="J378" s="18"/>
      <c r="K378" s="18"/>
      <c r="L378" s="18"/>
      <c r="M378" s="18"/>
      <c r="N378" s="18"/>
      <c r="O378" s="18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>
      <c r="A379" s="1"/>
      <c r="B379" s="1"/>
      <c r="C379" s="18"/>
      <c r="D379" s="47"/>
      <c r="E379" s="18"/>
      <c r="F379" s="18"/>
      <c r="G379" s="18"/>
      <c r="H379" s="18"/>
      <c r="I379" s="25"/>
      <c r="J379" s="18"/>
      <c r="K379" s="18"/>
      <c r="L379" s="18"/>
      <c r="M379" s="18"/>
      <c r="N379" s="18"/>
      <c r="O379" s="18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>
      <c r="A380" s="1"/>
      <c r="B380" s="1"/>
      <c r="C380" s="18"/>
      <c r="D380" s="47"/>
      <c r="E380" s="18"/>
      <c r="F380" s="18"/>
      <c r="G380" s="18"/>
      <c r="H380" s="18"/>
      <c r="I380" s="25"/>
      <c r="J380" s="18"/>
      <c r="K380" s="18"/>
      <c r="L380" s="18"/>
      <c r="M380" s="18"/>
      <c r="N380" s="18"/>
      <c r="O380" s="18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>
      <c r="A381" s="1"/>
      <c r="B381" s="1"/>
      <c r="C381" s="18"/>
      <c r="D381" s="47"/>
      <c r="E381" s="18"/>
      <c r="F381" s="18"/>
      <c r="G381" s="18"/>
      <c r="H381" s="18"/>
      <c r="I381" s="25"/>
      <c r="J381" s="18"/>
      <c r="K381" s="18"/>
      <c r="L381" s="18"/>
      <c r="M381" s="18"/>
      <c r="N381" s="18"/>
      <c r="O381" s="18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>
      <c r="A382" s="1"/>
      <c r="B382" s="1"/>
      <c r="C382" s="18"/>
      <c r="D382" s="47"/>
      <c r="E382" s="18"/>
      <c r="F382" s="18"/>
      <c r="G382" s="18"/>
      <c r="H382" s="18"/>
      <c r="I382" s="25"/>
      <c r="J382" s="18"/>
      <c r="K382" s="18"/>
      <c r="L382" s="18"/>
      <c r="M382" s="18"/>
      <c r="N382" s="18"/>
      <c r="O382" s="18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>
      <c r="A383" s="1"/>
      <c r="B383" s="1"/>
      <c r="C383" s="18"/>
      <c r="D383" s="47"/>
      <c r="E383" s="18"/>
      <c r="F383" s="18"/>
      <c r="G383" s="18"/>
      <c r="H383" s="18"/>
      <c r="I383" s="25"/>
      <c r="J383" s="18"/>
      <c r="K383" s="18"/>
      <c r="L383" s="18"/>
      <c r="M383" s="18"/>
      <c r="N383" s="18"/>
      <c r="O383" s="18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>
      <c r="A384" s="1"/>
      <c r="B384" s="1"/>
      <c r="C384" s="18"/>
      <c r="D384" s="47"/>
      <c r="E384" s="18"/>
      <c r="F384" s="18"/>
      <c r="G384" s="18"/>
      <c r="H384" s="18"/>
      <c r="I384" s="25"/>
      <c r="J384" s="18"/>
      <c r="K384" s="18"/>
      <c r="L384" s="18"/>
      <c r="M384" s="18"/>
      <c r="N384" s="18"/>
      <c r="O384" s="18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>
      <c r="A385" s="1"/>
      <c r="B385" s="1"/>
      <c r="C385" s="18"/>
      <c r="D385" s="47"/>
      <c r="E385" s="18"/>
      <c r="F385" s="18"/>
      <c r="G385" s="18"/>
      <c r="H385" s="18"/>
      <c r="I385" s="25"/>
      <c r="J385" s="18"/>
      <c r="K385" s="18"/>
      <c r="L385" s="18"/>
      <c r="M385" s="18"/>
      <c r="N385" s="18"/>
      <c r="O385" s="18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>
      <c r="A386" s="1"/>
      <c r="B386" s="1"/>
      <c r="C386" s="18"/>
      <c r="D386" s="47"/>
      <c r="E386" s="18"/>
      <c r="F386" s="18"/>
      <c r="G386" s="18"/>
      <c r="H386" s="18"/>
      <c r="I386" s="25"/>
      <c r="J386" s="18"/>
      <c r="K386" s="18"/>
      <c r="L386" s="18"/>
      <c r="M386" s="18"/>
      <c r="N386" s="18"/>
      <c r="O386" s="18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>
      <c r="A387" s="1"/>
      <c r="B387" s="1"/>
      <c r="C387" s="18"/>
      <c r="D387" s="47"/>
      <c r="E387" s="18"/>
      <c r="F387" s="18"/>
      <c r="G387" s="18"/>
      <c r="H387" s="18"/>
      <c r="I387" s="25"/>
      <c r="J387" s="18"/>
      <c r="K387" s="18"/>
      <c r="L387" s="18"/>
      <c r="M387" s="18"/>
      <c r="N387" s="18"/>
      <c r="O387" s="18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>
      <c r="A388" s="1"/>
      <c r="B388" s="1"/>
      <c r="C388" s="18"/>
      <c r="D388" s="47"/>
      <c r="E388" s="18"/>
      <c r="F388" s="18"/>
      <c r="G388" s="18"/>
      <c r="H388" s="18"/>
      <c r="I388" s="25"/>
      <c r="J388" s="18"/>
      <c r="K388" s="18"/>
      <c r="L388" s="18"/>
      <c r="M388" s="18"/>
      <c r="N388" s="18"/>
      <c r="O388" s="18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>
      <c r="A389" s="1"/>
      <c r="B389" s="1"/>
      <c r="C389" s="18"/>
      <c r="D389" s="47"/>
      <c r="E389" s="18"/>
      <c r="F389" s="18"/>
      <c r="G389" s="18"/>
      <c r="H389" s="18"/>
      <c r="I389" s="25"/>
      <c r="J389" s="18"/>
      <c r="K389" s="18"/>
      <c r="L389" s="18"/>
      <c r="M389" s="18"/>
      <c r="N389" s="18"/>
      <c r="O389" s="18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>
      <c r="A390" s="1"/>
      <c r="B390" s="1"/>
      <c r="C390" s="18"/>
      <c r="D390" s="47"/>
      <c r="E390" s="18"/>
      <c r="F390" s="18"/>
      <c r="G390" s="18"/>
      <c r="H390" s="18"/>
      <c r="I390" s="25"/>
      <c r="J390" s="18"/>
      <c r="K390" s="18"/>
      <c r="L390" s="18"/>
      <c r="M390" s="18"/>
      <c r="N390" s="18"/>
      <c r="O390" s="18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>
      <c r="A391" s="1"/>
      <c r="B391" s="1"/>
      <c r="C391" s="18"/>
      <c r="D391" s="47"/>
      <c r="E391" s="18"/>
      <c r="F391" s="18"/>
      <c r="G391" s="18"/>
      <c r="H391" s="18"/>
      <c r="I391" s="25"/>
      <c r="J391" s="18"/>
      <c r="K391" s="18"/>
      <c r="L391" s="18"/>
      <c r="M391" s="18"/>
      <c r="N391" s="18"/>
      <c r="O391" s="18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>
      <c r="A392" s="1"/>
      <c r="B392" s="1"/>
      <c r="C392" s="18"/>
      <c r="D392" s="47"/>
      <c r="E392" s="18"/>
      <c r="F392" s="18"/>
      <c r="G392" s="18"/>
      <c r="H392" s="18"/>
      <c r="I392" s="25"/>
      <c r="J392" s="18"/>
      <c r="K392" s="18"/>
      <c r="L392" s="18"/>
      <c r="M392" s="18"/>
      <c r="N392" s="18"/>
      <c r="O392" s="18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>
      <c r="A393" s="1"/>
      <c r="B393" s="1"/>
      <c r="C393" s="18"/>
      <c r="D393" s="47"/>
      <c r="E393" s="18"/>
      <c r="F393" s="18"/>
      <c r="G393" s="18"/>
      <c r="H393" s="18"/>
      <c r="I393" s="25"/>
      <c r="J393" s="18"/>
      <c r="K393" s="18"/>
      <c r="L393" s="18"/>
      <c r="M393" s="18"/>
      <c r="N393" s="18"/>
      <c r="O393" s="18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>
      <c r="A394" s="1"/>
      <c r="B394" s="1"/>
      <c r="C394" s="18"/>
      <c r="D394" s="47"/>
      <c r="E394" s="18"/>
      <c r="F394" s="18"/>
      <c r="G394" s="18"/>
      <c r="H394" s="18"/>
      <c r="I394" s="25"/>
      <c r="J394" s="18"/>
      <c r="K394" s="18"/>
      <c r="L394" s="18"/>
      <c r="M394" s="18"/>
      <c r="N394" s="18"/>
      <c r="O394" s="18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>
      <c r="A395" s="1"/>
      <c r="B395" s="1"/>
      <c r="C395" s="18"/>
      <c r="D395" s="47"/>
      <c r="E395" s="18"/>
      <c r="F395" s="18"/>
      <c r="G395" s="18"/>
      <c r="H395" s="18"/>
      <c r="I395" s="25"/>
      <c r="J395" s="18"/>
      <c r="K395" s="18"/>
      <c r="L395" s="18"/>
      <c r="M395" s="18"/>
      <c r="N395" s="18"/>
      <c r="O395" s="18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>
      <c r="A396" s="1"/>
      <c r="B396" s="1"/>
      <c r="C396" s="18"/>
      <c r="D396" s="47"/>
      <c r="E396" s="18"/>
      <c r="F396" s="18"/>
      <c r="G396" s="18"/>
      <c r="H396" s="18"/>
      <c r="I396" s="25"/>
      <c r="J396" s="18"/>
      <c r="K396" s="18"/>
      <c r="L396" s="18"/>
      <c r="M396" s="18"/>
      <c r="N396" s="18"/>
      <c r="O396" s="18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>
      <c r="A397" s="1"/>
      <c r="B397" s="1"/>
      <c r="C397" s="18"/>
      <c r="D397" s="47"/>
      <c r="E397" s="18"/>
      <c r="F397" s="18"/>
      <c r="G397" s="18"/>
      <c r="H397" s="18"/>
      <c r="I397" s="25"/>
      <c r="J397" s="18"/>
      <c r="K397" s="18"/>
      <c r="L397" s="18"/>
      <c r="M397" s="18"/>
      <c r="N397" s="18"/>
      <c r="O397" s="18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>
      <c r="A398" s="1"/>
      <c r="B398" s="1"/>
      <c r="C398" s="18"/>
      <c r="D398" s="47"/>
      <c r="E398" s="18"/>
      <c r="F398" s="18"/>
      <c r="G398" s="18"/>
      <c r="H398" s="18"/>
      <c r="I398" s="25"/>
      <c r="J398" s="18"/>
      <c r="K398" s="18"/>
      <c r="L398" s="18"/>
      <c r="M398" s="18"/>
      <c r="N398" s="18"/>
      <c r="O398" s="18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>
      <c r="A399" s="1"/>
      <c r="B399" s="1"/>
      <c r="C399" s="18"/>
      <c r="D399" s="47"/>
      <c r="E399" s="18"/>
      <c r="F399" s="18"/>
      <c r="G399" s="18"/>
      <c r="H399" s="18"/>
      <c r="I399" s="25"/>
      <c r="J399" s="18"/>
      <c r="K399" s="18"/>
      <c r="L399" s="18"/>
      <c r="M399" s="18"/>
      <c r="N399" s="18"/>
      <c r="O399" s="18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>
      <c r="A400" s="1"/>
      <c r="B400" s="1"/>
      <c r="C400" s="18"/>
      <c r="D400" s="47"/>
      <c r="E400" s="18"/>
      <c r="F400" s="18"/>
      <c r="G400" s="18"/>
      <c r="H400" s="18"/>
      <c r="I400" s="25"/>
      <c r="J400" s="18"/>
      <c r="K400" s="18"/>
      <c r="L400" s="18"/>
      <c r="M400" s="18"/>
      <c r="N400" s="18"/>
      <c r="O400" s="18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>
      <c r="A401" s="1"/>
      <c r="B401" s="1"/>
      <c r="C401" s="18"/>
      <c r="D401" s="47"/>
      <c r="E401" s="18"/>
      <c r="F401" s="18"/>
      <c r="G401" s="18"/>
      <c r="H401" s="18"/>
      <c r="I401" s="25"/>
      <c r="J401" s="18"/>
      <c r="K401" s="18"/>
      <c r="L401" s="18"/>
      <c r="M401" s="18"/>
      <c r="N401" s="18"/>
      <c r="O401" s="18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>
      <c r="A402" s="1"/>
      <c r="B402" s="1"/>
      <c r="C402" s="18"/>
      <c r="D402" s="47"/>
      <c r="E402" s="18"/>
      <c r="F402" s="18"/>
      <c r="G402" s="18"/>
      <c r="H402" s="18"/>
      <c r="I402" s="25"/>
      <c r="J402" s="18"/>
      <c r="K402" s="18"/>
      <c r="L402" s="18"/>
      <c r="M402" s="18"/>
      <c r="N402" s="18"/>
      <c r="O402" s="18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>
      <c r="A403" s="1"/>
      <c r="B403" s="1"/>
      <c r="C403" s="18"/>
      <c r="D403" s="47"/>
      <c r="E403" s="18"/>
      <c r="F403" s="18"/>
      <c r="G403" s="18"/>
      <c r="H403" s="18"/>
      <c r="I403" s="25"/>
      <c r="J403" s="18"/>
      <c r="K403" s="18"/>
      <c r="L403" s="18"/>
      <c r="M403" s="18"/>
      <c r="N403" s="18"/>
      <c r="O403" s="18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>
      <c r="A404" s="1"/>
      <c r="B404" s="1"/>
      <c r="C404" s="18"/>
      <c r="D404" s="47"/>
      <c r="E404" s="18"/>
      <c r="F404" s="18"/>
      <c r="G404" s="18"/>
      <c r="H404" s="18"/>
      <c r="I404" s="25"/>
      <c r="J404" s="18"/>
      <c r="K404" s="18"/>
      <c r="L404" s="18"/>
      <c r="M404" s="18"/>
      <c r="N404" s="18"/>
      <c r="O404" s="18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>
      <c r="A405" s="1"/>
      <c r="B405" s="1"/>
      <c r="C405" s="18"/>
      <c r="D405" s="47"/>
      <c r="E405" s="18"/>
      <c r="F405" s="18"/>
      <c r="G405" s="18"/>
      <c r="H405" s="18"/>
      <c r="I405" s="25"/>
      <c r="J405" s="18"/>
      <c r="K405" s="18"/>
      <c r="L405" s="18"/>
      <c r="M405" s="18"/>
      <c r="N405" s="18"/>
      <c r="O405" s="18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>
      <c r="A406" s="1"/>
      <c r="B406" s="1"/>
      <c r="C406" s="18"/>
      <c r="D406" s="47"/>
      <c r="E406" s="18"/>
      <c r="F406" s="18"/>
      <c r="G406" s="18"/>
      <c r="H406" s="18"/>
      <c r="I406" s="25"/>
      <c r="J406" s="18"/>
      <c r="K406" s="18"/>
      <c r="L406" s="18"/>
      <c r="M406" s="18"/>
      <c r="N406" s="18"/>
      <c r="O406" s="18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>
      <c r="A407" s="1"/>
      <c r="B407" s="1"/>
      <c r="C407" s="18"/>
      <c r="D407" s="47"/>
      <c r="E407" s="18"/>
      <c r="F407" s="18"/>
      <c r="G407" s="18"/>
      <c r="H407" s="18"/>
      <c r="I407" s="25"/>
      <c r="J407" s="18"/>
      <c r="K407" s="18"/>
      <c r="L407" s="18"/>
      <c r="M407" s="18"/>
      <c r="N407" s="18"/>
      <c r="O407" s="18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>
      <c r="A408" s="1"/>
      <c r="B408" s="1"/>
      <c r="C408" s="18"/>
      <c r="D408" s="47"/>
      <c r="E408" s="18"/>
      <c r="F408" s="18"/>
      <c r="G408" s="18"/>
      <c r="H408" s="18"/>
      <c r="I408" s="25"/>
      <c r="J408" s="18"/>
      <c r="K408" s="18"/>
      <c r="L408" s="18"/>
      <c r="M408" s="18"/>
      <c r="N408" s="18"/>
      <c r="O408" s="18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>
      <c r="A409" s="1"/>
      <c r="B409" s="1"/>
      <c r="C409" s="18"/>
      <c r="D409" s="47"/>
      <c r="E409" s="18"/>
      <c r="F409" s="18"/>
      <c r="G409" s="18"/>
      <c r="H409" s="18"/>
      <c r="I409" s="25"/>
      <c r="J409" s="18"/>
      <c r="K409" s="18"/>
      <c r="L409" s="18"/>
      <c r="M409" s="18"/>
      <c r="N409" s="18"/>
      <c r="O409" s="18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>
      <c r="A410" s="1"/>
      <c r="B410" s="1"/>
      <c r="C410" s="18"/>
      <c r="D410" s="47"/>
      <c r="E410" s="18"/>
      <c r="F410" s="18"/>
      <c r="G410" s="18"/>
      <c r="H410" s="18"/>
      <c r="I410" s="25"/>
      <c r="J410" s="18"/>
      <c r="K410" s="18"/>
      <c r="L410" s="18"/>
      <c r="M410" s="18"/>
      <c r="N410" s="18"/>
      <c r="O410" s="18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>
      <c r="A411" s="1"/>
      <c r="B411" s="1"/>
      <c r="C411" s="18"/>
      <c r="D411" s="47"/>
      <c r="E411" s="18"/>
      <c r="F411" s="18"/>
      <c r="G411" s="18"/>
      <c r="H411" s="18"/>
      <c r="I411" s="25"/>
      <c r="J411" s="18"/>
      <c r="K411" s="18"/>
      <c r="L411" s="18"/>
      <c r="M411" s="18"/>
      <c r="N411" s="18"/>
      <c r="O411" s="18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>
      <c r="A412" s="1"/>
      <c r="B412" s="1"/>
      <c r="C412" s="18"/>
      <c r="D412" s="47"/>
      <c r="E412" s="18"/>
      <c r="F412" s="18"/>
      <c r="G412" s="18"/>
      <c r="H412" s="18"/>
      <c r="I412" s="25"/>
      <c r="J412" s="18"/>
      <c r="K412" s="18"/>
      <c r="L412" s="18"/>
      <c r="M412" s="18"/>
      <c r="N412" s="18"/>
      <c r="O412" s="18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>
      <c r="A413" s="1"/>
      <c r="B413" s="1"/>
      <c r="C413" s="18"/>
      <c r="D413" s="47"/>
      <c r="E413" s="18"/>
      <c r="F413" s="18"/>
      <c r="G413" s="18"/>
      <c r="H413" s="18"/>
      <c r="I413" s="25"/>
      <c r="J413" s="18"/>
      <c r="K413" s="18"/>
      <c r="L413" s="18"/>
      <c r="M413" s="18"/>
      <c r="N413" s="18"/>
      <c r="O413" s="18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>
      <c r="A414" s="1"/>
      <c r="B414" s="1"/>
      <c r="C414" s="18"/>
      <c r="D414" s="47"/>
      <c r="E414" s="18"/>
      <c r="F414" s="18"/>
      <c r="G414" s="18"/>
      <c r="H414" s="18"/>
      <c r="I414" s="25"/>
      <c r="J414" s="18"/>
      <c r="K414" s="18"/>
      <c r="L414" s="18"/>
      <c r="M414" s="18"/>
      <c r="N414" s="18"/>
      <c r="O414" s="18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>
      <c r="A415" s="1"/>
      <c r="B415" s="1"/>
      <c r="C415" s="18"/>
      <c r="D415" s="47"/>
      <c r="E415" s="18"/>
      <c r="F415" s="18"/>
      <c r="G415" s="18"/>
      <c r="H415" s="18"/>
      <c r="I415" s="25"/>
      <c r="J415" s="18"/>
      <c r="K415" s="18"/>
      <c r="L415" s="18"/>
      <c r="M415" s="18"/>
      <c r="N415" s="18"/>
      <c r="O415" s="18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>
      <c r="A416" s="1"/>
      <c r="B416" s="1"/>
      <c r="C416" s="18"/>
      <c r="D416" s="47"/>
      <c r="E416" s="18"/>
      <c r="F416" s="18"/>
      <c r="G416" s="18"/>
      <c r="H416" s="18"/>
      <c r="I416" s="25"/>
      <c r="J416" s="18"/>
      <c r="K416" s="18"/>
      <c r="L416" s="18"/>
      <c r="M416" s="18"/>
      <c r="N416" s="18"/>
      <c r="O416" s="18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>
      <c r="A417" s="1"/>
      <c r="B417" s="1"/>
      <c r="C417" s="18"/>
      <c r="D417" s="47"/>
      <c r="E417" s="18"/>
      <c r="F417" s="18"/>
      <c r="G417" s="18"/>
      <c r="H417" s="18"/>
      <c r="I417" s="25"/>
      <c r="J417" s="18"/>
      <c r="K417" s="18"/>
      <c r="L417" s="18"/>
      <c r="M417" s="18"/>
      <c r="N417" s="18"/>
      <c r="O417" s="18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>
      <c r="A418" s="1"/>
      <c r="B418" s="1"/>
      <c r="C418" s="18"/>
      <c r="D418" s="47"/>
      <c r="E418" s="18"/>
      <c r="F418" s="18"/>
      <c r="G418" s="18"/>
      <c r="H418" s="18"/>
      <c r="I418" s="25"/>
      <c r="J418" s="18"/>
      <c r="K418" s="18"/>
      <c r="L418" s="18"/>
      <c r="M418" s="18"/>
      <c r="N418" s="18"/>
      <c r="O418" s="18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>
      <c r="A419" s="1"/>
      <c r="B419" s="1"/>
      <c r="C419" s="18"/>
      <c r="D419" s="47"/>
      <c r="E419" s="18"/>
      <c r="F419" s="18"/>
      <c r="G419" s="18"/>
      <c r="H419" s="18"/>
      <c r="I419" s="25"/>
      <c r="J419" s="18"/>
      <c r="K419" s="18"/>
      <c r="L419" s="18"/>
      <c r="M419" s="18"/>
      <c r="N419" s="18"/>
      <c r="O419" s="18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>
      <c r="A420" s="1"/>
      <c r="B420" s="1"/>
      <c r="C420" s="18"/>
      <c r="D420" s="47"/>
      <c r="E420" s="18"/>
      <c r="F420" s="18"/>
      <c r="G420" s="18"/>
      <c r="H420" s="18"/>
      <c r="I420" s="25"/>
      <c r="J420" s="18"/>
      <c r="K420" s="18"/>
      <c r="L420" s="18"/>
      <c r="M420" s="18"/>
      <c r="N420" s="18"/>
      <c r="O420" s="18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>
      <c r="A421" s="1"/>
      <c r="B421" s="1"/>
      <c r="C421" s="18"/>
      <c r="D421" s="47"/>
      <c r="E421" s="18"/>
      <c r="F421" s="18"/>
      <c r="G421" s="18"/>
      <c r="H421" s="18"/>
      <c r="I421" s="25"/>
      <c r="J421" s="18"/>
      <c r="K421" s="18"/>
      <c r="L421" s="18"/>
      <c r="M421" s="18"/>
      <c r="N421" s="18"/>
      <c r="O421" s="18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>
      <c r="A422" s="1"/>
      <c r="B422" s="1"/>
      <c r="C422" s="18"/>
      <c r="D422" s="47"/>
      <c r="E422" s="18"/>
      <c r="F422" s="18"/>
      <c r="G422" s="18"/>
      <c r="H422" s="18"/>
      <c r="I422" s="25"/>
      <c r="J422" s="18"/>
      <c r="K422" s="18"/>
      <c r="L422" s="18"/>
      <c r="M422" s="18"/>
      <c r="N422" s="18"/>
      <c r="O422" s="18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>
      <c r="A423" s="1"/>
      <c r="B423" s="1"/>
      <c r="C423" s="18"/>
      <c r="D423" s="47"/>
      <c r="E423" s="18"/>
      <c r="F423" s="18"/>
      <c r="G423" s="18"/>
      <c r="H423" s="18"/>
      <c r="I423" s="25"/>
      <c r="J423" s="18"/>
      <c r="K423" s="18"/>
      <c r="L423" s="18"/>
      <c r="M423" s="18"/>
      <c r="N423" s="18"/>
      <c r="O423" s="18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>
      <c r="A424" s="1"/>
      <c r="B424" s="1"/>
      <c r="C424" s="18"/>
      <c r="D424" s="47"/>
      <c r="E424" s="18"/>
      <c r="F424" s="18"/>
      <c r="G424" s="18"/>
      <c r="H424" s="18"/>
      <c r="I424" s="25"/>
      <c r="J424" s="18"/>
      <c r="K424" s="18"/>
      <c r="L424" s="18"/>
      <c r="M424" s="18"/>
      <c r="N424" s="18"/>
      <c r="O424" s="18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>
      <c r="A425" s="1"/>
      <c r="B425" s="1"/>
      <c r="C425" s="18"/>
      <c r="D425" s="47"/>
      <c r="E425" s="18"/>
      <c r="F425" s="18"/>
      <c r="G425" s="18"/>
      <c r="H425" s="18"/>
      <c r="I425" s="25"/>
      <c r="J425" s="18"/>
      <c r="K425" s="18"/>
      <c r="L425" s="18"/>
      <c r="M425" s="18"/>
      <c r="N425" s="18"/>
      <c r="O425" s="18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>
      <c r="A426" s="1"/>
      <c r="B426" s="1"/>
      <c r="C426" s="18"/>
      <c r="D426" s="47"/>
      <c r="E426" s="18"/>
      <c r="F426" s="18"/>
      <c r="G426" s="18"/>
      <c r="H426" s="18"/>
      <c r="I426" s="25"/>
      <c r="J426" s="18"/>
      <c r="K426" s="18"/>
      <c r="L426" s="18"/>
      <c r="M426" s="18"/>
      <c r="N426" s="18"/>
      <c r="O426" s="18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>
      <c r="A427" s="1"/>
      <c r="B427" s="1"/>
      <c r="C427" s="18"/>
      <c r="D427" s="47"/>
      <c r="E427" s="18"/>
      <c r="F427" s="18"/>
      <c r="G427" s="18"/>
      <c r="H427" s="18"/>
      <c r="I427" s="25"/>
      <c r="J427" s="18"/>
      <c r="K427" s="18"/>
      <c r="L427" s="18"/>
      <c r="M427" s="18"/>
      <c r="N427" s="18"/>
      <c r="O427" s="18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>
      <c r="A428" s="1"/>
      <c r="B428" s="1"/>
      <c r="C428" s="18"/>
      <c r="D428" s="47"/>
      <c r="E428" s="18"/>
      <c r="F428" s="18"/>
      <c r="G428" s="18"/>
      <c r="H428" s="18"/>
      <c r="I428" s="25"/>
      <c r="J428" s="18"/>
      <c r="K428" s="18"/>
      <c r="L428" s="18"/>
      <c r="M428" s="18"/>
      <c r="N428" s="18"/>
      <c r="O428" s="18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>
      <c r="A429" s="1"/>
      <c r="B429" s="1"/>
      <c r="C429" s="18"/>
      <c r="D429" s="47"/>
      <c r="E429" s="18"/>
      <c r="F429" s="18"/>
      <c r="G429" s="18"/>
      <c r="H429" s="18"/>
      <c r="I429" s="25"/>
      <c r="J429" s="18"/>
      <c r="K429" s="18"/>
      <c r="L429" s="18"/>
      <c r="M429" s="18"/>
      <c r="N429" s="18"/>
      <c r="O429" s="18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>
      <c r="A430" s="1"/>
      <c r="B430" s="1"/>
      <c r="C430" s="18"/>
      <c r="D430" s="47"/>
      <c r="E430" s="18"/>
      <c r="F430" s="18"/>
      <c r="G430" s="18"/>
      <c r="H430" s="18"/>
      <c r="I430" s="25"/>
      <c r="J430" s="18"/>
      <c r="K430" s="18"/>
      <c r="L430" s="18"/>
      <c r="M430" s="18"/>
      <c r="N430" s="18"/>
      <c r="O430" s="18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>
      <c r="A431" s="1"/>
      <c r="B431" s="1"/>
      <c r="C431" s="18"/>
      <c r="D431" s="47"/>
      <c r="E431" s="18"/>
      <c r="F431" s="18"/>
      <c r="G431" s="18"/>
      <c r="H431" s="18"/>
      <c r="I431" s="25"/>
      <c r="J431" s="18"/>
      <c r="K431" s="18"/>
      <c r="L431" s="18"/>
      <c r="M431" s="18"/>
      <c r="N431" s="18"/>
      <c r="O431" s="18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>
      <c r="A432" s="1"/>
      <c r="B432" s="1"/>
      <c r="C432" s="18"/>
      <c r="D432" s="47"/>
      <c r="E432" s="18"/>
      <c r="F432" s="18"/>
      <c r="G432" s="18"/>
      <c r="H432" s="18"/>
      <c r="I432" s="25"/>
      <c r="J432" s="18"/>
      <c r="K432" s="18"/>
      <c r="L432" s="18"/>
      <c r="M432" s="18"/>
      <c r="N432" s="18"/>
      <c r="O432" s="18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>
      <c r="A433" s="1"/>
      <c r="B433" s="1"/>
      <c r="C433" s="18"/>
      <c r="D433" s="47"/>
      <c r="E433" s="18"/>
      <c r="F433" s="18"/>
      <c r="G433" s="18"/>
      <c r="H433" s="18"/>
      <c r="I433" s="25"/>
      <c r="J433" s="18"/>
      <c r="K433" s="18"/>
      <c r="L433" s="18"/>
      <c r="M433" s="18"/>
      <c r="N433" s="18"/>
      <c r="O433" s="18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>
      <c r="A434" s="1"/>
      <c r="B434" s="1"/>
      <c r="C434" s="18"/>
      <c r="D434" s="47"/>
      <c r="E434" s="18"/>
      <c r="F434" s="18"/>
      <c r="G434" s="18"/>
      <c r="H434" s="18"/>
      <c r="I434" s="25"/>
      <c r="J434" s="18"/>
      <c r="K434" s="18"/>
      <c r="L434" s="18"/>
      <c r="M434" s="18"/>
      <c r="N434" s="18"/>
      <c r="O434" s="18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>
      <c r="A435" s="1"/>
      <c r="B435" s="1"/>
      <c r="C435" s="18"/>
      <c r="D435" s="47"/>
      <c r="E435" s="18"/>
      <c r="F435" s="18"/>
      <c r="G435" s="18"/>
      <c r="H435" s="18"/>
      <c r="I435" s="25"/>
      <c r="J435" s="18"/>
      <c r="K435" s="18"/>
      <c r="L435" s="18"/>
      <c r="M435" s="18"/>
      <c r="N435" s="18"/>
      <c r="O435" s="18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>
      <c r="A436" s="1"/>
      <c r="B436" s="1"/>
      <c r="C436" s="18"/>
      <c r="D436" s="47"/>
      <c r="E436" s="18"/>
      <c r="F436" s="18"/>
      <c r="G436" s="18"/>
      <c r="H436" s="18"/>
      <c r="I436" s="25"/>
      <c r="J436" s="18"/>
      <c r="K436" s="18"/>
      <c r="L436" s="18"/>
      <c r="M436" s="18"/>
      <c r="N436" s="18"/>
      <c r="O436" s="18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>
      <c r="A437" s="1"/>
      <c r="B437" s="1"/>
      <c r="C437" s="18"/>
      <c r="D437" s="47"/>
      <c r="E437" s="18"/>
      <c r="F437" s="18"/>
      <c r="G437" s="18"/>
      <c r="H437" s="18"/>
      <c r="I437" s="25"/>
      <c r="J437" s="18"/>
      <c r="K437" s="18"/>
      <c r="L437" s="18"/>
      <c r="M437" s="18"/>
      <c r="N437" s="18"/>
      <c r="O437" s="18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>
      <c r="A438" s="1"/>
      <c r="B438" s="1"/>
      <c r="C438" s="18"/>
      <c r="D438" s="47"/>
      <c r="E438" s="18"/>
      <c r="F438" s="18"/>
      <c r="G438" s="18"/>
      <c r="H438" s="18"/>
      <c r="I438" s="25"/>
      <c r="J438" s="18"/>
      <c r="K438" s="18"/>
      <c r="L438" s="18"/>
      <c r="M438" s="18"/>
      <c r="N438" s="18"/>
      <c r="O438" s="18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>
      <c r="A439" s="1"/>
      <c r="B439" s="1"/>
      <c r="C439" s="18"/>
      <c r="D439" s="47"/>
      <c r="E439" s="18"/>
      <c r="F439" s="18"/>
      <c r="G439" s="18"/>
      <c r="H439" s="18"/>
      <c r="I439" s="25"/>
      <c r="J439" s="18"/>
      <c r="K439" s="18"/>
      <c r="L439" s="18"/>
      <c r="M439" s="18"/>
      <c r="N439" s="18"/>
      <c r="O439" s="18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>
      <c r="A440" s="1"/>
      <c r="B440" s="1"/>
      <c r="C440" s="18"/>
      <c r="D440" s="47"/>
      <c r="E440" s="18"/>
      <c r="F440" s="18"/>
      <c r="G440" s="18"/>
      <c r="H440" s="18"/>
      <c r="I440" s="25"/>
      <c r="J440" s="18"/>
      <c r="K440" s="18"/>
      <c r="L440" s="18"/>
      <c r="M440" s="18"/>
      <c r="N440" s="18"/>
      <c r="O440" s="18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>
      <c r="A441" s="1"/>
      <c r="B441" s="1"/>
      <c r="C441" s="18"/>
      <c r="D441" s="47"/>
      <c r="E441" s="18"/>
      <c r="F441" s="18"/>
      <c r="G441" s="18"/>
      <c r="H441" s="18"/>
      <c r="I441" s="25"/>
      <c r="J441" s="18"/>
      <c r="K441" s="18"/>
      <c r="L441" s="18"/>
      <c r="M441" s="18"/>
      <c r="N441" s="18"/>
      <c r="O441" s="18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>
      <c r="A442" s="1"/>
      <c r="B442" s="1"/>
      <c r="C442" s="18"/>
      <c r="D442" s="47"/>
      <c r="E442" s="18"/>
      <c r="F442" s="18"/>
      <c r="G442" s="18"/>
      <c r="H442" s="18"/>
      <c r="I442" s="25"/>
      <c r="J442" s="18"/>
      <c r="K442" s="18"/>
      <c r="L442" s="18"/>
      <c r="M442" s="18"/>
      <c r="N442" s="18"/>
      <c r="O442" s="18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>
      <c r="A443" s="1"/>
      <c r="B443" s="1"/>
      <c r="C443" s="18"/>
      <c r="D443" s="47"/>
      <c r="E443" s="18"/>
      <c r="F443" s="18"/>
      <c r="G443" s="18"/>
      <c r="H443" s="18"/>
      <c r="I443" s="25"/>
      <c r="J443" s="18"/>
      <c r="K443" s="18"/>
      <c r="L443" s="18"/>
      <c r="M443" s="18"/>
      <c r="N443" s="18"/>
      <c r="O443" s="18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>
      <c r="A444" s="1"/>
      <c r="B444" s="1"/>
      <c r="C444" s="18"/>
      <c r="D444" s="47"/>
      <c r="E444" s="18"/>
      <c r="F444" s="18"/>
      <c r="G444" s="18"/>
      <c r="H444" s="18"/>
      <c r="I444" s="25"/>
      <c r="J444" s="18"/>
      <c r="K444" s="18"/>
      <c r="L444" s="18"/>
      <c r="M444" s="18"/>
      <c r="N444" s="18"/>
      <c r="O444" s="18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>
      <c r="A445" s="1"/>
      <c r="B445" s="1"/>
      <c r="C445" s="18"/>
      <c r="D445" s="47"/>
      <c r="E445" s="18"/>
      <c r="F445" s="18"/>
      <c r="G445" s="18"/>
      <c r="H445" s="18"/>
      <c r="I445" s="25"/>
      <c r="J445" s="18"/>
      <c r="K445" s="18"/>
      <c r="L445" s="18"/>
      <c r="M445" s="18"/>
      <c r="N445" s="18"/>
      <c r="O445" s="18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>
      <c r="A446" s="1"/>
      <c r="B446" s="1"/>
      <c r="C446" s="18"/>
      <c r="D446" s="47"/>
      <c r="E446" s="18"/>
      <c r="F446" s="18"/>
      <c r="G446" s="18"/>
      <c r="H446" s="18"/>
      <c r="I446" s="25"/>
      <c r="J446" s="18"/>
      <c r="K446" s="18"/>
      <c r="L446" s="18"/>
      <c r="M446" s="18"/>
      <c r="N446" s="18"/>
      <c r="O446" s="18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>
      <c r="A447" s="1"/>
      <c r="B447" s="1"/>
      <c r="C447" s="18"/>
      <c r="D447" s="47"/>
      <c r="E447" s="18"/>
      <c r="F447" s="18"/>
      <c r="G447" s="18"/>
      <c r="H447" s="18"/>
      <c r="I447" s="25"/>
      <c r="J447" s="18"/>
      <c r="K447" s="18"/>
      <c r="L447" s="18"/>
      <c r="M447" s="18"/>
      <c r="N447" s="18"/>
      <c r="O447" s="18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>
      <c r="A448" s="1"/>
      <c r="B448" s="1"/>
      <c r="C448" s="18"/>
      <c r="D448" s="47"/>
      <c r="E448" s="18"/>
      <c r="F448" s="18"/>
      <c r="G448" s="18"/>
      <c r="H448" s="18"/>
      <c r="I448" s="25"/>
      <c r="J448" s="18"/>
      <c r="K448" s="18"/>
      <c r="L448" s="18"/>
      <c r="M448" s="18"/>
      <c r="N448" s="18"/>
      <c r="O448" s="18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>
      <c r="A449" s="1"/>
      <c r="B449" s="1"/>
      <c r="C449" s="18"/>
      <c r="D449" s="47"/>
      <c r="E449" s="18"/>
      <c r="F449" s="18"/>
      <c r="G449" s="18"/>
      <c r="H449" s="18"/>
      <c r="I449" s="25"/>
      <c r="J449" s="18"/>
      <c r="K449" s="18"/>
      <c r="L449" s="18"/>
      <c r="M449" s="18"/>
      <c r="N449" s="18"/>
      <c r="O449" s="18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>
      <c r="A450" s="1"/>
      <c r="B450" s="1"/>
      <c r="C450" s="18"/>
      <c r="D450" s="47"/>
      <c r="E450" s="18"/>
      <c r="F450" s="18"/>
      <c r="G450" s="18"/>
      <c r="H450" s="18"/>
      <c r="I450" s="25"/>
      <c r="J450" s="18"/>
      <c r="K450" s="18"/>
      <c r="L450" s="18"/>
      <c r="M450" s="18"/>
      <c r="N450" s="18"/>
      <c r="O450" s="18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>
      <c r="A451" s="1"/>
      <c r="B451" s="1"/>
      <c r="C451" s="18"/>
      <c r="D451" s="47"/>
      <c r="E451" s="18"/>
      <c r="F451" s="18"/>
      <c r="G451" s="18"/>
      <c r="H451" s="18"/>
      <c r="I451" s="25"/>
      <c r="J451" s="18"/>
      <c r="K451" s="18"/>
      <c r="L451" s="18"/>
      <c r="M451" s="18"/>
      <c r="N451" s="18"/>
      <c r="O451" s="18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>
      <c r="A452" s="1"/>
      <c r="B452" s="1"/>
      <c r="C452" s="18"/>
      <c r="D452" s="47"/>
      <c r="E452" s="18"/>
      <c r="F452" s="18"/>
      <c r="G452" s="18"/>
      <c r="H452" s="18"/>
      <c r="I452" s="25"/>
      <c r="J452" s="18"/>
      <c r="K452" s="18"/>
      <c r="L452" s="18"/>
      <c r="M452" s="18"/>
      <c r="N452" s="18"/>
      <c r="O452" s="18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>
      <c r="A453" s="1"/>
      <c r="B453" s="1"/>
      <c r="C453" s="18"/>
      <c r="D453" s="47"/>
      <c r="E453" s="18"/>
      <c r="F453" s="18"/>
      <c r="G453" s="18"/>
      <c r="H453" s="18"/>
      <c r="I453" s="25"/>
      <c r="J453" s="18"/>
      <c r="K453" s="18"/>
      <c r="L453" s="18"/>
      <c r="M453" s="18"/>
      <c r="N453" s="18"/>
      <c r="O453" s="18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>
      <c r="A454" s="1"/>
      <c r="B454" s="1"/>
      <c r="C454" s="18"/>
      <c r="D454" s="47"/>
      <c r="E454" s="18"/>
      <c r="F454" s="18"/>
      <c r="G454" s="18"/>
      <c r="H454" s="18"/>
      <c r="I454" s="25"/>
      <c r="J454" s="18"/>
      <c r="K454" s="18"/>
      <c r="L454" s="18"/>
      <c r="M454" s="18"/>
      <c r="N454" s="18"/>
      <c r="O454" s="18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>
      <c r="A455" s="1"/>
      <c r="B455" s="1"/>
      <c r="C455" s="18"/>
      <c r="D455" s="47"/>
      <c r="E455" s="18"/>
      <c r="F455" s="18"/>
      <c r="G455" s="18"/>
      <c r="H455" s="18"/>
      <c r="I455" s="25"/>
      <c r="J455" s="18"/>
      <c r="K455" s="18"/>
      <c r="L455" s="18"/>
      <c r="M455" s="18"/>
      <c r="N455" s="18"/>
      <c r="O455" s="18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>
      <c r="A456" s="1"/>
      <c r="B456" s="1"/>
      <c r="C456" s="18"/>
      <c r="D456" s="47"/>
      <c r="E456" s="18"/>
      <c r="F456" s="18"/>
      <c r="G456" s="18"/>
      <c r="H456" s="18"/>
      <c r="I456" s="25"/>
      <c r="J456" s="18"/>
      <c r="K456" s="18"/>
      <c r="L456" s="18"/>
      <c r="M456" s="18"/>
      <c r="N456" s="18"/>
      <c r="O456" s="18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>
      <c r="A457" s="1"/>
      <c r="B457" s="1"/>
      <c r="C457" s="18"/>
      <c r="D457" s="47"/>
      <c r="E457" s="18"/>
      <c r="F457" s="18"/>
      <c r="G457" s="18"/>
      <c r="H457" s="18"/>
      <c r="I457" s="25"/>
      <c r="J457" s="18"/>
      <c r="K457" s="18"/>
      <c r="L457" s="18"/>
      <c r="M457" s="18"/>
      <c r="N457" s="18"/>
      <c r="O457" s="18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>
      <c r="A458" s="1"/>
      <c r="B458" s="1"/>
      <c r="C458" s="18"/>
      <c r="D458" s="47"/>
      <c r="E458" s="18"/>
      <c r="F458" s="18"/>
      <c r="G458" s="18"/>
      <c r="H458" s="18"/>
      <c r="I458" s="25"/>
      <c r="J458" s="18"/>
      <c r="K458" s="18"/>
      <c r="L458" s="18"/>
      <c r="M458" s="18"/>
      <c r="N458" s="18"/>
      <c r="O458" s="18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>
      <c r="A459" s="1"/>
      <c r="B459" s="1"/>
      <c r="C459" s="18"/>
      <c r="D459" s="47"/>
      <c r="E459" s="18"/>
      <c r="F459" s="18"/>
      <c r="G459" s="18"/>
      <c r="H459" s="18"/>
      <c r="I459" s="25"/>
      <c r="J459" s="18"/>
      <c r="K459" s="18"/>
      <c r="L459" s="18"/>
      <c r="M459" s="18"/>
      <c r="N459" s="18"/>
      <c r="O459" s="18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>
      <c r="A460" s="1"/>
      <c r="B460" s="1"/>
      <c r="C460" s="18"/>
      <c r="D460" s="47"/>
      <c r="E460" s="18"/>
      <c r="F460" s="18"/>
      <c r="G460" s="18"/>
      <c r="H460" s="18"/>
      <c r="I460" s="25"/>
      <c r="J460" s="18"/>
      <c r="K460" s="18"/>
      <c r="L460" s="18"/>
      <c r="M460" s="18"/>
      <c r="N460" s="18"/>
      <c r="O460" s="18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>
      <c r="A461" s="1"/>
      <c r="B461" s="1"/>
      <c r="C461" s="18"/>
      <c r="D461" s="47"/>
      <c r="E461" s="18"/>
      <c r="F461" s="18"/>
      <c r="G461" s="18"/>
      <c r="H461" s="18"/>
      <c r="I461" s="25"/>
      <c r="J461" s="18"/>
      <c r="K461" s="18"/>
      <c r="L461" s="18"/>
      <c r="M461" s="18"/>
      <c r="N461" s="18"/>
      <c r="O461" s="18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>
      <c r="A462" s="1"/>
      <c r="B462" s="1"/>
      <c r="C462" s="18"/>
      <c r="D462" s="47"/>
      <c r="E462" s="18"/>
      <c r="F462" s="18"/>
      <c r="G462" s="18"/>
      <c r="H462" s="18"/>
      <c r="I462" s="25"/>
      <c r="J462" s="18"/>
      <c r="K462" s="18"/>
      <c r="L462" s="18"/>
      <c r="M462" s="18"/>
      <c r="N462" s="18"/>
      <c r="O462" s="18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>
      <c r="A463" s="1"/>
      <c r="B463" s="1"/>
      <c r="C463" s="18"/>
      <c r="D463" s="47"/>
      <c r="E463" s="18"/>
      <c r="F463" s="18"/>
      <c r="G463" s="18"/>
      <c r="H463" s="18"/>
      <c r="I463" s="25"/>
      <c r="J463" s="18"/>
      <c r="K463" s="18"/>
      <c r="L463" s="18"/>
      <c r="M463" s="18"/>
      <c r="N463" s="18"/>
      <c r="O463" s="18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>
      <c r="A464" s="1"/>
      <c r="B464" s="1"/>
      <c r="C464" s="18"/>
      <c r="D464" s="47"/>
      <c r="E464" s="18"/>
      <c r="F464" s="18"/>
      <c r="G464" s="18"/>
      <c r="H464" s="18"/>
      <c r="I464" s="25"/>
      <c r="J464" s="18"/>
      <c r="K464" s="18"/>
      <c r="L464" s="18"/>
      <c r="M464" s="18"/>
      <c r="N464" s="18"/>
      <c r="O464" s="18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>
      <c r="A465" s="1"/>
      <c r="B465" s="1"/>
      <c r="C465" s="18"/>
      <c r="D465" s="47"/>
      <c r="E465" s="18"/>
      <c r="F465" s="18"/>
      <c r="G465" s="18"/>
      <c r="H465" s="18"/>
      <c r="I465" s="25"/>
      <c r="J465" s="18"/>
      <c r="K465" s="18"/>
      <c r="L465" s="18"/>
      <c r="M465" s="18"/>
      <c r="N465" s="18"/>
      <c r="O465" s="18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>
      <c r="A466" s="1"/>
      <c r="B466" s="1"/>
      <c r="C466" s="18"/>
      <c r="D466" s="47"/>
      <c r="E466" s="18"/>
      <c r="F466" s="18"/>
      <c r="G466" s="18"/>
      <c r="H466" s="18"/>
      <c r="I466" s="25"/>
      <c r="J466" s="18"/>
      <c r="K466" s="18"/>
      <c r="L466" s="18"/>
      <c r="M466" s="18"/>
      <c r="N466" s="18"/>
      <c r="O466" s="18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>
      <c r="A467" s="1"/>
      <c r="B467" s="1"/>
      <c r="C467" s="18"/>
      <c r="D467" s="47"/>
      <c r="E467" s="18"/>
      <c r="F467" s="18"/>
      <c r="G467" s="18"/>
      <c r="H467" s="18"/>
      <c r="I467" s="25"/>
      <c r="J467" s="18"/>
      <c r="K467" s="18"/>
      <c r="L467" s="18"/>
      <c r="M467" s="18"/>
      <c r="N467" s="18"/>
      <c r="O467" s="18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>
      <c r="A468" s="1"/>
      <c r="B468" s="1"/>
      <c r="C468" s="18"/>
      <c r="D468" s="47"/>
      <c r="E468" s="18"/>
      <c r="F468" s="18"/>
      <c r="G468" s="18"/>
      <c r="H468" s="18"/>
      <c r="I468" s="25"/>
      <c r="J468" s="18"/>
      <c r="K468" s="18"/>
      <c r="L468" s="18"/>
      <c r="M468" s="18"/>
      <c r="N468" s="18"/>
      <c r="O468" s="18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>
      <c r="A469" s="1"/>
      <c r="B469" s="1"/>
      <c r="C469" s="18"/>
      <c r="D469" s="47"/>
      <c r="E469" s="18"/>
      <c r="F469" s="18"/>
      <c r="G469" s="18"/>
      <c r="H469" s="18"/>
      <c r="I469" s="25"/>
      <c r="J469" s="18"/>
      <c r="K469" s="18"/>
      <c r="L469" s="18"/>
      <c r="M469" s="18"/>
      <c r="N469" s="18"/>
      <c r="O469" s="18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>
      <c r="A470" s="1"/>
      <c r="B470" s="1"/>
      <c r="C470" s="18"/>
      <c r="D470" s="47"/>
      <c r="E470" s="18"/>
      <c r="F470" s="18"/>
      <c r="G470" s="18"/>
      <c r="H470" s="18"/>
      <c r="I470" s="25"/>
      <c r="J470" s="18"/>
      <c r="K470" s="18"/>
      <c r="L470" s="18"/>
      <c r="M470" s="18"/>
      <c r="N470" s="18"/>
      <c r="O470" s="18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>
      <c r="A471" s="1"/>
      <c r="B471" s="1"/>
      <c r="C471" s="18"/>
      <c r="D471" s="47"/>
      <c r="E471" s="18"/>
      <c r="F471" s="18"/>
      <c r="G471" s="18"/>
      <c r="H471" s="18"/>
      <c r="I471" s="25"/>
      <c r="J471" s="18"/>
      <c r="K471" s="18"/>
      <c r="L471" s="18"/>
      <c r="M471" s="18"/>
      <c r="N471" s="18"/>
      <c r="O471" s="18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>
      <c r="A472" s="1"/>
      <c r="B472" s="1"/>
      <c r="C472" s="18"/>
      <c r="D472" s="47"/>
      <c r="E472" s="18"/>
      <c r="F472" s="18"/>
      <c r="G472" s="18"/>
      <c r="H472" s="18"/>
      <c r="I472" s="25"/>
      <c r="J472" s="18"/>
      <c r="K472" s="18"/>
      <c r="L472" s="18"/>
      <c r="M472" s="18"/>
      <c r="N472" s="18"/>
      <c r="O472" s="18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>
      <c r="A473" s="1"/>
      <c r="B473" s="1"/>
      <c r="C473" s="18"/>
      <c r="D473" s="47"/>
      <c r="E473" s="18"/>
      <c r="F473" s="18"/>
      <c r="G473" s="18"/>
      <c r="H473" s="18"/>
      <c r="I473" s="25"/>
      <c r="J473" s="18"/>
      <c r="K473" s="18"/>
      <c r="L473" s="18"/>
      <c r="M473" s="18"/>
      <c r="N473" s="18"/>
      <c r="O473" s="18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>
      <c r="A474" s="1"/>
      <c r="B474" s="1"/>
      <c r="C474" s="18"/>
      <c r="D474" s="47"/>
      <c r="E474" s="18"/>
      <c r="F474" s="18"/>
      <c r="G474" s="18"/>
      <c r="H474" s="18"/>
      <c r="I474" s="25"/>
      <c r="J474" s="18"/>
      <c r="K474" s="18"/>
      <c r="L474" s="18"/>
      <c r="M474" s="18"/>
      <c r="N474" s="18"/>
      <c r="O474" s="18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>
      <c r="A475" s="1"/>
      <c r="B475" s="1"/>
      <c r="C475" s="18"/>
      <c r="D475" s="47"/>
      <c r="E475" s="18"/>
      <c r="F475" s="18"/>
      <c r="G475" s="18"/>
      <c r="H475" s="18"/>
      <c r="I475" s="25"/>
      <c r="J475" s="18"/>
      <c r="K475" s="18"/>
      <c r="L475" s="18"/>
      <c r="M475" s="18"/>
      <c r="N475" s="18"/>
      <c r="O475" s="18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>
      <c r="A476" s="1"/>
      <c r="B476" s="1"/>
      <c r="C476" s="18"/>
      <c r="D476" s="47"/>
      <c r="E476" s="18"/>
      <c r="F476" s="18"/>
      <c r="G476" s="18"/>
      <c r="H476" s="18"/>
      <c r="I476" s="25"/>
      <c r="J476" s="18"/>
      <c r="K476" s="18"/>
      <c r="L476" s="18"/>
      <c r="M476" s="18"/>
      <c r="N476" s="18"/>
      <c r="O476" s="18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>
      <c r="A477" s="1"/>
      <c r="B477" s="1"/>
      <c r="C477" s="18"/>
      <c r="D477" s="47"/>
      <c r="E477" s="18"/>
      <c r="F477" s="18"/>
      <c r="G477" s="18"/>
      <c r="H477" s="18"/>
      <c r="I477" s="25"/>
      <c r="J477" s="18"/>
      <c r="K477" s="18"/>
      <c r="L477" s="18"/>
      <c r="M477" s="18"/>
      <c r="N477" s="18"/>
      <c r="O477" s="18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>
      <c r="A478" s="1"/>
      <c r="B478" s="1"/>
      <c r="C478" s="18"/>
      <c r="D478" s="47"/>
      <c r="E478" s="18"/>
      <c r="F478" s="18"/>
      <c r="G478" s="18"/>
      <c r="H478" s="18"/>
      <c r="I478" s="25"/>
      <c r="J478" s="18"/>
      <c r="K478" s="18"/>
      <c r="L478" s="18"/>
      <c r="M478" s="18"/>
      <c r="N478" s="18"/>
      <c r="O478" s="18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>
      <c r="A479" s="1"/>
      <c r="B479" s="1"/>
      <c r="C479" s="18"/>
      <c r="D479" s="47"/>
      <c r="E479" s="18"/>
      <c r="F479" s="18"/>
      <c r="G479" s="18"/>
      <c r="H479" s="18"/>
      <c r="I479" s="25"/>
      <c r="J479" s="18"/>
      <c r="K479" s="18"/>
      <c r="L479" s="18"/>
      <c r="M479" s="18"/>
      <c r="N479" s="18"/>
      <c r="O479" s="18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>
      <c r="A480" s="1"/>
      <c r="B480" s="1"/>
      <c r="C480" s="18"/>
      <c r="D480" s="47"/>
      <c r="E480" s="18"/>
      <c r="F480" s="18"/>
      <c r="G480" s="18"/>
      <c r="H480" s="18"/>
      <c r="I480" s="25"/>
      <c r="J480" s="18"/>
      <c r="K480" s="18"/>
      <c r="L480" s="18"/>
      <c r="M480" s="18"/>
      <c r="N480" s="18"/>
      <c r="O480" s="18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>
      <c r="A481" s="1"/>
      <c r="B481" s="1"/>
      <c r="C481" s="18"/>
      <c r="D481" s="47"/>
      <c r="E481" s="18"/>
      <c r="F481" s="18"/>
      <c r="G481" s="18"/>
      <c r="H481" s="18"/>
      <c r="I481" s="25"/>
      <c r="J481" s="18"/>
      <c r="K481" s="18"/>
      <c r="L481" s="18"/>
      <c r="M481" s="18"/>
      <c r="N481" s="18"/>
      <c r="O481" s="18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>
      <c r="A482" s="1"/>
      <c r="B482" s="1"/>
      <c r="C482" s="18"/>
      <c r="D482" s="47"/>
      <c r="E482" s="18"/>
      <c r="F482" s="18"/>
      <c r="G482" s="18"/>
      <c r="H482" s="18"/>
      <c r="I482" s="25"/>
      <c r="J482" s="18"/>
      <c r="K482" s="18"/>
      <c r="L482" s="18"/>
      <c r="M482" s="18"/>
      <c r="N482" s="18"/>
      <c r="O482" s="18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>
      <c r="A483" s="1"/>
      <c r="B483" s="1"/>
      <c r="C483" s="18"/>
      <c r="D483" s="47"/>
      <c r="E483" s="18"/>
      <c r="F483" s="18"/>
      <c r="G483" s="18"/>
      <c r="H483" s="18"/>
      <c r="I483" s="25"/>
      <c r="J483" s="18"/>
      <c r="K483" s="18"/>
      <c r="L483" s="18"/>
      <c r="M483" s="18"/>
      <c r="N483" s="18"/>
      <c r="O483" s="18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>
      <c r="A484" s="1"/>
      <c r="B484" s="1"/>
      <c r="C484" s="18"/>
      <c r="D484" s="47"/>
      <c r="E484" s="18"/>
      <c r="F484" s="18"/>
      <c r="G484" s="18"/>
      <c r="H484" s="18"/>
      <c r="I484" s="25"/>
      <c r="J484" s="18"/>
      <c r="K484" s="18"/>
      <c r="L484" s="18"/>
      <c r="M484" s="18"/>
      <c r="N484" s="18"/>
      <c r="O484" s="18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>
      <c r="A485" s="1"/>
      <c r="B485" s="1"/>
      <c r="C485" s="18"/>
      <c r="D485" s="47"/>
      <c r="E485" s="18"/>
      <c r="F485" s="18"/>
      <c r="G485" s="18"/>
      <c r="H485" s="18"/>
      <c r="I485" s="25"/>
      <c r="J485" s="18"/>
      <c r="K485" s="18"/>
      <c r="L485" s="18"/>
      <c r="M485" s="18"/>
      <c r="N485" s="18"/>
      <c r="O485" s="18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>
      <c r="A486" s="1"/>
      <c r="B486" s="1"/>
      <c r="C486" s="18"/>
      <c r="D486" s="47"/>
      <c r="E486" s="18"/>
      <c r="F486" s="18"/>
      <c r="G486" s="18"/>
      <c r="H486" s="18"/>
      <c r="I486" s="25"/>
      <c r="J486" s="18"/>
      <c r="K486" s="18"/>
      <c r="L486" s="18"/>
      <c r="M486" s="18"/>
      <c r="N486" s="18"/>
      <c r="O486" s="18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>
      <c r="A487" s="1"/>
      <c r="B487" s="1"/>
      <c r="C487" s="18"/>
      <c r="D487" s="47"/>
      <c r="E487" s="18"/>
      <c r="F487" s="18"/>
      <c r="G487" s="18"/>
      <c r="H487" s="18"/>
      <c r="I487" s="25"/>
      <c r="J487" s="18"/>
      <c r="K487" s="18"/>
      <c r="L487" s="18"/>
      <c r="M487" s="18"/>
      <c r="N487" s="18"/>
      <c r="O487" s="18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>
      <c r="A488" s="1"/>
      <c r="B488" s="1"/>
      <c r="C488" s="18"/>
      <c r="D488" s="47"/>
      <c r="E488" s="18"/>
      <c r="F488" s="18"/>
      <c r="G488" s="18"/>
      <c r="H488" s="18"/>
      <c r="I488" s="25"/>
      <c r="J488" s="18"/>
      <c r="K488" s="18"/>
      <c r="L488" s="18"/>
      <c r="M488" s="18"/>
      <c r="N488" s="18"/>
      <c r="O488" s="18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>
      <c r="A489" s="1"/>
      <c r="B489" s="1"/>
      <c r="C489" s="18"/>
      <c r="D489" s="47"/>
      <c r="E489" s="18"/>
      <c r="F489" s="18"/>
      <c r="G489" s="18"/>
      <c r="H489" s="18"/>
      <c r="I489" s="25"/>
      <c r="J489" s="18"/>
      <c r="K489" s="18"/>
      <c r="L489" s="18"/>
      <c r="M489" s="18"/>
      <c r="N489" s="18"/>
      <c r="O489" s="18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>
      <c r="A490" s="1"/>
      <c r="B490" s="1"/>
      <c r="C490" s="18"/>
      <c r="D490" s="47"/>
      <c r="E490" s="18"/>
      <c r="F490" s="18"/>
      <c r="G490" s="18"/>
      <c r="H490" s="18"/>
      <c r="I490" s="25"/>
      <c r="J490" s="18"/>
      <c r="K490" s="18"/>
      <c r="L490" s="18"/>
      <c r="M490" s="18"/>
      <c r="N490" s="18"/>
      <c r="O490" s="18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>
      <c r="A491" s="1"/>
      <c r="B491" s="1"/>
      <c r="C491" s="18"/>
      <c r="D491" s="47"/>
      <c r="E491" s="18"/>
      <c r="F491" s="18"/>
      <c r="G491" s="18"/>
      <c r="H491" s="18"/>
      <c r="I491" s="25"/>
      <c r="J491" s="18"/>
      <c r="K491" s="18"/>
      <c r="L491" s="18"/>
      <c r="M491" s="18"/>
      <c r="N491" s="18"/>
      <c r="O491" s="18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>
      <c r="A492" s="1"/>
      <c r="B492" s="1"/>
      <c r="C492" s="18"/>
      <c r="D492" s="47"/>
      <c r="E492" s="18"/>
      <c r="F492" s="18"/>
      <c r="G492" s="18"/>
      <c r="H492" s="18"/>
      <c r="I492" s="25"/>
      <c r="J492" s="18"/>
      <c r="K492" s="18"/>
      <c r="L492" s="18"/>
      <c r="M492" s="18"/>
      <c r="N492" s="18"/>
      <c r="O492" s="18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>
      <c r="A493" s="1"/>
      <c r="B493" s="1"/>
      <c r="C493" s="18"/>
      <c r="D493" s="47"/>
      <c r="E493" s="18"/>
      <c r="F493" s="18"/>
      <c r="G493" s="18"/>
      <c r="H493" s="18"/>
      <c r="I493" s="25"/>
      <c r="J493" s="18"/>
      <c r="K493" s="18"/>
      <c r="L493" s="18"/>
      <c r="M493" s="18"/>
      <c r="N493" s="18"/>
      <c r="O493" s="18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>
      <c r="A494" s="1"/>
      <c r="B494" s="1"/>
      <c r="C494" s="18"/>
      <c r="D494" s="47"/>
      <c r="E494" s="18"/>
      <c r="F494" s="18"/>
      <c r="G494" s="18"/>
      <c r="H494" s="18"/>
      <c r="I494" s="25"/>
      <c r="J494" s="18"/>
      <c r="K494" s="18"/>
      <c r="L494" s="18"/>
      <c r="M494" s="18"/>
      <c r="N494" s="18"/>
      <c r="O494" s="18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>
      <c r="A495" s="1"/>
      <c r="B495" s="1"/>
      <c r="C495" s="18"/>
      <c r="D495" s="47"/>
      <c r="E495" s="18"/>
      <c r="F495" s="18"/>
      <c r="G495" s="18"/>
      <c r="H495" s="18"/>
      <c r="I495" s="25"/>
      <c r="J495" s="18"/>
      <c r="K495" s="18"/>
      <c r="L495" s="18"/>
      <c r="M495" s="18"/>
      <c r="N495" s="18"/>
      <c r="O495" s="18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>
      <c r="A496" s="1"/>
      <c r="B496" s="1"/>
      <c r="C496" s="18"/>
      <c r="D496" s="47"/>
      <c r="E496" s="18"/>
      <c r="F496" s="18"/>
      <c r="G496" s="18"/>
      <c r="H496" s="18"/>
      <c r="I496" s="25"/>
      <c r="J496" s="18"/>
      <c r="K496" s="18"/>
      <c r="L496" s="18"/>
      <c r="M496" s="18"/>
      <c r="N496" s="18"/>
      <c r="O496" s="18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>
      <c r="A497" s="1"/>
      <c r="B497" s="1"/>
      <c r="C497" s="18"/>
      <c r="D497" s="47"/>
      <c r="E497" s="18"/>
      <c r="F497" s="18"/>
      <c r="G497" s="18"/>
      <c r="H497" s="18"/>
      <c r="I497" s="25"/>
      <c r="J497" s="18"/>
      <c r="K497" s="18"/>
      <c r="L497" s="18"/>
      <c r="M497" s="18"/>
      <c r="N497" s="18"/>
      <c r="O497" s="18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>
      <c r="A498" s="1"/>
      <c r="B498" s="1"/>
      <c r="C498" s="18"/>
      <c r="D498" s="47"/>
      <c r="E498" s="18"/>
      <c r="F498" s="18"/>
      <c r="G498" s="18"/>
      <c r="H498" s="18"/>
      <c r="I498" s="25"/>
      <c r="J498" s="18"/>
      <c r="K498" s="18"/>
      <c r="L498" s="18"/>
      <c r="M498" s="18"/>
      <c r="N498" s="18"/>
      <c r="O498" s="18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>
      <c r="A499" s="1"/>
      <c r="B499" s="1"/>
      <c r="C499" s="18"/>
      <c r="D499" s="47"/>
      <c r="E499" s="18"/>
      <c r="F499" s="18"/>
      <c r="G499" s="18"/>
      <c r="H499" s="18"/>
      <c r="I499" s="25"/>
      <c r="J499" s="18"/>
      <c r="K499" s="18"/>
      <c r="L499" s="18"/>
      <c r="M499" s="18"/>
      <c r="N499" s="18"/>
      <c r="O499" s="18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>
      <c r="A500" s="1"/>
      <c r="B500" s="1"/>
      <c r="C500" s="18"/>
      <c r="D500" s="47"/>
      <c r="E500" s="18"/>
      <c r="F500" s="18"/>
      <c r="G500" s="18"/>
      <c r="H500" s="18"/>
      <c r="I500" s="25"/>
      <c r="J500" s="18"/>
      <c r="K500" s="18"/>
      <c r="L500" s="18"/>
      <c r="M500" s="18"/>
      <c r="N500" s="18"/>
      <c r="O500" s="18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>
      <c r="A501" s="1"/>
      <c r="B501" s="1"/>
      <c r="C501" s="18"/>
      <c r="D501" s="47"/>
      <c r="E501" s="18"/>
      <c r="F501" s="18"/>
      <c r="G501" s="18"/>
      <c r="H501" s="18"/>
      <c r="I501" s="25"/>
      <c r="J501" s="18"/>
      <c r="K501" s="18"/>
      <c r="L501" s="18"/>
      <c r="M501" s="18"/>
      <c r="N501" s="18"/>
      <c r="O501" s="18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>
      <c r="A502" s="1"/>
      <c r="B502" s="1"/>
      <c r="C502" s="18"/>
      <c r="D502" s="47"/>
      <c r="E502" s="18"/>
      <c r="F502" s="18"/>
      <c r="G502" s="18"/>
      <c r="H502" s="18"/>
      <c r="I502" s="25"/>
      <c r="J502" s="18"/>
      <c r="K502" s="18"/>
      <c r="L502" s="18"/>
      <c r="M502" s="18"/>
      <c r="N502" s="18"/>
      <c r="O502" s="18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>
      <c r="A503" s="1"/>
      <c r="B503" s="1"/>
      <c r="C503" s="18"/>
      <c r="D503" s="47"/>
      <c r="E503" s="18"/>
      <c r="F503" s="18"/>
      <c r="G503" s="18"/>
      <c r="H503" s="18"/>
      <c r="I503" s="25"/>
      <c r="J503" s="18"/>
      <c r="K503" s="18"/>
      <c r="L503" s="18"/>
      <c r="M503" s="18"/>
      <c r="N503" s="18"/>
      <c r="O503" s="18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>
      <c r="A504" s="1"/>
      <c r="B504" s="1"/>
      <c r="C504" s="18"/>
      <c r="D504" s="47"/>
      <c r="E504" s="18"/>
      <c r="F504" s="18"/>
      <c r="G504" s="18"/>
      <c r="H504" s="18"/>
      <c r="I504" s="25"/>
      <c r="J504" s="18"/>
      <c r="K504" s="18"/>
      <c r="L504" s="18"/>
      <c r="M504" s="18"/>
      <c r="N504" s="18"/>
      <c r="O504" s="18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>
      <c r="A505" s="1"/>
      <c r="B505" s="1"/>
      <c r="C505" s="18"/>
      <c r="D505" s="47"/>
      <c r="E505" s="18"/>
      <c r="F505" s="18"/>
      <c r="G505" s="18"/>
      <c r="H505" s="18"/>
      <c r="I505" s="25"/>
      <c r="J505" s="18"/>
      <c r="K505" s="18"/>
      <c r="L505" s="18"/>
      <c r="M505" s="18"/>
      <c r="N505" s="18"/>
      <c r="O505" s="18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>
      <c r="A506" s="1"/>
      <c r="B506" s="1"/>
      <c r="C506" s="18"/>
      <c r="D506" s="47"/>
      <c r="E506" s="18"/>
      <c r="F506" s="18"/>
      <c r="G506" s="18"/>
      <c r="H506" s="18"/>
      <c r="I506" s="25"/>
      <c r="J506" s="18"/>
      <c r="K506" s="18"/>
      <c r="L506" s="18"/>
      <c r="M506" s="18"/>
      <c r="N506" s="18"/>
      <c r="O506" s="18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>
      <c r="A507" s="1"/>
      <c r="B507" s="1"/>
      <c r="C507" s="18"/>
      <c r="D507" s="47"/>
      <c r="E507" s="18"/>
      <c r="F507" s="18"/>
      <c r="G507" s="18"/>
      <c r="H507" s="18"/>
      <c r="I507" s="25"/>
      <c r="J507" s="18"/>
      <c r="K507" s="18"/>
      <c r="L507" s="18"/>
      <c r="M507" s="18"/>
      <c r="N507" s="18"/>
      <c r="O507" s="18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>
      <c r="A508" s="1"/>
      <c r="B508" s="1"/>
      <c r="C508" s="18"/>
      <c r="D508" s="47"/>
      <c r="E508" s="18"/>
      <c r="F508" s="18"/>
      <c r="G508" s="18"/>
      <c r="H508" s="18"/>
      <c r="I508" s="25"/>
      <c r="J508" s="18"/>
      <c r="K508" s="18"/>
      <c r="L508" s="18"/>
      <c r="M508" s="18"/>
      <c r="N508" s="18"/>
      <c r="O508" s="18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>
      <c r="A509" s="1"/>
      <c r="B509" s="1"/>
      <c r="C509" s="18"/>
      <c r="D509" s="47"/>
      <c r="E509" s="18"/>
      <c r="F509" s="18"/>
      <c r="G509" s="18"/>
      <c r="H509" s="18"/>
      <c r="I509" s="25"/>
      <c r="J509" s="18"/>
      <c r="K509" s="18"/>
      <c r="L509" s="18"/>
      <c r="M509" s="18"/>
      <c r="N509" s="18"/>
      <c r="O509" s="18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>
      <c r="A510" s="1"/>
      <c r="B510" s="1"/>
      <c r="C510" s="18"/>
      <c r="D510" s="47"/>
      <c r="E510" s="18"/>
      <c r="F510" s="18"/>
      <c r="G510" s="18"/>
      <c r="H510" s="18"/>
      <c r="I510" s="25"/>
      <c r="J510" s="18"/>
      <c r="K510" s="18"/>
      <c r="L510" s="18"/>
      <c r="M510" s="18"/>
      <c r="N510" s="18"/>
      <c r="O510" s="18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>
      <c r="A511" s="1"/>
      <c r="B511" s="1"/>
      <c r="C511" s="18"/>
      <c r="D511" s="47"/>
      <c r="E511" s="18"/>
      <c r="F511" s="18"/>
      <c r="G511" s="18"/>
      <c r="H511" s="18"/>
      <c r="I511" s="25"/>
      <c r="J511" s="18"/>
      <c r="K511" s="18"/>
      <c r="L511" s="18"/>
      <c r="M511" s="18"/>
      <c r="N511" s="18"/>
      <c r="O511" s="18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>
      <c r="A512" s="1"/>
      <c r="B512" s="1"/>
      <c r="C512" s="18"/>
      <c r="D512" s="47"/>
      <c r="E512" s="18"/>
      <c r="F512" s="18"/>
      <c r="G512" s="18"/>
      <c r="H512" s="18"/>
      <c r="I512" s="25"/>
      <c r="J512" s="18"/>
      <c r="K512" s="18"/>
      <c r="L512" s="18"/>
      <c r="M512" s="18"/>
      <c r="N512" s="18"/>
      <c r="O512" s="18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>
      <c r="A513" s="1"/>
      <c r="B513" s="1"/>
      <c r="C513" s="18"/>
      <c r="D513" s="47"/>
      <c r="E513" s="18"/>
      <c r="F513" s="18"/>
      <c r="G513" s="18"/>
      <c r="H513" s="18"/>
      <c r="I513" s="25"/>
      <c r="J513" s="18"/>
      <c r="K513" s="18"/>
      <c r="L513" s="18"/>
      <c r="M513" s="18"/>
      <c r="N513" s="18"/>
      <c r="O513" s="18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>
      <c r="A514" s="1"/>
      <c r="B514" s="1"/>
      <c r="C514" s="18"/>
      <c r="D514" s="47"/>
      <c r="E514" s="18"/>
      <c r="F514" s="18"/>
      <c r="G514" s="18"/>
      <c r="H514" s="18"/>
      <c r="I514" s="25"/>
      <c r="J514" s="18"/>
      <c r="K514" s="18"/>
      <c r="L514" s="18"/>
      <c r="M514" s="18"/>
      <c r="N514" s="18"/>
      <c r="O514" s="18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>
      <c r="A515" s="1"/>
      <c r="B515" s="1"/>
      <c r="C515" s="18"/>
      <c r="D515" s="47"/>
      <c r="E515" s="18"/>
      <c r="F515" s="18"/>
      <c r="G515" s="18"/>
      <c r="H515" s="18"/>
      <c r="I515" s="25"/>
      <c r="J515" s="18"/>
      <c r="K515" s="18"/>
      <c r="L515" s="18"/>
      <c r="M515" s="18"/>
      <c r="N515" s="18"/>
      <c r="O515" s="18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>
      <c r="A516" s="1"/>
      <c r="B516" s="1"/>
      <c r="C516" s="18"/>
      <c r="D516" s="47"/>
      <c r="E516" s="18"/>
      <c r="F516" s="18"/>
      <c r="G516" s="18"/>
      <c r="H516" s="18"/>
      <c r="I516" s="25"/>
      <c r="J516" s="18"/>
      <c r="K516" s="18"/>
      <c r="L516" s="18"/>
      <c r="M516" s="18"/>
      <c r="N516" s="18"/>
      <c r="O516" s="18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>
      <c r="A517" s="1"/>
      <c r="B517" s="1"/>
      <c r="C517" s="18"/>
      <c r="D517" s="47"/>
      <c r="E517" s="18"/>
      <c r="F517" s="18"/>
      <c r="G517" s="18"/>
      <c r="H517" s="18"/>
      <c r="I517" s="25"/>
      <c r="J517" s="18"/>
      <c r="K517" s="18"/>
      <c r="L517" s="18"/>
      <c r="M517" s="18"/>
      <c r="N517" s="18"/>
      <c r="O517" s="18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>
      <c r="A518" s="1"/>
      <c r="B518" s="1"/>
      <c r="C518" s="18"/>
      <c r="D518" s="47"/>
      <c r="E518" s="18"/>
      <c r="F518" s="18"/>
      <c r="G518" s="18"/>
      <c r="H518" s="18"/>
      <c r="I518" s="25"/>
      <c r="J518" s="18"/>
      <c r="K518" s="18"/>
      <c r="L518" s="18"/>
      <c r="M518" s="18"/>
      <c r="N518" s="18"/>
      <c r="O518" s="18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>
      <c r="A519" s="1"/>
      <c r="B519" s="1"/>
      <c r="C519" s="18"/>
      <c r="D519" s="47"/>
      <c r="E519" s="18"/>
      <c r="F519" s="18"/>
      <c r="G519" s="18"/>
      <c r="H519" s="18"/>
      <c r="I519" s="25"/>
      <c r="J519" s="18"/>
      <c r="K519" s="18"/>
      <c r="L519" s="18"/>
      <c r="M519" s="18"/>
      <c r="N519" s="18"/>
      <c r="O519" s="18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>
      <c r="A520" s="1"/>
      <c r="B520" s="1"/>
      <c r="C520" s="18"/>
      <c r="D520" s="47"/>
      <c r="E520" s="18"/>
      <c r="F520" s="18"/>
      <c r="G520" s="18"/>
      <c r="H520" s="18"/>
      <c r="I520" s="25"/>
      <c r="J520" s="18"/>
      <c r="K520" s="18"/>
      <c r="L520" s="18"/>
      <c r="M520" s="18"/>
      <c r="N520" s="18"/>
      <c r="O520" s="18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>
      <c r="A521" s="1"/>
      <c r="B521" s="1"/>
      <c r="C521" s="18"/>
      <c r="D521" s="47"/>
      <c r="E521" s="18"/>
      <c r="F521" s="18"/>
      <c r="G521" s="18"/>
      <c r="H521" s="18"/>
      <c r="I521" s="25"/>
      <c r="J521" s="18"/>
      <c r="K521" s="18"/>
      <c r="L521" s="18"/>
      <c r="M521" s="18"/>
      <c r="N521" s="18"/>
      <c r="O521" s="18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>
      <c r="A522" s="1"/>
      <c r="B522" s="1"/>
      <c r="C522" s="18"/>
      <c r="D522" s="47"/>
      <c r="E522" s="18"/>
      <c r="F522" s="18"/>
      <c r="G522" s="18"/>
      <c r="H522" s="18"/>
      <c r="I522" s="25"/>
      <c r="J522" s="18"/>
      <c r="K522" s="18"/>
      <c r="L522" s="18"/>
      <c r="M522" s="18"/>
      <c r="N522" s="18"/>
      <c r="O522" s="18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>
      <c r="A523" s="1"/>
      <c r="B523" s="1"/>
      <c r="C523" s="18"/>
      <c r="D523" s="47"/>
      <c r="E523" s="18"/>
      <c r="F523" s="18"/>
      <c r="G523" s="18"/>
      <c r="H523" s="18"/>
      <c r="I523" s="25"/>
      <c r="J523" s="18"/>
      <c r="K523" s="18"/>
      <c r="L523" s="18"/>
      <c r="M523" s="18"/>
      <c r="N523" s="18"/>
      <c r="O523" s="18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>
      <c r="A524" s="1"/>
      <c r="B524" s="1"/>
      <c r="C524" s="18"/>
      <c r="D524" s="47"/>
      <c r="E524" s="18"/>
      <c r="F524" s="18"/>
      <c r="G524" s="18"/>
      <c r="H524" s="18"/>
      <c r="I524" s="25"/>
      <c r="J524" s="18"/>
      <c r="K524" s="18"/>
      <c r="L524" s="18"/>
      <c r="M524" s="18"/>
      <c r="N524" s="18"/>
      <c r="O524" s="18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>
      <c r="A525" s="1"/>
      <c r="B525" s="1"/>
      <c r="C525" s="18"/>
      <c r="D525" s="47"/>
      <c r="E525" s="18"/>
      <c r="F525" s="18"/>
      <c r="G525" s="18"/>
      <c r="H525" s="18"/>
      <c r="I525" s="25"/>
      <c r="J525" s="18"/>
      <c r="K525" s="18"/>
      <c r="L525" s="18"/>
      <c r="M525" s="18"/>
      <c r="N525" s="18"/>
      <c r="O525" s="18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>
      <c r="A526" s="1"/>
      <c r="B526" s="1"/>
      <c r="C526" s="18"/>
      <c r="D526" s="47"/>
      <c r="E526" s="18"/>
      <c r="F526" s="18"/>
      <c r="G526" s="18"/>
      <c r="H526" s="18"/>
      <c r="I526" s="25"/>
      <c r="J526" s="18"/>
      <c r="K526" s="18"/>
      <c r="L526" s="18"/>
      <c r="M526" s="18"/>
      <c r="N526" s="18"/>
      <c r="O526" s="18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>
      <c r="A527" s="1"/>
      <c r="B527" s="1"/>
      <c r="C527" s="18"/>
      <c r="D527" s="47"/>
      <c r="E527" s="18"/>
      <c r="F527" s="18"/>
      <c r="G527" s="18"/>
      <c r="H527" s="18"/>
      <c r="I527" s="25"/>
      <c r="J527" s="18"/>
      <c r="K527" s="18"/>
      <c r="L527" s="18"/>
      <c r="M527" s="18"/>
      <c r="N527" s="18"/>
      <c r="O527" s="18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>
      <c r="A528" s="1"/>
      <c r="B528" s="1"/>
      <c r="C528" s="18"/>
      <c r="D528" s="47"/>
      <c r="E528" s="18"/>
      <c r="F528" s="18"/>
      <c r="G528" s="18"/>
      <c r="H528" s="18"/>
      <c r="I528" s="25"/>
      <c r="J528" s="18"/>
      <c r="K528" s="18"/>
      <c r="L528" s="18"/>
      <c r="M528" s="18"/>
      <c r="N528" s="18"/>
      <c r="O528" s="18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>
      <c r="A529" s="1"/>
      <c r="B529" s="1"/>
      <c r="C529" s="18"/>
      <c r="D529" s="47"/>
      <c r="E529" s="18"/>
      <c r="F529" s="18"/>
      <c r="G529" s="18"/>
      <c r="H529" s="18"/>
      <c r="I529" s="25"/>
      <c r="J529" s="18"/>
      <c r="K529" s="18"/>
      <c r="L529" s="18"/>
      <c r="M529" s="18"/>
      <c r="N529" s="18"/>
      <c r="O529" s="18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>
      <c r="A530" s="1"/>
      <c r="B530" s="1"/>
      <c r="C530" s="18"/>
      <c r="D530" s="47"/>
      <c r="E530" s="18"/>
      <c r="F530" s="18"/>
      <c r="G530" s="18"/>
      <c r="H530" s="18"/>
      <c r="I530" s="25"/>
      <c r="J530" s="18"/>
      <c r="K530" s="18"/>
      <c r="L530" s="18"/>
      <c r="M530" s="18"/>
      <c r="N530" s="18"/>
      <c r="O530" s="18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>
      <c r="A531" s="1"/>
      <c r="B531" s="1"/>
      <c r="C531" s="18"/>
      <c r="D531" s="47"/>
      <c r="E531" s="18"/>
      <c r="F531" s="18"/>
      <c r="G531" s="18"/>
      <c r="H531" s="18"/>
      <c r="I531" s="25"/>
      <c r="J531" s="18"/>
      <c r="K531" s="18"/>
      <c r="L531" s="18"/>
      <c r="M531" s="18"/>
      <c r="N531" s="18"/>
      <c r="O531" s="18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>
      <c r="A532" s="1"/>
      <c r="B532" s="1"/>
      <c r="C532" s="18"/>
      <c r="D532" s="47"/>
      <c r="E532" s="18"/>
      <c r="F532" s="18"/>
      <c r="G532" s="18"/>
      <c r="H532" s="18"/>
      <c r="I532" s="25"/>
      <c r="J532" s="18"/>
      <c r="K532" s="18"/>
      <c r="L532" s="18"/>
      <c r="M532" s="18"/>
      <c r="N532" s="18"/>
      <c r="O532" s="18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>
      <c r="A533" s="1"/>
      <c r="B533" s="1"/>
      <c r="C533" s="18"/>
      <c r="D533" s="47"/>
      <c r="E533" s="18"/>
      <c r="F533" s="18"/>
      <c r="G533" s="18"/>
      <c r="H533" s="18"/>
      <c r="I533" s="25"/>
      <c r="J533" s="18"/>
      <c r="K533" s="18"/>
      <c r="L533" s="18"/>
      <c r="M533" s="18"/>
      <c r="N533" s="18"/>
      <c r="O533" s="18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>
      <c r="A534" s="1"/>
      <c r="B534" s="1"/>
      <c r="C534" s="18"/>
      <c r="D534" s="47"/>
      <c r="E534" s="18"/>
      <c r="F534" s="18"/>
      <c r="G534" s="18"/>
      <c r="H534" s="18"/>
      <c r="I534" s="25"/>
      <c r="J534" s="18"/>
      <c r="K534" s="18"/>
      <c r="L534" s="18"/>
      <c r="M534" s="18"/>
      <c r="N534" s="18"/>
      <c r="O534" s="18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>
      <c r="A535" s="1"/>
      <c r="B535" s="1"/>
      <c r="C535" s="18"/>
      <c r="D535" s="47"/>
      <c r="E535" s="18"/>
      <c r="F535" s="18"/>
      <c r="G535" s="18"/>
      <c r="H535" s="18"/>
      <c r="I535" s="25"/>
      <c r="J535" s="18"/>
      <c r="K535" s="18"/>
      <c r="L535" s="18"/>
      <c r="M535" s="18"/>
      <c r="N535" s="18"/>
      <c r="O535" s="18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>
      <c r="A536" s="1"/>
      <c r="B536" s="1"/>
      <c r="C536" s="18"/>
      <c r="D536" s="47"/>
      <c r="E536" s="18"/>
      <c r="F536" s="18"/>
      <c r="G536" s="18"/>
      <c r="H536" s="18"/>
      <c r="I536" s="25"/>
      <c r="J536" s="18"/>
      <c r="K536" s="18"/>
      <c r="L536" s="18"/>
      <c r="M536" s="18"/>
      <c r="N536" s="18"/>
      <c r="O536" s="18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>
      <c r="A537" s="1"/>
      <c r="B537" s="1"/>
      <c r="C537" s="18"/>
      <c r="D537" s="47"/>
      <c r="E537" s="18"/>
      <c r="F537" s="18"/>
      <c r="G537" s="18"/>
      <c r="H537" s="18"/>
      <c r="I537" s="25"/>
      <c r="J537" s="18"/>
      <c r="K537" s="18"/>
      <c r="L537" s="18"/>
      <c r="M537" s="18"/>
      <c r="N537" s="18"/>
      <c r="O537" s="18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>
      <c r="A538" s="1"/>
      <c r="B538" s="1"/>
      <c r="C538" s="18"/>
      <c r="D538" s="47"/>
      <c r="E538" s="18"/>
      <c r="F538" s="18"/>
      <c r="G538" s="18"/>
      <c r="H538" s="18"/>
      <c r="I538" s="25"/>
      <c r="J538" s="18"/>
      <c r="K538" s="18"/>
      <c r="L538" s="18"/>
      <c r="M538" s="18"/>
      <c r="N538" s="18"/>
      <c r="O538" s="18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>
      <c r="A539" s="1"/>
      <c r="B539" s="1"/>
      <c r="C539" s="18"/>
      <c r="D539" s="47"/>
      <c r="E539" s="18"/>
      <c r="F539" s="18"/>
      <c r="G539" s="18"/>
      <c r="H539" s="18"/>
      <c r="I539" s="25"/>
      <c r="J539" s="18"/>
      <c r="K539" s="18"/>
      <c r="L539" s="18"/>
      <c r="M539" s="18"/>
      <c r="N539" s="18"/>
      <c r="O539" s="18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>
      <c r="A540" s="1"/>
      <c r="B540" s="1"/>
      <c r="C540" s="18"/>
      <c r="D540" s="47"/>
      <c r="E540" s="18"/>
      <c r="F540" s="18"/>
      <c r="G540" s="18"/>
      <c r="H540" s="18"/>
      <c r="I540" s="25"/>
      <c r="J540" s="18"/>
      <c r="K540" s="18"/>
      <c r="L540" s="18"/>
      <c r="M540" s="18"/>
      <c r="N540" s="18"/>
      <c r="O540" s="18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>
      <c r="A541" s="1"/>
      <c r="B541" s="1"/>
      <c r="C541" s="18"/>
      <c r="D541" s="47"/>
      <c r="E541" s="18"/>
      <c r="F541" s="18"/>
      <c r="G541" s="18"/>
      <c r="H541" s="18"/>
      <c r="I541" s="25"/>
      <c r="J541" s="18"/>
      <c r="K541" s="18"/>
      <c r="L541" s="18"/>
      <c r="M541" s="18"/>
      <c r="N541" s="18"/>
      <c r="O541" s="18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>
      <c r="A542" s="1"/>
      <c r="B542" s="1"/>
      <c r="C542" s="18"/>
      <c r="D542" s="47"/>
      <c r="E542" s="18"/>
      <c r="F542" s="18"/>
      <c r="G542" s="18"/>
      <c r="H542" s="18"/>
      <c r="I542" s="25"/>
      <c r="J542" s="18"/>
      <c r="K542" s="18"/>
      <c r="L542" s="18"/>
      <c r="M542" s="18"/>
      <c r="N542" s="18"/>
      <c r="O542" s="18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>
      <c r="A543" s="1"/>
      <c r="B543" s="1"/>
      <c r="C543" s="18"/>
      <c r="D543" s="47"/>
      <c r="E543" s="18"/>
      <c r="F543" s="18"/>
      <c r="G543" s="18"/>
      <c r="H543" s="18"/>
      <c r="I543" s="25"/>
      <c r="J543" s="18"/>
      <c r="K543" s="18"/>
      <c r="L543" s="18"/>
      <c r="M543" s="18"/>
      <c r="N543" s="18"/>
      <c r="O543" s="18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>
      <c r="A544" s="1"/>
      <c r="B544" s="1"/>
      <c r="C544" s="18"/>
      <c r="D544" s="47"/>
      <c r="E544" s="18"/>
      <c r="F544" s="18"/>
      <c r="G544" s="18"/>
      <c r="H544" s="18"/>
      <c r="I544" s="25"/>
      <c r="J544" s="18"/>
      <c r="K544" s="18"/>
      <c r="L544" s="18"/>
      <c r="M544" s="18"/>
      <c r="N544" s="18"/>
      <c r="O544" s="18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>
      <c r="A545" s="1"/>
      <c r="B545" s="1"/>
      <c r="C545" s="18"/>
      <c r="D545" s="47"/>
      <c r="E545" s="18"/>
      <c r="F545" s="18"/>
      <c r="G545" s="18"/>
      <c r="H545" s="18"/>
      <c r="I545" s="25"/>
      <c r="J545" s="18"/>
      <c r="K545" s="18"/>
      <c r="L545" s="18"/>
      <c r="M545" s="18"/>
      <c r="N545" s="18"/>
      <c r="O545" s="18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>
      <c r="A546" s="1"/>
      <c r="B546" s="1"/>
      <c r="C546" s="18"/>
      <c r="D546" s="47"/>
      <c r="E546" s="18"/>
      <c r="F546" s="18"/>
      <c r="G546" s="18"/>
      <c r="H546" s="18"/>
      <c r="I546" s="25"/>
      <c r="J546" s="18"/>
      <c r="K546" s="18"/>
      <c r="L546" s="18"/>
      <c r="M546" s="18"/>
      <c r="N546" s="18"/>
      <c r="O546" s="18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>
      <c r="A547" s="1"/>
      <c r="B547" s="1"/>
      <c r="C547" s="18"/>
      <c r="D547" s="47"/>
      <c r="E547" s="18"/>
      <c r="F547" s="18"/>
      <c r="G547" s="18"/>
      <c r="H547" s="18"/>
      <c r="I547" s="25"/>
      <c r="J547" s="18"/>
      <c r="K547" s="18"/>
      <c r="L547" s="18"/>
      <c r="M547" s="18"/>
      <c r="N547" s="18"/>
      <c r="O547" s="18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>
      <c r="A548" s="1"/>
      <c r="B548" s="1"/>
      <c r="C548" s="18"/>
      <c r="D548" s="47"/>
      <c r="E548" s="18"/>
      <c r="F548" s="18"/>
      <c r="G548" s="18"/>
      <c r="H548" s="18"/>
      <c r="I548" s="25"/>
      <c r="J548" s="18"/>
      <c r="K548" s="18"/>
      <c r="L548" s="18"/>
      <c r="M548" s="18"/>
      <c r="N548" s="18"/>
      <c r="O548" s="18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>
      <c r="A549" s="1"/>
      <c r="B549" s="1"/>
      <c r="C549" s="18"/>
      <c r="D549" s="47"/>
      <c r="E549" s="18"/>
      <c r="F549" s="18"/>
      <c r="G549" s="18"/>
      <c r="H549" s="18"/>
      <c r="I549" s="25"/>
      <c r="J549" s="18"/>
      <c r="K549" s="18"/>
      <c r="L549" s="18"/>
      <c r="M549" s="18"/>
      <c r="N549" s="18"/>
      <c r="O549" s="18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>
      <c r="A550" s="1"/>
      <c r="B550" s="1"/>
      <c r="C550" s="18"/>
      <c r="D550" s="47"/>
      <c r="E550" s="18"/>
      <c r="F550" s="18"/>
      <c r="G550" s="18"/>
      <c r="H550" s="18"/>
      <c r="I550" s="25"/>
      <c r="J550" s="18"/>
      <c r="K550" s="18"/>
      <c r="L550" s="18"/>
      <c r="M550" s="18"/>
      <c r="N550" s="18"/>
      <c r="O550" s="18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>
      <c r="A551" s="1"/>
      <c r="B551" s="1"/>
      <c r="C551" s="18"/>
      <c r="D551" s="47"/>
      <c r="E551" s="18"/>
      <c r="F551" s="18"/>
      <c r="G551" s="18"/>
      <c r="H551" s="18"/>
      <c r="I551" s="25"/>
      <c r="J551" s="18"/>
      <c r="K551" s="18"/>
      <c r="L551" s="18"/>
      <c r="M551" s="18"/>
      <c r="N551" s="18"/>
      <c r="O551" s="18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>
      <c r="A552" s="1"/>
      <c r="B552" s="1"/>
      <c r="C552" s="18"/>
      <c r="D552" s="47"/>
      <c r="E552" s="18"/>
      <c r="F552" s="18"/>
      <c r="G552" s="18"/>
      <c r="H552" s="18"/>
      <c r="I552" s="25"/>
      <c r="J552" s="18"/>
      <c r="K552" s="18"/>
      <c r="L552" s="18"/>
      <c r="M552" s="18"/>
      <c r="N552" s="18"/>
      <c r="O552" s="18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>
      <c r="A553" s="1"/>
      <c r="B553" s="1"/>
      <c r="C553" s="18"/>
      <c r="D553" s="47"/>
      <c r="E553" s="18"/>
      <c r="F553" s="18"/>
      <c r="G553" s="18"/>
      <c r="H553" s="18"/>
      <c r="I553" s="25"/>
      <c r="J553" s="18"/>
      <c r="K553" s="18"/>
      <c r="L553" s="18"/>
      <c r="M553" s="18"/>
      <c r="N553" s="18"/>
      <c r="O553" s="18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>
      <c r="A554" s="1"/>
      <c r="B554" s="1"/>
      <c r="C554" s="18"/>
      <c r="D554" s="47"/>
      <c r="E554" s="18"/>
      <c r="F554" s="18"/>
      <c r="G554" s="18"/>
      <c r="H554" s="18"/>
      <c r="I554" s="25"/>
      <c r="J554" s="18"/>
      <c r="K554" s="18"/>
      <c r="L554" s="18"/>
      <c r="M554" s="18"/>
      <c r="N554" s="18"/>
      <c r="O554" s="18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>
      <c r="A555" s="1"/>
      <c r="B555" s="1"/>
      <c r="C555" s="18"/>
      <c r="D555" s="47"/>
      <c r="E555" s="18"/>
      <c r="F555" s="18"/>
      <c r="G555" s="18"/>
      <c r="H555" s="18"/>
      <c r="I555" s="25"/>
      <c r="J555" s="18"/>
      <c r="K555" s="18"/>
      <c r="L555" s="18"/>
      <c r="M555" s="18"/>
      <c r="N555" s="18"/>
      <c r="O555" s="18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>
      <c r="A556" s="1"/>
      <c r="B556" s="1"/>
      <c r="C556" s="18"/>
      <c r="D556" s="47"/>
      <c r="E556" s="18"/>
      <c r="F556" s="18"/>
      <c r="G556" s="18"/>
      <c r="H556" s="18"/>
      <c r="I556" s="25"/>
      <c r="J556" s="18"/>
      <c r="K556" s="18"/>
      <c r="L556" s="18"/>
      <c r="M556" s="18"/>
      <c r="N556" s="18"/>
      <c r="O556" s="18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>
      <c r="A557" s="1"/>
      <c r="B557" s="1"/>
      <c r="C557" s="18"/>
      <c r="D557" s="47"/>
      <c r="E557" s="18"/>
      <c r="F557" s="18"/>
      <c r="G557" s="18"/>
      <c r="H557" s="18"/>
      <c r="I557" s="25"/>
      <c r="J557" s="18"/>
      <c r="K557" s="18"/>
      <c r="L557" s="18"/>
      <c r="M557" s="18"/>
      <c r="N557" s="18"/>
      <c r="O557" s="18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>
      <c r="A558" s="1"/>
      <c r="B558" s="1"/>
      <c r="C558" s="18"/>
      <c r="D558" s="47"/>
      <c r="E558" s="18"/>
      <c r="F558" s="18"/>
      <c r="G558" s="18"/>
      <c r="H558" s="18"/>
      <c r="I558" s="25"/>
      <c r="J558" s="18"/>
      <c r="K558" s="18"/>
      <c r="L558" s="18"/>
      <c r="M558" s="18"/>
      <c r="N558" s="18"/>
      <c r="O558" s="18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>
      <c r="A559" s="1"/>
      <c r="B559" s="1"/>
      <c r="C559" s="18"/>
      <c r="D559" s="47"/>
      <c r="E559" s="18"/>
      <c r="F559" s="18"/>
      <c r="G559" s="18"/>
      <c r="H559" s="18"/>
      <c r="I559" s="25"/>
      <c r="J559" s="18"/>
      <c r="K559" s="18"/>
      <c r="L559" s="18"/>
      <c r="M559" s="18"/>
      <c r="N559" s="18"/>
      <c r="O559" s="18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>
      <c r="A560" s="1"/>
      <c r="B560" s="1"/>
      <c r="C560" s="18"/>
      <c r="D560" s="47"/>
      <c r="E560" s="18"/>
      <c r="F560" s="18"/>
      <c r="G560" s="18"/>
      <c r="H560" s="18"/>
      <c r="I560" s="25"/>
      <c r="J560" s="18"/>
      <c r="K560" s="18"/>
      <c r="L560" s="18"/>
      <c r="M560" s="18"/>
      <c r="N560" s="18"/>
      <c r="O560" s="18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>
      <c r="A561" s="1"/>
      <c r="B561" s="1"/>
      <c r="C561" s="18"/>
      <c r="D561" s="47"/>
      <c r="E561" s="18"/>
      <c r="F561" s="18"/>
      <c r="G561" s="18"/>
      <c r="H561" s="18"/>
      <c r="I561" s="25"/>
      <c r="J561" s="18"/>
      <c r="K561" s="18"/>
      <c r="L561" s="18"/>
      <c r="M561" s="18"/>
      <c r="N561" s="18"/>
      <c r="O561" s="18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>
      <c r="A562" s="1"/>
      <c r="B562" s="1"/>
      <c r="C562" s="18"/>
      <c r="D562" s="47"/>
      <c r="E562" s="18"/>
      <c r="F562" s="18"/>
      <c r="G562" s="18"/>
      <c r="H562" s="18"/>
      <c r="I562" s="25"/>
      <c r="J562" s="18"/>
      <c r="K562" s="18"/>
      <c r="L562" s="18"/>
      <c r="M562" s="18"/>
      <c r="N562" s="18"/>
      <c r="O562" s="18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>
      <c r="A563" s="1"/>
      <c r="B563" s="1"/>
      <c r="C563" s="18"/>
      <c r="D563" s="47"/>
      <c r="E563" s="18"/>
      <c r="F563" s="18"/>
      <c r="G563" s="18"/>
      <c r="H563" s="18"/>
      <c r="I563" s="25"/>
      <c r="J563" s="18"/>
      <c r="K563" s="18"/>
      <c r="L563" s="18"/>
      <c r="M563" s="18"/>
      <c r="N563" s="18"/>
      <c r="O563" s="18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>
      <c r="A564" s="1"/>
      <c r="B564" s="1"/>
      <c r="C564" s="18"/>
      <c r="D564" s="47"/>
      <c r="E564" s="18"/>
      <c r="F564" s="18"/>
      <c r="G564" s="18"/>
      <c r="H564" s="18"/>
      <c r="I564" s="25"/>
      <c r="J564" s="18"/>
      <c r="K564" s="18"/>
      <c r="L564" s="18"/>
      <c r="M564" s="18"/>
      <c r="N564" s="18"/>
      <c r="O564" s="18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>
      <c r="A565" s="1"/>
      <c r="B565" s="1"/>
      <c r="C565" s="18"/>
      <c r="D565" s="47"/>
      <c r="E565" s="18"/>
      <c r="F565" s="18"/>
      <c r="G565" s="18"/>
      <c r="H565" s="18"/>
      <c r="I565" s="25"/>
      <c r="J565" s="18"/>
      <c r="K565" s="18"/>
      <c r="L565" s="18"/>
      <c r="M565" s="18"/>
      <c r="N565" s="18"/>
      <c r="O565" s="18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>
      <c r="A566" s="1"/>
      <c r="B566" s="1"/>
      <c r="C566" s="18"/>
      <c r="D566" s="47"/>
      <c r="E566" s="18"/>
      <c r="F566" s="18"/>
      <c r="G566" s="18"/>
      <c r="H566" s="18"/>
      <c r="I566" s="25"/>
      <c r="J566" s="18"/>
      <c r="K566" s="18"/>
      <c r="L566" s="18"/>
      <c r="M566" s="18"/>
      <c r="N566" s="18"/>
      <c r="O566" s="18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>
      <c r="A567" s="1"/>
      <c r="B567" s="1"/>
      <c r="C567" s="18"/>
      <c r="D567" s="47"/>
      <c r="E567" s="18"/>
      <c r="F567" s="18"/>
      <c r="G567" s="18"/>
      <c r="H567" s="18"/>
      <c r="I567" s="25"/>
      <c r="J567" s="18"/>
      <c r="K567" s="18"/>
      <c r="L567" s="18"/>
      <c r="M567" s="18"/>
      <c r="N567" s="18"/>
      <c r="O567" s="18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>
      <c r="A568" s="1"/>
      <c r="B568" s="1"/>
      <c r="C568" s="18"/>
      <c r="D568" s="47"/>
      <c r="E568" s="18"/>
      <c r="F568" s="18"/>
      <c r="G568" s="18"/>
      <c r="H568" s="18"/>
      <c r="I568" s="25"/>
      <c r="J568" s="18"/>
      <c r="K568" s="18"/>
      <c r="L568" s="18"/>
      <c r="M568" s="18"/>
      <c r="N568" s="18"/>
      <c r="O568" s="18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>
      <c r="A569" s="1"/>
      <c r="B569" s="1"/>
      <c r="C569" s="18"/>
      <c r="D569" s="47"/>
      <c r="E569" s="18"/>
      <c r="F569" s="18"/>
      <c r="G569" s="18"/>
      <c r="H569" s="18"/>
      <c r="I569" s="25"/>
      <c r="J569" s="18"/>
      <c r="K569" s="18"/>
      <c r="L569" s="18"/>
      <c r="M569" s="18"/>
      <c r="N569" s="18"/>
      <c r="O569" s="18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>
      <c r="A570" s="1"/>
      <c r="B570" s="1"/>
      <c r="C570" s="18"/>
      <c r="D570" s="47"/>
      <c r="E570" s="18"/>
      <c r="F570" s="18"/>
      <c r="G570" s="18"/>
      <c r="H570" s="18"/>
      <c r="I570" s="25"/>
      <c r="J570" s="18"/>
      <c r="K570" s="18"/>
      <c r="L570" s="18"/>
      <c r="M570" s="18"/>
      <c r="N570" s="18"/>
      <c r="O570" s="18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>
      <c r="A571" s="1"/>
      <c r="B571" s="1"/>
      <c r="C571" s="18"/>
      <c r="D571" s="47"/>
      <c r="E571" s="18"/>
      <c r="F571" s="18"/>
      <c r="G571" s="18"/>
      <c r="H571" s="18"/>
      <c r="I571" s="25"/>
      <c r="J571" s="18"/>
      <c r="K571" s="18"/>
      <c r="L571" s="18"/>
      <c r="M571" s="18"/>
      <c r="N571" s="18"/>
      <c r="O571" s="18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>
      <c r="A572" s="1"/>
      <c r="B572" s="1"/>
      <c r="C572" s="18"/>
      <c r="D572" s="47"/>
      <c r="E572" s="18"/>
      <c r="F572" s="18"/>
      <c r="G572" s="18"/>
      <c r="H572" s="18"/>
      <c r="I572" s="25"/>
      <c r="J572" s="18"/>
      <c r="K572" s="18"/>
      <c r="L572" s="18"/>
      <c r="M572" s="18"/>
      <c r="N572" s="18"/>
      <c r="O572" s="18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>
      <c r="A573" s="1"/>
      <c r="B573" s="1"/>
      <c r="C573" s="18"/>
      <c r="D573" s="47"/>
      <c r="E573" s="18"/>
      <c r="F573" s="18"/>
      <c r="G573" s="18"/>
      <c r="H573" s="18"/>
      <c r="I573" s="25"/>
      <c r="J573" s="18"/>
      <c r="K573" s="18"/>
      <c r="L573" s="18"/>
      <c r="M573" s="18"/>
      <c r="N573" s="18"/>
      <c r="O573" s="18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>
      <c r="A574" s="1"/>
      <c r="B574" s="1"/>
      <c r="C574" s="18"/>
      <c r="D574" s="47"/>
      <c r="E574" s="18"/>
      <c r="F574" s="18"/>
      <c r="G574" s="18"/>
      <c r="H574" s="18"/>
      <c r="I574" s="25"/>
      <c r="J574" s="18"/>
      <c r="K574" s="18"/>
      <c r="L574" s="18"/>
      <c r="M574" s="18"/>
      <c r="N574" s="18"/>
      <c r="O574" s="18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>
      <c r="A575" s="1"/>
      <c r="B575" s="1"/>
      <c r="C575" s="18"/>
      <c r="D575" s="47"/>
      <c r="E575" s="18"/>
      <c r="F575" s="18"/>
      <c r="G575" s="18"/>
      <c r="H575" s="18"/>
      <c r="I575" s="25"/>
      <c r="J575" s="18"/>
      <c r="K575" s="18"/>
      <c r="L575" s="18"/>
      <c r="M575" s="18"/>
      <c r="N575" s="18"/>
      <c r="O575" s="18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>
      <c r="A576" s="1"/>
      <c r="B576" s="1"/>
      <c r="C576" s="18"/>
      <c r="D576" s="47"/>
      <c r="E576" s="18"/>
      <c r="F576" s="18"/>
      <c r="G576" s="18"/>
      <c r="H576" s="18"/>
      <c r="I576" s="25"/>
      <c r="J576" s="18"/>
      <c r="K576" s="18"/>
      <c r="L576" s="18"/>
      <c r="M576" s="18"/>
      <c r="N576" s="18"/>
      <c r="O576" s="18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>
      <c r="A577" s="1"/>
      <c r="B577" s="1"/>
      <c r="C577" s="18"/>
      <c r="D577" s="47"/>
      <c r="E577" s="18"/>
      <c r="F577" s="18"/>
      <c r="G577" s="18"/>
      <c r="H577" s="18"/>
      <c r="I577" s="25"/>
      <c r="J577" s="18"/>
      <c r="K577" s="18"/>
      <c r="L577" s="18"/>
      <c r="M577" s="18"/>
      <c r="N577" s="18"/>
      <c r="O577" s="18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>
      <c r="A578" s="1"/>
      <c r="B578" s="1"/>
      <c r="C578" s="18"/>
      <c r="D578" s="47"/>
      <c r="E578" s="18"/>
      <c r="F578" s="18"/>
      <c r="G578" s="18"/>
      <c r="H578" s="18"/>
      <c r="I578" s="25"/>
      <c r="J578" s="18"/>
      <c r="K578" s="18"/>
      <c r="L578" s="18"/>
      <c r="M578" s="18"/>
      <c r="N578" s="18"/>
      <c r="O578" s="18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>
      <c r="A579" s="1"/>
      <c r="B579" s="1"/>
      <c r="C579" s="18"/>
      <c r="D579" s="47"/>
      <c r="E579" s="18"/>
      <c r="F579" s="18"/>
      <c r="G579" s="18"/>
      <c r="H579" s="18"/>
      <c r="I579" s="25"/>
      <c r="J579" s="18"/>
      <c r="K579" s="18"/>
      <c r="L579" s="18"/>
      <c r="M579" s="18"/>
      <c r="N579" s="18"/>
      <c r="O579" s="18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>
      <c r="A580" s="1"/>
      <c r="B580" s="1"/>
      <c r="C580" s="18"/>
      <c r="D580" s="47"/>
      <c r="E580" s="18"/>
      <c r="F580" s="18"/>
      <c r="G580" s="18"/>
      <c r="H580" s="18"/>
      <c r="I580" s="25"/>
      <c r="J580" s="18"/>
      <c r="K580" s="18"/>
      <c r="L580" s="18"/>
      <c r="M580" s="18"/>
      <c r="N580" s="18"/>
      <c r="O580" s="18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>
      <c r="A581" s="1"/>
      <c r="B581" s="1"/>
      <c r="C581" s="18"/>
      <c r="D581" s="47"/>
      <c r="E581" s="18"/>
      <c r="F581" s="18"/>
      <c r="G581" s="18"/>
      <c r="H581" s="18"/>
      <c r="I581" s="25"/>
      <c r="J581" s="18"/>
      <c r="K581" s="18"/>
      <c r="L581" s="18"/>
      <c r="M581" s="18"/>
      <c r="N581" s="18"/>
      <c r="O581" s="18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>
      <c r="A582" s="1"/>
      <c r="B582" s="1"/>
      <c r="C582" s="18"/>
      <c r="D582" s="47"/>
      <c r="E582" s="18"/>
      <c r="F582" s="18"/>
      <c r="G582" s="18"/>
      <c r="H582" s="18"/>
      <c r="I582" s="25"/>
      <c r="J582" s="18"/>
      <c r="K582" s="18"/>
      <c r="L582" s="18"/>
      <c r="M582" s="18"/>
      <c r="N582" s="18"/>
      <c r="O582" s="18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>
      <c r="A583" s="1"/>
      <c r="B583" s="1"/>
      <c r="C583" s="18"/>
      <c r="D583" s="47"/>
      <c r="E583" s="18"/>
      <c r="F583" s="18"/>
      <c r="G583" s="18"/>
      <c r="H583" s="18"/>
      <c r="I583" s="25"/>
      <c r="J583" s="18"/>
      <c r="K583" s="18"/>
      <c r="L583" s="18"/>
      <c r="M583" s="18"/>
      <c r="N583" s="18"/>
      <c r="O583" s="18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>
      <c r="A584" s="1"/>
      <c r="B584" s="1"/>
      <c r="C584" s="18"/>
      <c r="D584" s="47"/>
      <c r="E584" s="18"/>
      <c r="F584" s="18"/>
      <c r="G584" s="18"/>
      <c r="H584" s="18"/>
      <c r="I584" s="25"/>
      <c r="J584" s="18"/>
      <c r="K584" s="18"/>
      <c r="L584" s="18"/>
      <c r="M584" s="18"/>
      <c r="N584" s="18"/>
      <c r="O584" s="18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>
      <c r="A585" s="1"/>
      <c r="B585" s="1"/>
      <c r="C585" s="18"/>
      <c r="D585" s="47"/>
      <c r="E585" s="18"/>
      <c r="F585" s="18"/>
      <c r="G585" s="18"/>
      <c r="H585" s="18"/>
      <c r="I585" s="25"/>
      <c r="J585" s="18"/>
      <c r="K585" s="18"/>
      <c r="L585" s="18"/>
      <c r="M585" s="18"/>
      <c r="N585" s="18"/>
      <c r="O585" s="18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>
      <c r="A586" s="1"/>
      <c r="B586" s="1"/>
      <c r="C586" s="18"/>
      <c r="D586" s="47"/>
      <c r="E586" s="18"/>
      <c r="F586" s="18"/>
      <c r="G586" s="18"/>
      <c r="H586" s="18"/>
      <c r="I586" s="25"/>
      <c r="J586" s="18"/>
      <c r="K586" s="18"/>
      <c r="L586" s="18"/>
      <c r="M586" s="18"/>
      <c r="N586" s="18"/>
      <c r="O586" s="18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>
      <c r="A587" s="1"/>
      <c r="B587" s="1"/>
      <c r="C587" s="18"/>
      <c r="D587" s="47"/>
      <c r="E587" s="18"/>
      <c r="F587" s="18"/>
      <c r="G587" s="18"/>
      <c r="H587" s="18"/>
      <c r="I587" s="25"/>
      <c r="J587" s="18"/>
      <c r="K587" s="18"/>
      <c r="L587" s="18"/>
      <c r="M587" s="18"/>
      <c r="N587" s="18"/>
      <c r="O587" s="18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>
      <c r="A588" s="1"/>
      <c r="B588" s="1"/>
      <c r="C588" s="18"/>
      <c r="D588" s="47"/>
      <c r="E588" s="18"/>
      <c r="F588" s="18"/>
      <c r="G588" s="18"/>
      <c r="H588" s="18"/>
      <c r="I588" s="25"/>
      <c r="J588" s="18"/>
      <c r="K588" s="18"/>
      <c r="L588" s="18"/>
      <c r="M588" s="18"/>
      <c r="N588" s="18"/>
      <c r="O588" s="18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>
      <c r="A589" s="1"/>
      <c r="B589" s="1"/>
      <c r="C589" s="18"/>
      <c r="D589" s="47"/>
      <c r="E589" s="18"/>
      <c r="F589" s="18"/>
      <c r="G589" s="18"/>
      <c r="H589" s="18"/>
      <c r="I589" s="25"/>
      <c r="J589" s="18"/>
      <c r="K589" s="18"/>
      <c r="L589" s="18"/>
      <c r="M589" s="18"/>
      <c r="N589" s="18"/>
      <c r="O589" s="18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>
      <c r="A590" s="1"/>
      <c r="B590" s="1"/>
      <c r="C590" s="18"/>
      <c r="D590" s="47"/>
      <c r="E590" s="18"/>
      <c r="F590" s="18"/>
      <c r="G590" s="18"/>
      <c r="H590" s="18"/>
      <c r="I590" s="25"/>
      <c r="J590" s="18"/>
      <c r="K590" s="18"/>
      <c r="L590" s="18"/>
      <c r="M590" s="18"/>
      <c r="N590" s="18"/>
      <c r="O590" s="18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>
      <c r="A591" s="1"/>
      <c r="B591" s="1"/>
      <c r="C591" s="18"/>
      <c r="D591" s="47"/>
      <c r="E591" s="18"/>
      <c r="F591" s="18"/>
      <c r="G591" s="18"/>
      <c r="H591" s="18"/>
      <c r="I591" s="25"/>
      <c r="J591" s="18"/>
      <c r="K591" s="18"/>
      <c r="L591" s="18"/>
      <c r="M591" s="18"/>
      <c r="N591" s="18"/>
      <c r="O591" s="18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>
      <c r="A592" s="1"/>
      <c r="B592" s="1"/>
      <c r="C592" s="18"/>
      <c r="D592" s="47"/>
      <c r="E592" s="18"/>
      <c r="F592" s="18"/>
      <c r="G592" s="18"/>
      <c r="H592" s="18"/>
      <c r="I592" s="25"/>
      <c r="J592" s="18"/>
      <c r="K592" s="18"/>
      <c r="L592" s="18"/>
      <c r="M592" s="18"/>
      <c r="N592" s="18"/>
      <c r="O592" s="18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>
      <c r="A593" s="1"/>
      <c r="B593" s="1"/>
      <c r="C593" s="18"/>
      <c r="D593" s="47"/>
      <c r="E593" s="18"/>
      <c r="F593" s="18"/>
      <c r="G593" s="18"/>
      <c r="H593" s="18"/>
      <c r="I593" s="25"/>
      <c r="J593" s="18"/>
      <c r="K593" s="18"/>
      <c r="L593" s="18"/>
      <c r="M593" s="18"/>
      <c r="N593" s="18"/>
      <c r="O593" s="18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>
      <c r="A594" s="1"/>
      <c r="B594" s="1"/>
      <c r="C594" s="18"/>
      <c r="D594" s="47"/>
      <c r="E594" s="18"/>
      <c r="F594" s="18"/>
      <c r="G594" s="18"/>
      <c r="H594" s="18"/>
      <c r="I594" s="25"/>
      <c r="J594" s="18"/>
      <c r="K594" s="18"/>
      <c r="L594" s="18"/>
      <c r="M594" s="18"/>
      <c r="N594" s="18"/>
      <c r="O594" s="18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>
      <c r="A595" s="1"/>
      <c r="B595" s="1"/>
      <c r="C595" s="18"/>
      <c r="D595" s="47"/>
      <c r="E595" s="18"/>
      <c r="F595" s="18"/>
      <c r="G595" s="18"/>
      <c r="H595" s="18"/>
      <c r="I595" s="25"/>
      <c r="J595" s="18"/>
      <c r="K595" s="18"/>
      <c r="L595" s="18"/>
      <c r="M595" s="18"/>
      <c r="N595" s="18"/>
      <c r="O595" s="18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>
      <c r="A596" s="1"/>
      <c r="B596" s="1"/>
      <c r="C596" s="18"/>
      <c r="D596" s="47"/>
      <c r="E596" s="18"/>
      <c r="F596" s="18"/>
      <c r="G596" s="18"/>
      <c r="H596" s="18"/>
      <c r="I596" s="25"/>
      <c r="J596" s="18"/>
      <c r="K596" s="18"/>
      <c r="L596" s="18"/>
      <c r="M596" s="18"/>
      <c r="N596" s="18"/>
      <c r="O596" s="18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>
      <c r="A597" s="1"/>
      <c r="B597" s="1"/>
      <c r="C597" s="18"/>
      <c r="D597" s="47"/>
      <c r="E597" s="18"/>
      <c r="F597" s="18"/>
      <c r="G597" s="18"/>
      <c r="H597" s="18"/>
      <c r="I597" s="25"/>
      <c r="J597" s="18"/>
      <c r="K597" s="18"/>
      <c r="L597" s="18"/>
      <c r="M597" s="18"/>
      <c r="N597" s="18"/>
      <c r="O597" s="18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>
      <c r="A598" s="1"/>
      <c r="B598" s="1"/>
      <c r="C598" s="18"/>
      <c r="D598" s="47"/>
      <c r="E598" s="18"/>
      <c r="F598" s="18"/>
      <c r="G598" s="18"/>
      <c r="H598" s="18"/>
      <c r="I598" s="25"/>
      <c r="J598" s="18"/>
      <c r="K598" s="18"/>
      <c r="L598" s="18"/>
      <c r="M598" s="18"/>
      <c r="N598" s="18"/>
      <c r="O598" s="18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>
      <c r="A599" s="1"/>
      <c r="B599" s="1"/>
      <c r="C599" s="18"/>
      <c r="D599" s="47"/>
      <c r="E599" s="18"/>
      <c r="F599" s="18"/>
      <c r="G599" s="18"/>
      <c r="H599" s="18"/>
      <c r="I599" s="25"/>
      <c r="J599" s="18"/>
      <c r="K599" s="18"/>
      <c r="L599" s="18"/>
      <c r="M599" s="18"/>
      <c r="N599" s="18"/>
      <c r="O599" s="18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>
      <c r="A600" s="1"/>
      <c r="B600" s="1"/>
      <c r="C600" s="18"/>
      <c r="D600" s="47"/>
      <c r="E600" s="18"/>
      <c r="F600" s="18"/>
      <c r="G600" s="18"/>
      <c r="H600" s="18"/>
      <c r="I600" s="25"/>
      <c r="J600" s="18"/>
      <c r="K600" s="18"/>
      <c r="L600" s="18"/>
      <c r="M600" s="18"/>
      <c r="N600" s="18"/>
      <c r="O600" s="18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>
      <c r="A601" s="1"/>
      <c r="B601" s="1"/>
      <c r="C601" s="18"/>
      <c r="D601" s="47"/>
      <c r="E601" s="18"/>
      <c r="F601" s="18"/>
      <c r="G601" s="18"/>
      <c r="H601" s="18"/>
      <c r="I601" s="25"/>
      <c r="J601" s="18"/>
      <c r="K601" s="18"/>
      <c r="L601" s="18"/>
      <c r="M601" s="18"/>
      <c r="N601" s="18"/>
      <c r="O601" s="18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>
      <c r="A602" s="1"/>
      <c r="B602" s="1"/>
      <c r="C602" s="18"/>
      <c r="D602" s="47"/>
      <c r="E602" s="18"/>
      <c r="F602" s="18"/>
      <c r="G602" s="18"/>
      <c r="H602" s="18"/>
      <c r="I602" s="25"/>
      <c r="J602" s="18"/>
      <c r="K602" s="18"/>
      <c r="L602" s="18"/>
      <c r="M602" s="18"/>
      <c r="N602" s="18"/>
      <c r="O602" s="18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>
      <c r="A603" s="1"/>
      <c r="B603" s="1"/>
      <c r="C603" s="18"/>
      <c r="D603" s="47"/>
      <c r="E603" s="18"/>
      <c r="F603" s="18"/>
      <c r="G603" s="18"/>
      <c r="H603" s="18"/>
      <c r="I603" s="25"/>
      <c r="J603" s="18"/>
      <c r="K603" s="18"/>
      <c r="L603" s="18"/>
      <c r="M603" s="18"/>
      <c r="N603" s="18"/>
      <c r="O603" s="18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>
      <c r="A604" s="1"/>
      <c r="B604" s="1"/>
      <c r="C604" s="18"/>
      <c r="D604" s="47"/>
      <c r="E604" s="18"/>
      <c r="F604" s="18"/>
      <c r="G604" s="18"/>
      <c r="H604" s="18"/>
      <c r="I604" s="25"/>
      <c r="J604" s="18"/>
      <c r="K604" s="18"/>
      <c r="L604" s="18"/>
      <c r="M604" s="18"/>
      <c r="N604" s="18"/>
      <c r="O604" s="18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>
      <c r="A605" s="1"/>
      <c r="B605" s="1"/>
      <c r="C605" s="18"/>
      <c r="D605" s="47"/>
      <c r="E605" s="18"/>
      <c r="F605" s="18"/>
      <c r="G605" s="18"/>
      <c r="H605" s="18"/>
      <c r="I605" s="25"/>
      <c r="J605" s="18"/>
      <c r="K605" s="18"/>
      <c r="L605" s="18"/>
      <c r="M605" s="18"/>
      <c r="N605" s="18"/>
      <c r="O605" s="18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>
      <c r="A606" s="1"/>
      <c r="B606" s="1"/>
      <c r="C606" s="18"/>
      <c r="D606" s="47"/>
      <c r="E606" s="18"/>
      <c r="F606" s="18"/>
      <c r="G606" s="18"/>
      <c r="H606" s="18"/>
      <c r="I606" s="25"/>
      <c r="J606" s="18"/>
      <c r="K606" s="18"/>
      <c r="L606" s="18"/>
      <c r="M606" s="18"/>
      <c r="N606" s="18"/>
      <c r="O606" s="18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>
      <c r="A607" s="1"/>
      <c r="B607" s="1"/>
      <c r="C607" s="18"/>
      <c r="D607" s="47"/>
      <c r="E607" s="18"/>
      <c r="F607" s="18"/>
      <c r="G607" s="18"/>
      <c r="H607" s="18"/>
      <c r="I607" s="25"/>
      <c r="J607" s="18"/>
      <c r="K607" s="18"/>
      <c r="L607" s="18"/>
      <c r="M607" s="18"/>
      <c r="N607" s="18"/>
      <c r="O607" s="18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>
      <c r="A608" s="1"/>
      <c r="B608" s="1"/>
      <c r="C608" s="18"/>
      <c r="D608" s="47"/>
      <c r="E608" s="18"/>
      <c r="F608" s="18"/>
      <c r="G608" s="18"/>
      <c r="H608" s="18"/>
      <c r="I608" s="25"/>
      <c r="J608" s="18"/>
      <c r="K608" s="18"/>
      <c r="L608" s="18"/>
      <c r="M608" s="18"/>
      <c r="N608" s="18"/>
      <c r="O608" s="18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>
      <c r="A609" s="1"/>
      <c r="B609" s="1"/>
      <c r="C609" s="18"/>
      <c r="D609" s="47"/>
      <c r="E609" s="18"/>
      <c r="F609" s="18"/>
      <c r="G609" s="18"/>
      <c r="H609" s="18"/>
      <c r="I609" s="25"/>
      <c r="J609" s="18"/>
      <c r="K609" s="18"/>
      <c r="L609" s="18"/>
      <c r="M609" s="18"/>
      <c r="N609" s="18"/>
      <c r="O609" s="18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>
      <c r="A610" s="1"/>
      <c r="B610" s="1"/>
      <c r="C610" s="18"/>
      <c r="D610" s="47"/>
      <c r="E610" s="18"/>
      <c r="F610" s="18"/>
      <c r="G610" s="18"/>
      <c r="H610" s="18"/>
      <c r="I610" s="25"/>
      <c r="J610" s="18"/>
      <c r="K610" s="18"/>
      <c r="L610" s="18"/>
      <c r="M610" s="18"/>
      <c r="N610" s="18"/>
      <c r="O610" s="18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>
      <c r="A611" s="1"/>
      <c r="B611" s="1"/>
      <c r="C611" s="18"/>
      <c r="D611" s="47"/>
      <c r="E611" s="18"/>
      <c r="F611" s="18"/>
      <c r="G611" s="18"/>
      <c r="H611" s="18"/>
      <c r="I611" s="25"/>
      <c r="J611" s="18"/>
      <c r="K611" s="18"/>
      <c r="L611" s="18"/>
      <c r="M611" s="18"/>
      <c r="N611" s="18"/>
      <c r="O611" s="18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>
      <c r="A612" s="1"/>
      <c r="B612" s="1"/>
      <c r="C612" s="18"/>
      <c r="D612" s="47"/>
      <c r="E612" s="18"/>
      <c r="F612" s="18"/>
      <c r="G612" s="18"/>
      <c r="H612" s="18"/>
      <c r="I612" s="25"/>
      <c r="J612" s="18"/>
      <c r="K612" s="18"/>
      <c r="L612" s="18"/>
      <c r="M612" s="18"/>
      <c r="N612" s="18"/>
      <c r="O612" s="18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>
      <c r="A613" s="1"/>
      <c r="B613" s="1"/>
      <c r="C613" s="18"/>
      <c r="D613" s="47"/>
      <c r="E613" s="18"/>
      <c r="F613" s="18"/>
      <c r="G613" s="18"/>
      <c r="H613" s="18"/>
      <c r="I613" s="25"/>
      <c r="J613" s="18"/>
      <c r="K613" s="18"/>
      <c r="L613" s="18"/>
      <c r="M613" s="18"/>
      <c r="N613" s="18"/>
      <c r="O613" s="18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>
      <c r="A614" s="1"/>
      <c r="B614" s="1"/>
      <c r="C614" s="18"/>
      <c r="D614" s="47"/>
      <c r="E614" s="18"/>
      <c r="F614" s="18"/>
      <c r="G614" s="18"/>
      <c r="H614" s="18"/>
      <c r="I614" s="25"/>
      <c r="J614" s="18"/>
      <c r="K614" s="18"/>
      <c r="L614" s="18"/>
      <c r="M614" s="18"/>
      <c r="N614" s="18"/>
      <c r="O614" s="18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>
      <c r="A615" s="1"/>
      <c r="B615" s="1"/>
      <c r="C615" s="18"/>
      <c r="D615" s="47"/>
      <c r="E615" s="18"/>
      <c r="F615" s="18"/>
      <c r="G615" s="18"/>
      <c r="H615" s="18"/>
      <c r="I615" s="25"/>
      <c r="J615" s="18"/>
      <c r="K615" s="18"/>
      <c r="L615" s="18"/>
      <c r="M615" s="18"/>
      <c r="N615" s="18"/>
      <c r="O615" s="18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>
      <c r="A616" s="1"/>
      <c r="B616" s="1"/>
      <c r="C616" s="18"/>
      <c r="D616" s="47"/>
      <c r="E616" s="18"/>
      <c r="F616" s="18"/>
      <c r="G616" s="18"/>
      <c r="H616" s="18"/>
      <c r="I616" s="25"/>
      <c r="J616" s="18"/>
      <c r="K616" s="18"/>
      <c r="L616" s="18"/>
      <c r="M616" s="18"/>
      <c r="N616" s="18"/>
      <c r="O616" s="18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>
      <c r="A617" s="1"/>
      <c r="B617" s="1"/>
      <c r="C617" s="18"/>
      <c r="D617" s="47"/>
      <c r="E617" s="18"/>
      <c r="F617" s="18"/>
      <c r="G617" s="18"/>
      <c r="H617" s="18"/>
      <c r="I617" s="25"/>
      <c r="J617" s="18"/>
      <c r="K617" s="18"/>
      <c r="L617" s="18"/>
      <c r="M617" s="18"/>
      <c r="N617" s="18"/>
      <c r="O617" s="18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>
      <c r="A618" s="1"/>
      <c r="B618" s="1"/>
      <c r="C618" s="18"/>
      <c r="D618" s="47"/>
      <c r="E618" s="18"/>
      <c r="F618" s="18"/>
      <c r="G618" s="18"/>
      <c r="H618" s="18"/>
      <c r="I618" s="25"/>
      <c r="J618" s="18"/>
      <c r="K618" s="18"/>
      <c r="L618" s="18"/>
      <c r="M618" s="18"/>
      <c r="N618" s="18"/>
      <c r="O618" s="18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>
      <c r="A619" s="1"/>
      <c r="B619" s="1"/>
      <c r="C619" s="18"/>
      <c r="D619" s="47"/>
      <c r="E619" s="18"/>
      <c r="F619" s="18"/>
      <c r="G619" s="18"/>
      <c r="H619" s="18"/>
      <c r="I619" s="25"/>
      <c r="J619" s="18"/>
      <c r="K619" s="18"/>
      <c r="L619" s="18"/>
      <c r="M619" s="18"/>
      <c r="N619" s="18"/>
      <c r="O619" s="18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>
      <c r="A620" s="1"/>
      <c r="B620" s="1"/>
      <c r="C620" s="18"/>
      <c r="D620" s="47"/>
      <c r="E620" s="18"/>
      <c r="F620" s="18"/>
      <c r="G620" s="18"/>
      <c r="H620" s="18"/>
      <c r="I620" s="25"/>
      <c r="J620" s="18"/>
      <c r="K620" s="18"/>
      <c r="L620" s="18"/>
      <c r="M620" s="18"/>
      <c r="N620" s="18"/>
      <c r="O620" s="18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>
      <c r="A621" s="1"/>
      <c r="B621" s="1"/>
      <c r="C621" s="18"/>
      <c r="D621" s="47"/>
      <c r="E621" s="18"/>
      <c r="F621" s="18"/>
      <c r="G621" s="18"/>
      <c r="H621" s="18"/>
      <c r="I621" s="25"/>
      <c r="J621" s="18"/>
      <c r="K621" s="18"/>
      <c r="L621" s="18"/>
      <c r="M621" s="18"/>
      <c r="N621" s="18"/>
      <c r="O621" s="18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>
      <c r="A622" s="1"/>
      <c r="B622" s="1"/>
      <c r="C622" s="18"/>
      <c r="D622" s="47"/>
      <c r="E622" s="18"/>
      <c r="F622" s="18"/>
      <c r="G622" s="18"/>
      <c r="H622" s="18"/>
      <c r="I622" s="25"/>
      <c r="J622" s="18"/>
      <c r="K622" s="18"/>
      <c r="L622" s="18"/>
      <c r="M622" s="18"/>
      <c r="N622" s="18"/>
      <c r="O622" s="18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>
      <c r="A623" s="1"/>
      <c r="B623" s="1"/>
      <c r="C623" s="18"/>
      <c r="D623" s="47"/>
      <c r="E623" s="18"/>
      <c r="F623" s="18"/>
      <c r="G623" s="18"/>
      <c r="H623" s="18"/>
      <c r="I623" s="25"/>
      <c r="J623" s="18"/>
      <c r="K623" s="18"/>
      <c r="L623" s="18"/>
      <c r="M623" s="18"/>
      <c r="N623" s="18"/>
      <c r="O623" s="18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>
      <c r="A624" s="1"/>
      <c r="B624" s="1"/>
      <c r="C624" s="18"/>
      <c r="D624" s="47"/>
      <c r="E624" s="18"/>
      <c r="F624" s="18"/>
      <c r="G624" s="18"/>
      <c r="H624" s="18"/>
      <c r="I624" s="25"/>
      <c r="J624" s="18"/>
      <c r="K624" s="18"/>
      <c r="L624" s="18"/>
      <c r="M624" s="18"/>
      <c r="N624" s="18"/>
      <c r="O624" s="18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>
      <c r="A625" s="1"/>
      <c r="B625" s="1"/>
      <c r="C625" s="18"/>
      <c r="D625" s="47"/>
      <c r="E625" s="18"/>
      <c r="F625" s="18"/>
      <c r="G625" s="18"/>
      <c r="H625" s="18"/>
      <c r="I625" s="25"/>
      <c r="J625" s="18"/>
      <c r="K625" s="18"/>
      <c r="L625" s="18"/>
      <c r="M625" s="18"/>
      <c r="N625" s="18"/>
      <c r="O625" s="18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>
      <c r="A626" s="1"/>
      <c r="B626" s="1"/>
      <c r="C626" s="18"/>
      <c r="D626" s="47"/>
      <c r="E626" s="18"/>
      <c r="F626" s="18"/>
      <c r="G626" s="18"/>
      <c r="H626" s="18"/>
      <c r="I626" s="25"/>
      <c r="J626" s="18"/>
      <c r="K626" s="18"/>
      <c r="L626" s="18"/>
      <c r="M626" s="18"/>
      <c r="N626" s="18"/>
      <c r="O626" s="18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>
      <c r="A627" s="1"/>
      <c r="B627" s="1"/>
      <c r="C627" s="18"/>
      <c r="D627" s="47"/>
      <c r="E627" s="18"/>
      <c r="F627" s="18"/>
      <c r="G627" s="18"/>
      <c r="H627" s="18"/>
      <c r="I627" s="25"/>
      <c r="J627" s="18"/>
      <c r="K627" s="18"/>
      <c r="L627" s="18"/>
      <c r="M627" s="18"/>
      <c r="N627" s="18"/>
      <c r="O627" s="18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>
      <c r="A628" s="1"/>
      <c r="B628" s="1"/>
      <c r="C628" s="18"/>
      <c r="D628" s="47"/>
      <c r="E628" s="18"/>
      <c r="F628" s="18"/>
      <c r="G628" s="18"/>
      <c r="H628" s="18"/>
      <c r="I628" s="25"/>
      <c r="J628" s="18"/>
      <c r="K628" s="18"/>
      <c r="L628" s="18"/>
      <c r="M628" s="18"/>
      <c r="N628" s="18"/>
      <c r="O628" s="18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>
      <c r="A629" s="1"/>
      <c r="B629" s="1"/>
      <c r="C629" s="18"/>
      <c r="D629" s="47"/>
      <c r="E629" s="18"/>
      <c r="F629" s="18"/>
      <c r="G629" s="18"/>
      <c r="H629" s="18"/>
      <c r="I629" s="25"/>
      <c r="J629" s="18"/>
      <c r="K629" s="18"/>
      <c r="L629" s="18"/>
      <c r="M629" s="18"/>
      <c r="N629" s="18"/>
      <c r="O629" s="18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>
      <c r="A630" s="1"/>
      <c r="B630" s="1"/>
      <c r="C630" s="18"/>
      <c r="D630" s="47"/>
      <c r="E630" s="18"/>
      <c r="F630" s="18"/>
      <c r="G630" s="18"/>
      <c r="H630" s="18"/>
      <c r="I630" s="25"/>
      <c r="J630" s="18"/>
      <c r="K630" s="18"/>
      <c r="L630" s="18"/>
      <c r="M630" s="18"/>
      <c r="N630" s="18"/>
      <c r="O630" s="18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>
      <c r="A631" s="1"/>
      <c r="B631" s="1"/>
      <c r="C631" s="18"/>
      <c r="D631" s="47"/>
      <c r="E631" s="18"/>
      <c r="F631" s="18"/>
      <c r="G631" s="18"/>
      <c r="H631" s="18"/>
      <c r="I631" s="25"/>
      <c r="J631" s="18"/>
      <c r="K631" s="18"/>
      <c r="L631" s="18"/>
      <c r="M631" s="18"/>
      <c r="N631" s="18"/>
      <c r="O631" s="18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>
      <c r="A632" s="1"/>
      <c r="B632" s="1"/>
      <c r="C632" s="18"/>
      <c r="D632" s="47"/>
      <c r="E632" s="18"/>
      <c r="F632" s="18"/>
      <c r="G632" s="18"/>
      <c r="H632" s="18"/>
      <c r="I632" s="25"/>
      <c r="J632" s="18"/>
      <c r="K632" s="18"/>
      <c r="L632" s="18"/>
      <c r="M632" s="18"/>
      <c r="N632" s="18"/>
      <c r="O632" s="18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>
      <c r="A633" s="1"/>
      <c r="B633" s="1"/>
      <c r="C633" s="18"/>
      <c r="D633" s="47"/>
      <c r="E633" s="18"/>
      <c r="F633" s="18"/>
      <c r="G633" s="18"/>
      <c r="H633" s="18"/>
      <c r="I633" s="25"/>
      <c r="J633" s="18"/>
      <c r="K633" s="18"/>
      <c r="L633" s="18"/>
      <c r="M633" s="18"/>
      <c r="N633" s="18"/>
      <c r="O633" s="18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>
      <c r="A634" s="1"/>
      <c r="B634" s="1"/>
      <c r="C634" s="18"/>
      <c r="D634" s="47"/>
      <c r="E634" s="18"/>
      <c r="F634" s="18"/>
      <c r="G634" s="18"/>
      <c r="H634" s="18"/>
      <c r="I634" s="25"/>
      <c r="J634" s="18"/>
      <c r="K634" s="18"/>
      <c r="L634" s="18"/>
      <c r="M634" s="18"/>
      <c r="N634" s="18"/>
      <c r="O634" s="18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>
      <c r="A635" s="1"/>
      <c r="B635" s="1"/>
      <c r="C635" s="18"/>
      <c r="D635" s="47"/>
      <c r="E635" s="18"/>
      <c r="F635" s="18"/>
      <c r="G635" s="18"/>
      <c r="H635" s="18"/>
      <c r="I635" s="25"/>
      <c r="J635" s="18"/>
      <c r="K635" s="18"/>
      <c r="L635" s="18"/>
      <c r="M635" s="18"/>
      <c r="N635" s="18"/>
      <c r="O635" s="18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>
      <c r="A636" s="1"/>
      <c r="B636" s="1"/>
      <c r="C636" s="18"/>
      <c r="D636" s="47"/>
      <c r="E636" s="18"/>
      <c r="F636" s="18"/>
      <c r="G636" s="18"/>
      <c r="H636" s="18"/>
      <c r="I636" s="25"/>
      <c r="J636" s="18"/>
      <c r="K636" s="18"/>
      <c r="L636" s="18"/>
      <c r="M636" s="18"/>
      <c r="N636" s="18"/>
      <c r="O636" s="18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>
      <c r="A637" s="1"/>
      <c r="B637" s="1"/>
      <c r="C637" s="18"/>
      <c r="D637" s="47"/>
      <c r="E637" s="18"/>
      <c r="F637" s="18"/>
      <c r="G637" s="18"/>
      <c r="H637" s="18"/>
      <c r="I637" s="25"/>
      <c r="J637" s="18"/>
      <c r="K637" s="18"/>
      <c r="L637" s="18"/>
      <c r="M637" s="18"/>
      <c r="N637" s="18"/>
      <c r="O637" s="18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>
      <c r="A638" s="1"/>
      <c r="B638" s="1"/>
      <c r="C638" s="18"/>
      <c r="D638" s="47"/>
      <c r="E638" s="18"/>
      <c r="F638" s="18"/>
      <c r="G638" s="18"/>
      <c r="H638" s="18"/>
      <c r="I638" s="25"/>
      <c r="J638" s="18"/>
      <c r="K638" s="18"/>
      <c r="L638" s="18"/>
      <c r="M638" s="18"/>
      <c r="N638" s="18"/>
      <c r="O638" s="18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>
      <c r="A639" s="1"/>
      <c r="B639" s="1"/>
      <c r="C639" s="18"/>
      <c r="D639" s="47"/>
      <c r="E639" s="18"/>
      <c r="F639" s="18"/>
      <c r="G639" s="18"/>
      <c r="H639" s="18"/>
      <c r="I639" s="25"/>
      <c r="J639" s="18"/>
      <c r="K639" s="18"/>
      <c r="L639" s="18"/>
      <c r="M639" s="18"/>
      <c r="N639" s="18"/>
      <c r="O639" s="18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>
      <c r="A640" s="1"/>
      <c r="B640" s="1"/>
      <c r="C640" s="18"/>
      <c r="D640" s="47"/>
      <c r="E640" s="18"/>
      <c r="F640" s="18"/>
      <c r="G640" s="18"/>
      <c r="H640" s="18"/>
      <c r="I640" s="25"/>
      <c r="J640" s="18"/>
      <c r="K640" s="18"/>
      <c r="L640" s="18"/>
      <c r="M640" s="18"/>
      <c r="N640" s="18"/>
      <c r="O640" s="18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>
      <c r="A641" s="1"/>
      <c r="B641" s="1"/>
      <c r="C641" s="18"/>
      <c r="D641" s="47"/>
      <c r="E641" s="18"/>
      <c r="F641" s="18"/>
      <c r="G641" s="18"/>
      <c r="H641" s="18"/>
      <c r="I641" s="25"/>
      <c r="J641" s="18"/>
      <c r="K641" s="18"/>
      <c r="L641" s="18"/>
      <c r="M641" s="18"/>
      <c r="N641" s="18"/>
      <c r="O641" s="18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>
      <c r="A642" s="1"/>
      <c r="B642" s="1"/>
      <c r="C642" s="18"/>
      <c r="D642" s="47"/>
      <c r="E642" s="18"/>
      <c r="F642" s="18"/>
      <c r="G642" s="18"/>
      <c r="H642" s="18"/>
      <c r="I642" s="25"/>
      <c r="J642" s="18"/>
      <c r="K642" s="18"/>
      <c r="L642" s="18"/>
      <c r="M642" s="18"/>
      <c r="N642" s="18"/>
      <c r="O642" s="18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>
      <c r="A643" s="1"/>
      <c r="B643" s="1"/>
      <c r="C643" s="18"/>
      <c r="D643" s="47"/>
      <c r="E643" s="18"/>
      <c r="F643" s="18"/>
      <c r="G643" s="18"/>
      <c r="H643" s="18"/>
      <c r="I643" s="25"/>
      <c r="J643" s="18"/>
      <c r="K643" s="18"/>
      <c r="L643" s="18"/>
      <c r="M643" s="18"/>
      <c r="N643" s="18"/>
      <c r="O643" s="18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>
      <c r="A644" s="1"/>
      <c r="B644" s="1"/>
      <c r="C644" s="18"/>
      <c r="D644" s="47"/>
      <c r="E644" s="18"/>
      <c r="F644" s="18"/>
      <c r="G644" s="18"/>
      <c r="H644" s="18"/>
      <c r="I644" s="25"/>
      <c r="J644" s="18"/>
      <c r="K644" s="18"/>
      <c r="L644" s="18"/>
      <c r="M644" s="18"/>
      <c r="N644" s="18"/>
      <c r="O644" s="18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>
      <c r="A645" s="1"/>
      <c r="B645" s="1"/>
      <c r="C645" s="18"/>
      <c r="D645" s="47"/>
      <c r="E645" s="18"/>
      <c r="F645" s="18"/>
      <c r="G645" s="18"/>
      <c r="H645" s="18"/>
      <c r="I645" s="25"/>
      <c r="J645" s="18"/>
      <c r="K645" s="18"/>
      <c r="L645" s="18"/>
      <c r="M645" s="18"/>
      <c r="N645" s="18"/>
      <c r="O645" s="18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>
      <c r="A646" s="1"/>
      <c r="B646" s="1"/>
      <c r="C646" s="18"/>
      <c r="D646" s="47"/>
      <c r="E646" s="18"/>
      <c r="F646" s="18"/>
      <c r="G646" s="18"/>
      <c r="H646" s="18"/>
      <c r="I646" s="25"/>
      <c r="J646" s="18"/>
      <c r="K646" s="18"/>
      <c r="L646" s="18"/>
      <c r="M646" s="18"/>
      <c r="N646" s="18"/>
      <c r="O646" s="18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>
      <c r="A647" s="1"/>
      <c r="B647" s="1"/>
      <c r="C647" s="18"/>
      <c r="D647" s="47"/>
      <c r="E647" s="18"/>
      <c r="F647" s="18"/>
      <c r="G647" s="18"/>
      <c r="H647" s="18"/>
      <c r="I647" s="25"/>
      <c r="J647" s="18"/>
      <c r="K647" s="18"/>
      <c r="L647" s="18"/>
      <c r="M647" s="18"/>
      <c r="N647" s="18"/>
      <c r="O647" s="18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>
      <c r="A648" s="1"/>
      <c r="B648" s="1"/>
      <c r="C648" s="18"/>
      <c r="D648" s="47"/>
      <c r="E648" s="18"/>
      <c r="F648" s="18"/>
      <c r="G648" s="18"/>
      <c r="H648" s="18"/>
      <c r="I648" s="25"/>
      <c r="J648" s="18"/>
      <c r="K648" s="18"/>
      <c r="L648" s="18"/>
      <c r="M648" s="18"/>
      <c r="N648" s="18"/>
      <c r="O648" s="18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>
      <c r="A649" s="1"/>
      <c r="B649" s="1"/>
      <c r="C649" s="18"/>
      <c r="D649" s="47"/>
      <c r="E649" s="18"/>
      <c r="F649" s="18"/>
      <c r="G649" s="18"/>
      <c r="H649" s="18"/>
      <c r="I649" s="25"/>
      <c r="J649" s="18"/>
      <c r="K649" s="18"/>
      <c r="L649" s="18"/>
      <c r="M649" s="18"/>
      <c r="N649" s="18"/>
      <c r="O649" s="18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>
      <c r="A650" s="1"/>
      <c r="B650" s="1"/>
      <c r="C650" s="18"/>
      <c r="D650" s="47"/>
      <c r="E650" s="18"/>
      <c r="F650" s="18"/>
      <c r="G650" s="18"/>
      <c r="H650" s="18"/>
      <c r="I650" s="25"/>
      <c r="J650" s="18"/>
      <c r="K650" s="18"/>
      <c r="L650" s="18"/>
      <c r="M650" s="18"/>
      <c r="N650" s="18"/>
      <c r="O650" s="18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>
      <c r="A651" s="1"/>
      <c r="B651" s="1"/>
      <c r="C651" s="18"/>
      <c r="D651" s="47"/>
      <c r="E651" s="18"/>
      <c r="F651" s="18"/>
      <c r="G651" s="18"/>
      <c r="H651" s="18"/>
      <c r="I651" s="25"/>
      <c r="J651" s="18"/>
      <c r="K651" s="18"/>
      <c r="L651" s="18"/>
      <c r="M651" s="18"/>
      <c r="N651" s="18"/>
      <c r="O651" s="18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>
      <c r="A652" s="1"/>
      <c r="B652" s="1"/>
      <c r="C652" s="18"/>
      <c r="D652" s="47"/>
      <c r="E652" s="18"/>
      <c r="F652" s="18"/>
      <c r="G652" s="18"/>
      <c r="H652" s="18"/>
      <c r="I652" s="25"/>
      <c r="J652" s="18"/>
      <c r="K652" s="18"/>
      <c r="L652" s="18"/>
      <c r="M652" s="18"/>
      <c r="N652" s="18"/>
      <c r="O652" s="18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>
      <c r="A653" s="1"/>
      <c r="B653" s="1"/>
      <c r="C653" s="18"/>
      <c r="D653" s="47"/>
      <c r="E653" s="18"/>
      <c r="F653" s="18"/>
      <c r="G653" s="18"/>
      <c r="H653" s="18"/>
      <c r="I653" s="25"/>
      <c r="J653" s="18"/>
      <c r="K653" s="18"/>
      <c r="L653" s="18"/>
      <c r="M653" s="18"/>
      <c r="N653" s="18"/>
      <c r="O653" s="18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>
      <c r="A654" s="1"/>
      <c r="B654" s="1"/>
      <c r="C654" s="18"/>
      <c r="D654" s="47"/>
      <c r="E654" s="18"/>
      <c r="F654" s="18"/>
      <c r="G654" s="18"/>
      <c r="H654" s="18"/>
      <c r="I654" s="25"/>
      <c r="J654" s="18"/>
      <c r="K654" s="18"/>
      <c r="L654" s="18"/>
      <c r="M654" s="18"/>
      <c r="N654" s="18"/>
      <c r="O654" s="18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>
      <c r="A655" s="1"/>
      <c r="B655" s="1"/>
      <c r="C655" s="18"/>
      <c r="D655" s="47"/>
      <c r="E655" s="18"/>
      <c r="F655" s="18"/>
      <c r="G655" s="18"/>
      <c r="H655" s="18"/>
      <c r="I655" s="25"/>
      <c r="J655" s="18"/>
      <c r="K655" s="18"/>
      <c r="L655" s="18"/>
      <c r="M655" s="18"/>
      <c r="N655" s="18"/>
      <c r="O655" s="18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>
      <c r="A656" s="1"/>
      <c r="B656" s="1"/>
      <c r="C656" s="18"/>
      <c r="D656" s="47"/>
      <c r="E656" s="18"/>
      <c r="F656" s="18"/>
      <c r="G656" s="18"/>
      <c r="H656" s="18"/>
      <c r="I656" s="25"/>
      <c r="J656" s="18"/>
      <c r="K656" s="18"/>
      <c r="L656" s="18"/>
      <c r="M656" s="18"/>
      <c r="N656" s="18"/>
      <c r="O656" s="18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>
      <c r="A657" s="1"/>
      <c r="B657" s="1"/>
      <c r="C657" s="18"/>
      <c r="D657" s="47"/>
      <c r="E657" s="18"/>
      <c r="F657" s="18"/>
      <c r="G657" s="18"/>
      <c r="H657" s="18"/>
      <c r="I657" s="25"/>
      <c r="J657" s="18"/>
      <c r="K657" s="18"/>
      <c r="L657" s="18"/>
      <c r="M657" s="18"/>
      <c r="N657" s="18"/>
      <c r="O657" s="18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>
      <c r="A658" s="1"/>
      <c r="B658" s="1"/>
      <c r="C658" s="18"/>
      <c r="D658" s="47"/>
      <c r="E658" s="18"/>
      <c r="F658" s="18"/>
      <c r="G658" s="18"/>
      <c r="H658" s="18"/>
      <c r="I658" s="25"/>
      <c r="J658" s="18"/>
      <c r="K658" s="18"/>
      <c r="L658" s="18"/>
      <c r="M658" s="18"/>
      <c r="N658" s="18"/>
      <c r="O658" s="18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>
      <c r="A659" s="1"/>
      <c r="B659" s="1"/>
      <c r="C659" s="18"/>
      <c r="D659" s="47"/>
      <c r="E659" s="18"/>
      <c r="F659" s="18"/>
      <c r="G659" s="18"/>
      <c r="H659" s="18"/>
      <c r="I659" s="25"/>
      <c r="J659" s="18"/>
      <c r="K659" s="18"/>
      <c r="L659" s="18"/>
      <c r="M659" s="18"/>
      <c r="N659" s="18"/>
      <c r="O659" s="18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>
      <c r="A660" s="1"/>
      <c r="B660" s="1"/>
      <c r="C660" s="18"/>
      <c r="D660" s="47"/>
      <c r="E660" s="18"/>
      <c r="F660" s="18"/>
      <c r="G660" s="18"/>
      <c r="H660" s="18"/>
      <c r="I660" s="25"/>
      <c r="J660" s="18"/>
      <c r="K660" s="18"/>
      <c r="L660" s="18"/>
      <c r="M660" s="18"/>
      <c r="N660" s="18"/>
      <c r="O660" s="18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>
      <c r="A661" s="1"/>
      <c r="B661" s="1"/>
      <c r="C661" s="18"/>
      <c r="D661" s="47"/>
      <c r="E661" s="18"/>
      <c r="F661" s="18"/>
      <c r="G661" s="18"/>
      <c r="H661" s="18"/>
      <c r="I661" s="25"/>
      <c r="J661" s="18"/>
      <c r="K661" s="18"/>
      <c r="L661" s="18"/>
      <c r="M661" s="18"/>
      <c r="N661" s="18"/>
      <c r="O661" s="18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>
      <c r="A662" s="1"/>
      <c r="B662" s="1"/>
      <c r="C662" s="18"/>
      <c r="D662" s="47"/>
      <c r="E662" s="18"/>
      <c r="F662" s="18"/>
      <c r="G662" s="18"/>
      <c r="H662" s="18"/>
      <c r="I662" s="25"/>
      <c r="J662" s="18"/>
      <c r="K662" s="18"/>
      <c r="L662" s="18"/>
      <c r="M662" s="18"/>
      <c r="N662" s="18"/>
      <c r="O662" s="18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>
      <c r="A663" s="1"/>
      <c r="B663" s="1"/>
      <c r="C663" s="18"/>
      <c r="D663" s="47"/>
      <c r="E663" s="18"/>
      <c r="F663" s="18"/>
      <c r="G663" s="18"/>
      <c r="H663" s="18"/>
      <c r="I663" s="25"/>
      <c r="J663" s="18"/>
      <c r="K663" s="18"/>
      <c r="L663" s="18"/>
      <c r="M663" s="18"/>
      <c r="N663" s="18"/>
      <c r="O663" s="18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>
      <c r="A664" s="1"/>
      <c r="B664" s="1"/>
      <c r="C664" s="18"/>
      <c r="D664" s="47"/>
      <c r="E664" s="18"/>
      <c r="F664" s="18"/>
      <c r="G664" s="18"/>
      <c r="H664" s="18"/>
      <c r="I664" s="25"/>
      <c r="J664" s="18"/>
      <c r="K664" s="18"/>
      <c r="L664" s="18"/>
      <c r="M664" s="18"/>
      <c r="N664" s="18"/>
      <c r="O664" s="18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>
      <c r="A665" s="1"/>
      <c r="B665" s="1"/>
      <c r="C665" s="18"/>
      <c r="D665" s="47"/>
      <c r="E665" s="18"/>
      <c r="F665" s="18"/>
      <c r="G665" s="18"/>
      <c r="H665" s="18"/>
      <c r="I665" s="25"/>
      <c r="J665" s="18"/>
      <c r="K665" s="18"/>
      <c r="L665" s="18"/>
      <c r="M665" s="18"/>
      <c r="N665" s="18"/>
      <c r="O665" s="18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>
      <c r="A666" s="1"/>
      <c r="B666" s="1"/>
      <c r="C666" s="18"/>
      <c r="D666" s="47"/>
      <c r="E666" s="18"/>
      <c r="F666" s="18"/>
      <c r="G666" s="18"/>
      <c r="H666" s="18"/>
      <c r="I666" s="25"/>
      <c r="J666" s="18"/>
      <c r="K666" s="18"/>
      <c r="L666" s="18"/>
      <c r="M666" s="18"/>
      <c r="N666" s="18"/>
      <c r="O666" s="18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>
      <c r="A667" s="1"/>
      <c r="B667" s="1"/>
      <c r="C667" s="18"/>
      <c r="D667" s="47"/>
      <c r="E667" s="18"/>
      <c r="F667" s="18"/>
      <c r="G667" s="18"/>
      <c r="H667" s="18"/>
      <c r="I667" s="25"/>
      <c r="J667" s="18"/>
      <c r="K667" s="18"/>
      <c r="L667" s="18"/>
      <c r="M667" s="18"/>
      <c r="N667" s="18"/>
      <c r="O667" s="18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>
      <c r="A668" s="1"/>
      <c r="B668" s="1"/>
      <c r="C668" s="18"/>
      <c r="D668" s="47"/>
      <c r="E668" s="18"/>
      <c r="F668" s="18"/>
      <c r="G668" s="18"/>
      <c r="H668" s="18"/>
      <c r="I668" s="25"/>
      <c r="J668" s="18"/>
      <c r="K668" s="18"/>
      <c r="L668" s="18"/>
      <c r="M668" s="18"/>
      <c r="N668" s="18"/>
      <c r="O668" s="18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>
      <c r="A669" s="1"/>
      <c r="B669" s="1"/>
      <c r="C669" s="18"/>
      <c r="D669" s="47"/>
      <c r="E669" s="18"/>
      <c r="F669" s="18"/>
      <c r="G669" s="18"/>
      <c r="H669" s="18"/>
      <c r="I669" s="25"/>
      <c r="J669" s="18"/>
      <c r="K669" s="18"/>
      <c r="L669" s="18"/>
      <c r="M669" s="18"/>
      <c r="N669" s="18"/>
      <c r="O669" s="18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>
      <c r="A670" s="1"/>
      <c r="B670" s="1"/>
      <c r="C670" s="18"/>
      <c r="D670" s="47"/>
      <c r="E670" s="18"/>
      <c r="F670" s="18"/>
      <c r="G670" s="18"/>
      <c r="H670" s="18"/>
      <c r="I670" s="25"/>
      <c r="J670" s="18"/>
      <c r="K670" s="18"/>
      <c r="L670" s="18"/>
      <c r="M670" s="18"/>
      <c r="N670" s="18"/>
      <c r="O670" s="18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>
      <c r="A671" s="1"/>
      <c r="B671" s="1"/>
      <c r="C671" s="18"/>
      <c r="D671" s="47"/>
      <c r="E671" s="18"/>
      <c r="F671" s="18"/>
      <c r="G671" s="18"/>
      <c r="H671" s="18"/>
      <c r="I671" s="25"/>
      <c r="J671" s="18"/>
      <c r="K671" s="18"/>
      <c r="L671" s="18"/>
      <c r="M671" s="18"/>
      <c r="N671" s="18"/>
      <c r="O671" s="18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>
      <c r="A672" s="1"/>
      <c r="B672" s="1"/>
      <c r="C672" s="18"/>
      <c r="D672" s="47"/>
      <c r="E672" s="18"/>
      <c r="F672" s="18"/>
      <c r="G672" s="18"/>
      <c r="H672" s="18"/>
      <c r="I672" s="25"/>
      <c r="J672" s="18"/>
      <c r="K672" s="18"/>
      <c r="L672" s="18"/>
      <c r="M672" s="18"/>
      <c r="N672" s="18"/>
      <c r="O672" s="18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>
      <c r="A673" s="1"/>
      <c r="B673" s="1"/>
      <c r="C673" s="18"/>
      <c r="D673" s="47"/>
      <c r="E673" s="18"/>
      <c r="F673" s="18"/>
      <c r="G673" s="18"/>
      <c r="H673" s="18"/>
      <c r="I673" s="25"/>
      <c r="J673" s="18"/>
      <c r="K673" s="18"/>
      <c r="L673" s="18"/>
      <c r="M673" s="18"/>
      <c r="N673" s="18"/>
      <c r="O673" s="18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>
      <c r="A674" s="1"/>
      <c r="B674" s="1"/>
      <c r="C674" s="18"/>
      <c r="D674" s="47"/>
      <c r="E674" s="18"/>
      <c r="F674" s="18"/>
      <c r="G674" s="18"/>
      <c r="H674" s="18"/>
      <c r="I674" s="25"/>
      <c r="J674" s="18"/>
      <c r="K674" s="18"/>
      <c r="L674" s="18"/>
      <c r="M674" s="18"/>
      <c r="N674" s="18"/>
      <c r="O674" s="18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>
      <c r="A675" s="1"/>
      <c r="B675" s="1"/>
      <c r="C675" s="18"/>
      <c r="D675" s="47"/>
      <c r="E675" s="18"/>
      <c r="F675" s="18"/>
      <c r="G675" s="18"/>
      <c r="H675" s="18"/>
      <c r="I675" s="25"/>
      <c r="J675" s="18"/>
      <c r="K675" s="18"/>
      <c r="L675" s="18"/>
      <c r="M675" s="18"/>
      <c r="N675" s="18"/>
      <c r="O675" s="18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>
      <c r="A676" s="1"/>
      <c r="B676" s="1"/>
      <c r="C676" s="18"/>
      <c r="D676" s="47"/>
      <c r="E676" s="18"/>
      <c r="F676" s="18"/>
      <c r="G676" s="18"/>
      <c r="H676" s="18"/>
      <c r="I676" s="25"/>
      <c r="J676" s="18"/>
      <c r="K676" s="18"/>
      <c r="L676" s="18"/>
      <c r="M676" s="18"/>
      <c r="N676" s="18"/>
      <c r="O676" s="18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>
      <c r="A677" s="1"/>
      <c r="B677" s="1"/>
      <c r="C677" s="18"/>
      <c r="D677" s="47"/>
      <c r="E677" s="18"/>
      <c r="F677" s="18"/>
      <c r="G677" s="18"/>
      <c r="H677" s="18"/>
      <c r="I677" s="25"/>
      <c r="J677" s="18"/>
      <c r="K677" s="18"/>
      <c r="L677" s="18"/>
      <c r="M677" s="18"/>
      <c r="N677" s="18"/>
      <c r="O677" s="18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>
      <c r="A678" s="1"/>
      <c r="B678" s="1"/>
      <c r="C678" s="18"/>
      <c r="D678" s="47"/>
      <c r="E678" s="18"/>
      <c r="F678" s="18"/>
      <c r="G678" s="18"/>
      <c r="H678" s="18"/>
      <c r="I678" s="25"/>
      <c r="J678" s="18"/>
      <c r="K678" s="18"/>
      <c r="L678" s="18"/>
      <c r="M678" s="18"/>
      <c r="N678" s="18"/>
      <c r="O678" s="18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>
      <c r="A679" s="1"/>
      <c r="B679" s="1"/>
      <c r="C679" s="18"/>
      <c r="D679" s="47"/>
      <c r="E679" s="18"/>
      <c r="F679" s="18"/>
      <c r="G679" s="18"/>
      <c r="H679" s="18"/>
      <c r="I679" s="25"/>
      <c r="J679" s="18"/>
      <c r="K679" s="18"/>
      <c r="L679" s="18"/>
      <c r="M679" s="18"/>
      <c r="N679" s="18"/>
      <c r="O679" s="18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>
      <c r="A680" s="1"/>
      <c r="B680" s="1"/>
      <c r="C680" s="18"/>
      <c r="D680" s="47"/>
      <c r="E680" s="18"/>
      <c r="F680" s="18"/>
      <c r="G680" s="18"/>
      <c r="H680" s="18"/>
      <c r="I680" s="25"/>
      <c r="J680" s="18"/>
      <c r="K680" s="18"/>
      <c r="L680" s="18"/>
      <c r="M680" s="18"/>
      <c r="N680" s="18"/>
      <c r="O680" s="18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>
      <c r="A681" s="1"/>
      <c r="B681" s="1"/>
      <c r="C681" s="18"/>
      <c r="D681" s="47"/>
      <c r="E681" s="18"/>
      <c r="F681" s="18"/>
      <c r="G681" s="18"/>
      <c r="H681" s="18"/>
      <c r="I681" s="25"/>
      <c r="J681" s="18"/>
      <c r="K681" s="18"/>
      <c r="L681" s="18"/>
      <c r="M681" s="18"/>
      <c r="N681" s="18"/>
      <c r="O681" s="18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>
      <c r="A682" s="1"/>
      <c r="B682" s="1"/>
      <c r="C682" s="18"/>
      <c r="D682" s="47"/>
      <c r="E682" s="18"/>
      <c r="F682" s="18"/>
      <c r="G682" s="18"/>
      <c r="H682" s="18"/>
      <c r="I682" s="25"/>
      <c r="J682" s="18"/>
      <c r="K682" s="18"/>
      <c r="L682" s="18"/>
      <c r="M682" s="18"/>
      <c r="N682" s="18"/>
      <c r="O682" s="18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>
      <c r="A683" s="1"/>
      <c r="B683" s="1"/>
      <c r="C683" s="18"/>
      <c r="D683" s="47"/>
      <c r="E683" s="18"/>
      <c r="F683" s="18"/>
      <c r="G683" s="18"/>
      <c r="H683" s="18"/>
      <c r="I683" s="25"/>
      <c r="J683" s="18"/>
      <c r="K683" s="18"/>
      <c r="L683" s="18"/>
      <c r="M683" s="18"/>
      <c r="N683" s="18"/>
      <c r="O683" s="18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>
      <c r="A684" s="1"/>
      <c r="B684" s="1"/>
      <c r="C684" s="18"/>
      <c r="D684" s="47"/>
      <c r="E684" s="18"/>
      <c r="F684" s="18"/>
      <c r="G684" s="18"/>
      <c r="H684" s="18"/>
      <c r="I684" s="25"/>
      <c r="J684" s="18"/>
      <c r="K684" s="18"/>
      <c r="L684" s="18"/>
      <c r="M684" s="18"/>
      <c r="N684" s="18"/>
      <c r="O684" s="18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>
      <c r="A685" s="1"/>
      <c r="B685" s="1"/>
      <c r="C685" s="18"/>
      <c r="D685" s="47"/>
      <c r="E685" s="18"/>
      <c r="F685" s="18"/>
      <c r="G685" s="18"/>
      <c r="H685" s="18"/>
      <c r="I685" s="25"/>
      <c r="J685" s="18"/>
      <c r="K685" s="18"/>
      <c r="L685" s="18"/>
      <c r="M685" s="18"/>
      <c r="N685" s="18"/>
      <c r="O685" s="18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>
      <c r="A686" s="1"/>
      <c r="B686" s="1"/>
      <c r="C686" s="18"/>
      <c r="D686" s="47"/>
      <c r="E686" s="18"/>
      <c r="F686" s="18"/>
      <c r="G686" s="18"/>
      <c r="H686" s="18"/>
      <c r="I686" s="25"/>
      <c r="J686" s="18"/>
      <c r="K686" s="18"/>
      <c r="L686" s="18"/>
      <c r="M686" s="18"/>
      <c r="N686" s="18"/>
      <c r="O686" s="18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>
      <c r="A687" s="1"/>
      <c r="B687" s="1"/>
      <c r="C687" s="18"/>
      <c r="D687" s="47"/>
      <c r="E687" s="18"/>
      <c r="F687" s="18"/>
      <c r="G687" s="18"/>
      <c r="H687" s="18"/>
      <c r="I687" s="25"/>
      <c r="J687" s="18"/>
      <c r="K687" s="18"/>
      <c r="L687" s="18"/>
      <c r="M687" s="18"/>
      <c r="N687" s="18"/>
      <c r="O687" s="18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>
      <c r="A688" s="1"/>
      <c r="B688" s="1"/>
      <c r="C688" s="18"/>
      <c r="D688" s="47"/>
      <c r="E688" s="18"/>
      <c r="F688" s="18"/>
      <c r="G688" s="18"/>
      <c r="H688" s="18"/>
      <c r="I688" s="25"/>
      <c r="J688" s="18"/>
      <c r="K688" s="18"/>
      <c r="L688" s="18"/>
      <c r="M688" s="18"/>
      <c r="N688" s="18"/>
      <c r="O688" s="18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>
      <c r="A689" s="1"/>
      <c r="B689" s="1"/>
      <c r="C689" s="18"/>
      <c r="D689" s="47"/>
      <c r="E689" s="18"/>
      <c r="F689" s="18"/>
      <c r="G689" s="18"/>
      <c r="H689" s="18"/>
      <c r="I689" s="25"/>
      <c r="J689" s="18"/>
      <c r="K689" s="18"/>
      <c r="L689" s="18"/>
      <c r="M689" s="18"/>
      <c r="N689" s="18"/>
      <c r="O689" s="18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>
      <c r="A690" s="1"/>
      <c r="B690" s="1"/>
      <c r="C690" s="18"/>
      <c r="D690" s="47"/>
      <c r="E690" s="18"/>
      <c r="F690" s="18"/>
      <c r="G690" s="18"/>
      <c r="H690" s="18"/>
      <c r="I690" s="25"/>
      <c r="J690" s="18"/>
      <c r="K690" s="18"/>
      <c r="L690" s="18"/>
      <c r="M690" s="18"/>
      <c r="N690" s="18"/>
      <c r="O690" s="18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>
      <c r="A691" s="1"/>
      <c r="B691" s="1"/>
      <c r="C691" s="18"/>
      <c r="D691" s="47"/>
      <c r="E691" s="18"/>
      <c r="F691" s="18"/>
      <c r="G691" s="18"/>
      <c r="H691" s="18"/>
      <c r="I691" s="25"/>
      <c r="J691" s="18"/>
      <c r="K691" s="18"/>
      <c r="L691" s="18"/>
      <c r="M691" s="18"/>
      <c r="N691" s="18"/>
      <c r="O691" s="18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>
      <c r="A692" s="1"/>
      <c r="B692" s="1"/>
      <c r="C692" s="18"/>
      <c r="D692" s="47"/>
      <c r="E692" s="18"/>
      <c r="F692" s="18"/>
      <c r="G692" s="18"/>
      <c r="H692" s="18"/>
      <c r="I692" s="25"/>
      <c r="J692" s="18"/>
      <c r="K692" s="18"/>
      <c r="L692" s="18"/>
      <c r="M692" s="18"/>
      <c r="N692" s="18"/>
      <c r="O692" s="18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>
      <c r="A693" s="1"/>
      <c r="B693" s="1"/>
      <c r="C693" s="18"/>
      <c r="D693" s="47"/>
      <c r="E693" s="18"/>
      <c r="F693" s="18"/>
      <c r="G693" s="18"/>
      <c r="H693" s="18"/>
      <c r="I693" s="25"/>
      <c r="J693" s="18"/>
      <c r="K693" s="18"/>
      <c r="L693" s="18"/>
      <c r="M693" s="18"/>
      <c r="N693" s="18"/>
      <c r="O693" s="18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>
      <c r="A694" s="1"/>
      <c r="B694" s="1"/>
      <c r="C694" s="18"/>
      <c r="D694" s="47"/>
      <c r="E694" s="18"/>
      <c r="F694" s="18"/>
      <c r="G694" s="18"/>
      <c r="H694" s="18"/>
      <c r="I694" s="25"/>
      <c r="J694" s="18"/>
      <c r="K694" s="18"/>
      <c r="L694" s="18"/>
      <c r="M694" s="18"/>
      <c r="N694" s="18"/>
      <c r="O694" s="18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>
      <c r="A695" s="1"/>
      <c r="B695" s="1"/>
      <c r="C695" s="18"/>
      <c r="D695" s="47"/>
      <c r="E695" s="18"/>
      <c r="F695" s="18"/>
      <c r="G695" s="18"/>
      <c r="H695" s="18"/>
      <c r="I695" s="25"/>
      <c r="J695" s="18"/>
      <c r="K695" s="18"/>
      <c r="L695" s="18"/>
      <c r="M695" s="18"/>
      <c r="N695" s="18"/>
      <c r="O695" s="18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>
      <c r="A696" s="1"/>
      <c r="B696" s="1"/>
      <c r="C696" s="18"/>
      <c r="D696" s="47"/>
      <c r="E696" s="18"/>
      <c r="F696" s="18"/>
      <c r="G696" s="18"/>
      <c r="H696" s="18"/>
      <c r="I696" s="25"/>
      <c r="J696" s="18"/>
      <c r="K696" s="18"/>
      <c r="L696" s="18"/>
      <c r="M696" s="18"/>
      <c r="N696" s="18"/>
      <c r="O696" s="18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>
      <c r="A697" s="1"/>
      <c r="B697" s="1"/>
      <c r="C697" s="18"/>
      <c r="D697" s="47"/>
      <c r="E697" s="18"/>
      <c r="F697" s="18"/>
      <c r="G697" s="18"/>
      <c r="H697" s="18"/>
      <c r="I697" s="25"/>
      <c r="J697" s="18"/>
      <c r="K697" s="18"/>
      <c r="L697" s="18"/>
      <c r="M697" s="18"/>
      <c r="N697" s="18"/>
      <c r="O697" s="18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>
      <c r="A698" s="1"/>
      <c r="B698" s="1"/>
      <c r="C698" s="18"/>
      <c r="D698" s="47"/>
      <c r="E698" s="18"/>
      <c r="F698" s="18"/>
      <c r="G698" s="18"/>
      <c r="H698" s="18"/>
      <c r="I698" s="25"/>
      <c r="J698" s="18"/>
      <c r="K698" s="18"/>
      <c r="L698" s="18"/>
      <c r="M698" s="18"/>
      <c r="N698" s="18"/>
      <c r="O698" s="18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>
      <c r="A699" s="1"/>
      <c r="B699" s="1"/>
      <c r="C699" s="18"/>
      <c r="D699" s="47"/>
      <c r="E699" s="18"/>
      <c r="F699" s="18"/>
      <c r="G699" s="18"/>
      <c r="H699" s="18"/>
      <c r="I699" s="25"/>
      <c r="J699" s="18"/>
      <c r="K699" s="18"/>
      <c r="L699" s="18"/>
      <c r="M699" s="18"/>
      <c r="N699" s="18"/>
      <c r="O699" s="18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>
      <c r="A700" s="1"/>
      <c r="B700" s="1"/>
      <c r="C700" s="18"/>
      <c r="D700" s="47"/>
      <c r="E700" s="18"/>
      <c r="F700" s="18"/>
      <c r="G700" s="18"/>
      <c r="H700" s="18"/>
      <c r="I700" s="25"/>
      <c r="J700" s="18"/>
      <c r="K700" s="18"/>
      <c r="L700" s="18"/>
      <c r="M700" s="18"/>
      <c r="N700" s="18"/>
      <c r="O700" s="18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>
      <c r="A701" s="1"/>
      <c r="B701" s="1"/>
      <c r="C701" s="18"/>
      <c r="D701" s="47"/>
      <c r="E701" s="18"/>
      <c r="F701" s="18"/>
      <c r="G701" s="18"/>
      <c r="H701" s="18"/>
      <c r="I701" s="25"/>
      <c r="J701" s="18"/>
      <c r="K701" s="18"/>
      <c r="L701" s="18"/>
      <c r="M701" s="18"/>
      <c r="N701" s="18"/>
      <c r="O701" s="18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>
      <c r="A702" s="1"/>
      <c r="B702" s="1"/>
      <c r="C702" s="18"/>
      <c r="D702" s="47"/>
      <c r="E702" s="18"/>
      <c r="F702" s="18"/>
      <c r="G702" s="18"/>
      <c r="H702" s="18"/>
      <c r="I702" s="25"/>
      <c r="J702" s="18"/>
      <c r="K702" s="18"/>
      <c r="L702" s="18"/>
      <c r="M702" s="18"/>
      <c r="N702" s="18"/>
      <c r="O702" s="18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>
      <c r="A703" s="1"/>
      <c r="B703" s="1"/>
      <c r="C703" s="18"/>
      <c r="D703" s="47"/>
      <c r="E703" s="18"/>
      <c r="F703" s="18"/>
      <c r="G703" s="18"/>
      <c r="H703" s="18"/>
      <c r="I703" s="25"/>
      <c r="J703" s="18"/>
      <c r="K703" s="18"/>
      <c r="L703" s="18"/>
      <c r="M703" s="18"/>
      <c r="N703" s="18"/>
      <c r="O703" s="18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>
      <c r="A704" s="1"/>
      <c r="B704" s="1"/>
      <c r="C704" s="18"/>
      <c r="D704" s="47"/>
      <c r="E704" s="18"/>
      <c r="F704" s="18"/>
      <c r="G704" s="18"/>
      <c r="H704" s="18"/>
      <c r="I704" s="25"/>
      <c r="J704" s="18"/>
      <c r="K704" s="18"/>
      <c r="L704" s="18"/>
      <c r="M704" s="18"/>
      <c r="N704" s="18"/>
      <c r="O704" s="18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>
      <c r="A705" s="1"/>
      <c r="B705" s="1"/>
      <c r="C705" s="18"/>
      <c r="D705" s="47"/>
      <c r="E705" s="18"/>
      <c r="F705" s="18"/>
      <c r="G705" s="18"/>
      <c r="H705" s="18"/>
      <c r="I705" s="25"/>
      <c r="J705" s="18"/>
      <c r="K705" s="18"/>
      <c r="L705" s="18"/>
      <c r="M705" s="18"/>
      <c r="N705" s="18"/>
      <c r="O705" s="18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>
      <c r="A706" s="1"/>
      <c r="B706" s="1"/>
      <c r="C706" s="18"/>
      <c r="D706" s="47"/>
      <c r="E706" s="18"/>
      <c r="F706" s="18"/>
      <c r="G706" s="18"/>
      <c r="H706" s="18"/>
      <c r="I706" s="25"/>
      <c r="J706" s="18"/>
      <c r="K706" s="18"/>
      <c r="L706" s="18"/>
      <c r="M706" s="18"/>
      <c r="N706" s="18"/>
      <c r="O706" s="18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>
      <c r="A707" s="1"/>
      <c r="B707" s="1"/>
      <c r="C707" s="18"/>
      <c r="D707" s="47"/>
      <c r="E707" s="18"/>
      <c r="F707" s="18"/>
      <c r="G707" s="18"/>
      <c r="H707" s="18"/>
      <c r="I707" s="25"/>
      <c r="J707" s="18"/>
      <c r="K707" s="18"/>
      <c r="L707" s="18"/>
      <c r="M707" s="18"/>
      <c r="N707" s="18"/>
      <c r="O707" s="18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>
      <c r="A708" s="1"/>
      <c r="B708" s="1"/>
      <c r="C708" s="18"/>
      <c r="D708" s="47"/>
      <c r="E708" s="18"/>
      <c r="F708" s="18"/>
      <c r="G708" s="18"/>
      <c r="H708" s="18"/>
      <c r="I708" s="25"/>
      <c r="J708" s="18"/>
      <c r="K708" s="18"/>
      <c r="L708" s="18"/>
      <c r="M708" s="18"/>
      <c r="N708" s="18"/>
      <c r="O708" s="18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>
      <c r="A709" s="1"/>
      <c r="B709" s="1"/>
      <c r="C709" s="18"/>
      <c r="D709" s="47"/>
      <c r="E709" s="18"/>
      <c r="F709" s="18"/>
      <c r="G709" s="18"/>
      <c r="H709" s="18"/>
      <c r="I709" s="25"/>
      <c r="J709" s="18"/>
      <c r="K709" s="18"/>
      <c r="L709" s="18"/>
      <c r="M709" s="18"/>
      <c r="N709" s="18"/>
      <c r="O709" s="18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>
      <c r="A710" s="1"/>
      <c r="B710" s="1"/>
      <c r="C710" s="18"/>
      <c r="D710" s="47"/>
      <c r="E710" s="18"/>
      <c r="F710" s="18"/>
      <c r="G710" s="18"/>
      <c r="H710" s="18"/>
      <c r="I710" s="25"/>
      <c r="J710" s="18"/>
      <c r="K710" s="18"/>
      <c r="L710" s="18"/>
      <c r="M710" s="18"/>
      <c r="N710" s="18"/>
      <c r="O710" s="18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>
      <c r="A711" s="1"/>
      <c r="B711" s="1"/>
      <c r="C711" s="18"/>
      <c r="D711" s="47"/>
      <c r="E711" s="18"/>
      <c r="F711" s="18"/>
      <c r="G711" s="18"/>
      <c r="H711" s="18"/>
      <c r="I711" s="25"/>
      <c r="J711" s="18"/>
      <c r="K711" s="18"/>
      <c r="L711" s="18"/>
      <c r="M711" s="18"/>
      <c r="N711" s="18"/>
      <c r="O711" s="18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>
      <c r="A712" s="1"/>
      <c r="B712" s="1"/>
      <c r="C712" s="18"/>
      <c r="D712" s="47"/>
      <c r="E712" s="18"/>
      <c r="F712" s="18"/>
      <c r="G712" s="18"/>
      <c r="H712" s="18"/>
      <c r="I712" s="25"/>
      <c r="J712" s="18"/>
      <c r="K712" s="18"/>
      <c r="L712" s="18"/>
      <c r="M712" s="18"/>
      <c r="N712" s="18"/>
      <c r="O712" s="18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>
      <c r="A713" s="1"/>
      <c r="B713" s="1"/>
      <c r="C713" s="18"/>
      <c r="D713" s="47"/>
      <c r="E713" s="18"/>
      <c r="F713" s="18"/>
      <c r="G713" s="18"/>
      <c r="H713" s="18"/>
      <c r="I713" s="25"/>
      <c r="J713" s="18"/>
      <c r="K713" s="18"/>
      <c r="L713" s="18"/>
      <c r="M713" s="18"/>
      <c r="N713" s="18"/>
      <c r="O713" s="18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>
      <c r="A714" s="1"/>
      <c r="B714" s="1"/>
      <c r="C714" s="18"/>
      <c r="D714" s="47"/>
      <c r="E714" s="18"/>
      <c r="F714" s="18"/>
      <c r="G714" s="18"/>
      <c r="H714" s="18"/>
      <c r="I714" s="25"/>
      <c r="J714" s="18"/>
      <c r="K714" s="18"/>
      <c r="L714" s="18"/>
      <c r="M714" s="18"/>
      <c r="N714" s="18"/>
      <c r="O714" s="18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>
      <c r="A715" s="1"/>
      <c r="B715" s="1"/>
      <c r="C715" s="18"/>
      <c r="D715" s="47"/>
      <c r="E715" s="18"/>
      <c r="F715" s="18"/>
      <c r="G715" s="18"/>
      <c r="H715" s="18"/>
      <c r="I715" s="25"/>
      <c r="J715" s="18"/>
      <c r="K715" s="18"/>
      <c r="L715" s="18"/>
      <c r="M715" s="18"/>
      <c r="N715" s="18"/>
      <c r="O715" s="18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>
      <c r="A716" s="1"/>
      <c r="B716" s="1"/>
      <c r="C716" s="18"/>
      <c r="D716" s="47"/>
      <c r="E716" s="18"/>
      <c r="F716" s="18"/>
      <c r="G716" s="18"/>
      <c r="H716" s="18"/>
      <c r="I716" s="25"/>
      <c r="J716" s="18"/>
      <c r="K716" s="18"/>
      <c r="L716" s="18"/>
      <c r="M716" s="18"/>
      <c r="N716" s="18"/>
      <c r="O716" s="18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>
      <c r="A717" s="1"/>
      <c r="B717" s="1"/>
      <c r="C717" s="18"/>
      <c r="D717" s="47"/>
      <c r="E717" s="18"/>
      <c r="F717" s="18"/>
      <c r="G717" s="18"/>
      <c r="H717" s="18"/>
      <c r="I717" s="25"/>
      <c r="J717" s="18"/>
      <c r="K717" s="18"/>
      <c r="L717" s="18"/>
      <c r="M717" s="18"/>
      <c r="N717" s="18"/>
      <c r="O717" s="18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>
      <c r="A718" s="1"/>
      <c r="B718" s="1"/>
      <c r="C718" s="18"/>
      <c r="D718" s="47"/>
      <c r="E718" s="18"/>
      <c r="F718" s="18"/>
      <c r="G718" s="18"/>
      <c r="H718" s="18"/>
      <c r="I718" s="25"/>
      <c r="J718" s="18"/>
      <c r="K718" s="18"/>
      <c r="L718" s="18"/>
      <c r="M718" s="18"/>
      <c r="N718" s="18"/>
      <c r="O718" s="18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>
      <c r="A719" s="1"/>
      <c r="B719" s="1"/>
      <c r="C719" s="18"/>
      <c r="D719" s="47"/>
      <c r="E719" s="18"/>
      <c r="F719" s="18"/>
      <c r="G719" s="18"/>
      <c r="H719" s="18"/>
      <c r="I719" s="25"/>
      <c r="J719" s="18"/>
      <c r="K719" s="18"/>
      <c r="L719" s="18"/>
      <c r="M719" s="18"/>
      <c r="N719" s="18"/>
      <c r="O719" s="18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>
      <c r="A720" s="1"/>
      <c r="B720" s="1"/>
      <c r="C720" s="18"/>
      <c r="D720" s="47"/>
      <c r="E720" s="18"/>
      <c r="F720" s="18"/>
      <c r="G720" s="18"/>
      <c r="H720" s="18"/>
      <c r="I720" s="25"/>
      <c r="J720" s="18"/>
      <c r="K720" s="18"/>
      <c r="L720" s="18"/>
      <c r="M720" s="18"/>
      <c r="N720" s="18"/>
      <c r="O720" s="18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>
      <c r="A721" s="1"/>
      <c r="B721" s="1"/>
      <c r="C721" s="18"/>
      <c r="D721" s="47"/>
      <c r="E721" s="18"/>
      <c r="F721" s="18"/>
      <c r="G721" s="18"/>
      <c r="H721" s="18"/>
      <c r="I721" s="25"/>
      <c r="J721" s="18"/>
      <c r="K721" s="18"/>
      <c r="L721" s="18"/>
      <c r="M721" s="18"/>
      <c r="N721" s="18"/>
      <c r="O721" s="18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>
      <c r="A722" s="1"/>
      <c r="B722" s="1"/>
      <c r="C722" s="18"/>
      <c r="D722" s="47"/>
      <c r="E722" s="18"/>
      <c r="F722" s="18"/>
      <c r="G722" s="18"/>
      <c r="H722" s="18"/>
      <c r="I722" s="25"/>
      <c r="J722" s="18"/>
      <c r="K722" s="18"/>
      <c r="L722" s="18"/>
      <c r="M722" s="18"/>
      <c r="N722" s="18"/>
      <c r="O722" s="18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>
      <c r="A723" s="1"/>
      <c r="B723" s="1"/>
      <c r="C723" s="18"/>
      <c r="D723" s="47"/>
      <c r="E723" s="18"/>
      <c r="F723" s="18"/>
      <c r="G723" s="18"/>
      <c r="H723" s="18"/>
      <c r="I723" s="25"/>
      <c r="J723" s="18"/>
      <c r="K723" s="18"/>
      <c r="L723" s="18"/>
      <c r="M723" s="18"/>
      <c r="N723" s="18"/>
      <c r="O723" s="18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>
      <c r="A724" s="1"/>
      <c r="B724" s="1"/>
      <c r="C724" s="18"/>
      <c r="D724" s="47"/>
      <c r="E724" s="18"/>
      <c r="F724" s="18"/>
      <c r="G724" s="18"/>
      <c r="H724" s="18"/>
      <c r="I724" s="25"/>
      <c r="J724" s="18"/>
      <c r="K724" s="18"/>
      <c r="L724" s="18"/>
      <c r="M724" s="18"/>
      <c r="N724" s="18"/>
      <c r="O724" s="18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>
      <c r="A725" s="1"/>
      <c r="B725" s="1"/>
      <c r="C725" s="18"/>
      <c r="D725" s="47"/>
      <c r="E725" s="18"/>
      <c r="F725" s="18"/>
      <c r="G725" s="18"/>
      <c r="H725" s="18"/>
      <c r="I725" s="25"/>
      <c r="J725" s="18"/>
      <c r="K725" s="18"/>
      <c r="L725" s="18"/>
      <c r="M725" s="18"/>
      <c r="N725" s="18"/>
      <c r="O725" s="18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>
      <c r="A726" s="1"/>
      <c r="B726" s="1"/>
      <c r="C726" s="18"/>
      <c r="D726" s="47"/>
      <c r="E726" s="18"/>
      <c r="F726" s="18"/>
      <c r="G726" s="18"/>
      <c r="H726" s="18"/>
      <c r="I726" s="25"/>
      <c r="J726" s="18"/>
      <c r="K726" s="18"/>
      <c r="L726" s="18"/>
      <c r="M726" s="18"/>
      <c r="N726" s="18"/>
      <c r="O726" s="18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>
      <c r="A727" s="1"/>
      <c r="B727" s="1"/>
      <c r="C727" s="18"/>
      <c r="D727" s="47"/>
      <c r="E727" s="18"/>
      <c r="F727" s="18"/>
      <c r="G727" s="18"/>
      <c r="H727" s="18"/>
      <c r="I727" s="25"/>
      <c r="J727" s="18"/>
      <c r="K727" s="18"/>
      <c r="L727" s="18"/>
      <c r="M727" s="18"/>
      <c r="N727" s="18"/>
      <c r="O727" s="18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>
      <c r="A728" s="1"/>
      <c r="B728" s="1"/>
      <c r="C728" s="18"/>
      <c r="D728" s="47"/>
      <c r="E728" s="18"/>
      <c r="F728" s="18"/>
      <c r="G728" s="18"/>
      <c r="H728" s="18"/>
      <c r="I728" s="25"/>
      <c r="J728" s="18"/>
      <c r="K728" s="18"/>
      <c r="L728" s="18"/>
      <c r="M728" s="18"/>
      <c r="N728" s="18"/>
      <c r="O728" s="18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>
      <c r="A729" s="1"/>
      <c r="B729" s="1"/>
      <c r="C729" s="18"/>
      <c r="D729" s="47"/>
      <c r="E729" s="18"/>
      <c r="F729" s="18"/>
      <c r="G729" s="18"/>
      <c r="H729" s="18"/>
      <c r="I729" s="25"/>
      <c r="J729" s="18"/>
      <c r="K729" s="18"/>
      <c r="L729" s="18"/>
      <c r="M729" s="18"/>
      <c r="N729" s="18"/>
      <c r="O729" s="18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>
      <c r="A730" s="1"/>
      <c r="B730" s="1"/>
      <c r="C730" s="18"/>
      <c r="D730" s="47"/>
      <c r="E730" s="18"/>
      <c r="F730" s="18"/>
      <c r="G730" s="18"/>
      <c r="H730" s="18"/>
      <c r="I730" s="25"/>
      <c r="J730" s="18"/>
      <c r="K730" s="18"/>
      <c r="L730" s="18"/>
      <c r="M730" s="18"/>
      <c r="N730" s="18"/>
      <c r="O730" s="18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>
      <c r="A731" s="1"/>
      <c r="B731" s="1"/>
      <c r="C731" s="18"/>
      <c r="D731" s="47"/>
      <c r="E731" s="18"/>
      <c r="F731" s="18"/>
      <c r="G731" s="18"/>
      <c r="H731" s="18"/>
      <c r="I731" s="25"/>
      <c r="J731" s="18"/>
      <c r="K731" s="18"/>
      <c r="L731" s="18"/>
      <c r="M731" s="18"/>
      <c r="N731" s="18"/>
      <c r="O731" s="18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>
      <c r="A732" s="1"/>
      <c r="B732" s="1"/>
      <c r="C732" s="18"/>
      <c r="D732" s="47"/>
      <c r="E732" s="18"/>
      <c r="F732" s="18"/>
      <c r="G732" s="18"/>
      <c r="H732" s="18"/>
      <c r="I732" s="25"/>
      <c r="J732" s="18"/>
      <c r="K732" s="18"/>
      <c r="L732" s="18"/>
      <c r="M732" s="18"/>
      <c r="N732" s="18"/>
      <c r="O732" s="18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>
      <c r="A733" s="1"/>
      <c r="B733" s="1"/>
      <c r="C733" s="18"/>
      <c r="D733" s="47"/>
      <c r="E733" s="18"/>
      <c r="F733" s="18"/>
      <c r="G733" s="18"/>
      <c r="H733" s="18"/>
      <c r="I733" s="25"/>
      <c r="J733" s="18"/>
      <c r="K733" s="18"/>
      <c r="L733" s="18"/>
      <c r="M733" s="18"/>
      <c r="N733" s="18"/>
      <c r="O733" s="18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>
      <c r="A734" s="1"/>
      <c r="B734" s="1"/>
      <c r="C734" s="18"/>
      <c r="D734" s="47"/>
      <c r="E734" s="18"/>
      <c r="F734" s="18"/>
      <c r="G734" s="18"/>
      <c r="H734" s="18"/>
      <c r="I734" s="25"/>
      <c r="J734" s="18"/>
      <c r="K734" s="18"/>
      <c r="L734" s="18"/>
      <c r="M734" s="18"/>
      <c r="N734" s="18"/>
      <c r="O734" s="18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>
      <c r="A735" s="1"/>
      <c r="B735" s="1"/>
      <c r="C735" s="18"/>
      <c r="D735" s="47"/>
      <c r="E735" s="18"/>
      <c r="F735" s="18"/>
      <c r="G735" s="18"/>
      <c r="H735" s="18"/>
      <c r="I735" s="25"/>
      <c r="J735" s="18"/>
      <c r="K735" s="18"/>
      <c r="L735" s="18"/>
      <c r="M735" s="18"/>
      <c r="N735" s="18"/>
      <c r="O735" s="18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>
      <c r="A736" s="1"/>
      <c r="B736" s="1"/>
      <c r="C736" s="18"/>
      <c r="D736" s="47"/>
      <c r="E736" s="18"/>
      <c r="F736" s="18"/>
      <c r="G736" s="18"/>
      <c r="H736" s="18"/>
      <c r="I736" s="25"/>
      <c r="J736" s="18"/>
      <c r="K736" s="18"/>
      <c r="L736" s="18"/>
      <c r="M736" s="18"/>
      <c r="N736" s="18"/>
      <c r="O736" s="18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>
      <c r="A737" s="1"/>
      <c r="B737" s="1"/>
      <c r="C737" s="18"/>
      <c r="D737" s="47"/>
      <c r="E737" s="18"/>
      <c r="F737" s="18"/>
      <c r="G737" s="18"/>
      <c r="H737" s="18"/>
      <c r="I737" s="25"/>
      <c r="J737" s="18"/>
      <c r="K737" s="18"/>
      <c r="L737" s="18"/>
      <c r="M737" s="18"/>
      <c r="N737" s="18"/>
      <c r="O737" s="18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>
      <c r="A738" s="1"/>
      <c r="B738" s="1"/>
      <c r="C738" s="18"/>
      <c r="D738" s="47"/>
      <c r="E738" s="18"/>
      <c r="F738" s="18"/>
      <c r="G738" s="18"/>
      <c r="H738" s="18"/>
      <c r="I738" s="25"/>
      <c r="J738" s="18"/>
      <c r="K738" s="18"/>
      <c r="L738" s="18"/>
      <c r="M738" s="18"/>
      <c r="N738" s="18"/>
      <c r="O738" s="18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>
      <c r="A739" s="1"/>
      <c r="B739" s="1"/>
      <c r="C739" s="18"/>
      <c r="D739" s="47"/>
      <c r="E739" s="18"/>
      <c r="F739" s="18"/>
      <c r="G739" s="18"/>
      <c r="H739" s="18"/>
      <c r="I739" s="25"/>
      <c r="J739" s="18"/>
      <c r="K739" s="18"/>
      <c r="L739" s="18"/>
      <c r="M739" s="18"/>
      <c r="N739" s="18"/>
      <c r="O739" s="18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>
      <c r="A740" s="1"/>
      <c r="B740" s="1"/>
      <c r="C740" s="18"/>
      <c r="D740" s="47"/>
      <c r="E740" s="18"/>
      <c r="F740" s="18"/>
      <c r="G740" s="18"/>
      <c r="H740" s="18"/>
      <c r="I740" s="25"/>
      <c r="J740" s="18"/>
      <c r="K740" s="18"/>
      <c r="L740" s="18"/>
      <c r="M740" s="18"/>
      <c r="N740" s="18"/>
      <c r="O740" s="18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>
      <c r="A741" s="1"/>
      <c r="B741" s="1"/>
      <c r="C741" s="18"/>
      <c r="D741" s="47"/>
      <c r="E741" s="18"/>
      <c r="F741" s="18"/>
      <c r="G741" s="18"/>
      <c r="H741" s="18"/>
      <c r="I741" s="25"/>
      <c r="J741" s="18"/>
      <c r="K741" s="18"/>
      <c r="L741" s="18"/>
      <c r="M741" s="18"/>
      <c r="N741" s="18"/>
      <c r="O741" s="18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>
      <c r="A742" s="1"/>
      <c r="B742" s="1"/>
      <c r="C742" s="18"/>
      <c r="D742" s="47"/>
      <c r="E742" s="18"/>
      <c r="F742" s="18"/>
      <c r="G742" s="18"/>
      <c r="H742" s="18"/>
      <c r="I742" s="25"/>
      <c r="J742" s="18"/>
      <c r="K742" s="18"/>
      <c r="L742" s="18"/>
      <c r="M742" s="18"/>
      <c r="N742" s="18"/>
      <c r="O742" s="18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>
      <c r="A743" s="1"/>
      <c r="B743" s="1"/>
      <c r="C743" s="18"/>
      <c r="D743" s="47"/>
      <c r="E743" s="18"/>
      <c r="F743" s="18"/>
      <c r="G743" s="18"/>
      <c r="H743" s="18"/>
      <c r="I743" s="25"/>
      <c r="J743" s="18"/>
      <c r="K743" s="18"/>
      <c r="L743" s="18"/>
      <c r="M743" s="18"/>
      <c r="N743" s="18"/>
      <c r="O743" s="18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>
      <c r="A744" s="1"/>
      <c r="B744" s="1"/>
      <c r="C744" s="18"/>
      <c r="D744" s="47"/>
      <c r="E744" s="18"/>
      <c r="F744" s="18"/>
      <c r="G744" s="18"/>
      <c r="H744" s="18"/>
      <c r="I744" s="25"/>
      <c r="J744" s="18"/>
      <c r="K744" s="18"/>
      <c r="L744" s="18"/>
      <c r="M744" s="18"/>
      <c r="N744" s="18"/>
      <c r="O744" s="18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>
      <c r="A745" s="1"/>
      <c r="B745" s="1"/>
      <c r="C745" s="18"/>
      <c r="D745" s="47"/>
      <c r="E745" s="18"/>
      <c r="F745" s="18"/>
      <c r="G745" s="18"/>
      <c r="H745" s="18"/>
      <c r="I745" s="25"/>
      <c r="J745" s="18"/>
      <c r="K745" s="18"/>
      <c r="L745" s="18"/>
      <c r="M745" s="18"/>
      <c r="N745" s="18"/>
      <c r="O745" s="18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>
      <c r="A746" s="1"/>
      <c r="B746" s="1"/>
      <c r="C746" s="18"/>
      <c r="D746" s="47"/>
      <c r="E746" s="18"/>
      <c r="F746" s="18"/>
      <c r="G746" s="18"/>
      <c r="H746" s="18"/>
      <c r="I746" s="25"/>
      <c r="J746" s="18"/>
      <c r="K746" s="18"/>
      <c r="L746" s="18"/>
      <c r="M746" s="18"/>
      <c r="N746" s="18"/>
      <c r="O746" s="18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>
      <c r="A747" s="1"/>
      <c r="B747" s="1"/>
      <c r="C747" s="18"/>
      <c r="D747" s="47"/>
      <c r="E747" s="18"/>
      <c r="F747" s="18"/>
      <c r="G747" s="18"/>
      <c r="H747" s="18"/>
      <c r="I747" s="25"/>
      <c r="J747" s="18"/>
      <c r="K747" s="18"/>
      <c r="L747" s="18"/>
      <c r="M747" s="18"/>
      <c r="N747" s="18"/>
      <c r="O747" s="18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>
      <c r="A748" s="1"/>
      <c r="B748" s="1"/>
      <c r="C748" s="18"/>
      <c r="D748" s="47"/>
      <c r="E748" s="18"/>
      <c r="F748" s="18"/>
      <c r="G748" s="18"/>
      <c r="H748" s="18"/>
      <c r="I748" s="25"/>
      <c r="J748" s="18"/>
      <c r="K748" s="18"/>
      <c r="L748" s="18"/>
      <c r="M748" s="18"/>
      <c r="N748" s="18"/>
      <c r="O748" s="18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>
      <c r="A749" s="1"/>
      <c r="B749" s="1"/>
      <c r="C749" s="18"/>
      <c r="D749" s="47"/>
      <c r="E749" s="18"/>
      <c r="F749" s="18"/>
      <c r="G749" s="18"/>
      <c r="H749" s="18"/>
      <c r="I749" s="25"/>
      <c r="J749" s="18"/>
      <c r="K749" s="18"/>
      <c r="L749" s="18"/>
      <c r="M749" s="18"/>
      <c r="N749" s="18"/>
      <c r="O749" s="18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>
      <c r="A750" s="1"/>
      <c r="B750" s="1"/>
      <c r="C750" s="18"/>
      <c r="D750" s="47"/>
      <c r="E750" s="18"/>
      <c r="F750" s="18"/>
      <c r="G750" s="18"/>
      <c r="H750" s="18"/>
      <c r="I750" s="25"/>
      <c r="J750" s="18"/>
      <c r="K750" s="18"/>
      <c r="L750" s="18"/>
      <c r="M750" s="18"/>
      <c r="N750" s="18"/>
      <c r="O750" s="18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>
      <c r="A751" s="1"/>
      <c r="B751" s="1"/>
      <c r="C751" s="18"/>
      <c r="D751" s="47"/>
      <c r="E751" s="18"/>
      <c r="F751" s="18"/>
      <c r="G751" s="18"/>
      <c r="H751" s="18"/>
      <c r="I751" s="25"/>
      <c r="J751" s="18"/>
      <c r="K751" s="18"/>
      <c r="L751" s="18"/>
      <c r="M751" s="18"/>
      <c r="N751" s="18"/>
      <c r="O751" s="18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>
      <c r="A752" s="1"/>
      <c r="B752" s="1"/>
      <c r="C752" s="18"/>
      <c r="D752" s="47"/>
      <c r="E752" s="18"/>
      <c r="F752" s="18"/>
      <c r="G752" s="18"/>
      <c r="H752" s="18"/>
      <c r="I752" s="25"/>
      <c r="J752" s="18"/>
      <c r="K752" s="18"/>
      <c r="L752" s="18"/>
      <c r="M752" s="18"/>
      <c r="N752" s="18"/>
      <c r="O752" s="18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>
      <c r="A753" s="1"/>
      <c r="B753" s="1"/>
      <c r="C753" s="18"/>
      <c r="D753" s="47"/>
      <c r="E753" s="18"/>
      <c r="F753" s="18"/>
      <c r="G753" s="18"/>
      <c r="H753" s="18"/>
      <c r="I753" s="25"/>
      <c r="J753" s="18"/>
      <c r="K753" s="18"/>
      <c r="L753" s="18"/>
      <c r="M753" s="18"/>
      <c r="N753" s="18"/>
      <c r="O753" s="18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>
      <c r="A754" s="1"/>
      <c r="B754" s="1"/>
      <c r="C754" s="18"/>
      <c r="D754" s="47"/>
      <c r="E754" s="18"/>
      <c r="F754" s="18"/>
      <c r="G754" s="18"/>
      <c r="H754" s="18"/>
      <c r="I754" s="25"/>
      <c r="J754" s="18"/>
      <c r="K754" s="18"/>
      <c r="L754" s="18"/>
      <c r="M754" s="18"/>
      <c r="N754" s="18"/>
      <c r="O754" s="18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>
      <c r="A755" s="1"/>
      <c r="B755" s="1"/>
      <c r="C755" s="18"/>
      <c r="D755" s="47"/>
      <c r="E755" s="18"/>
      <c r="F755" s="18"/>
      <c r="G755" s="18"/>
      <c r="H755" s="18"/>
      <c r="I755" s="25"/>
      <c r="J755" s="18"/>
      <c r="K755" s="18"/>
      <c r="L755" s="18"/>
      <c r="M755" s="18"/>
      <c r="N755" s="18"/>
      <c r="O755" s="18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>
      <c r="A756" s="1"/>
      <c r="B756" s="1"/>
      <c r="C756" s="18"/>
      <c r="D756" s="47"/>
      <c r="E756" s="18"/>
      <c r="F756" s="18"/>
      <c r="G756" s="18"/>
      <c r="H756" s="18"/>
      <c r="I756" s="25"/>
      <c r="J756" s="18"/>
      <c r="K756" s="18"/>
      <c r="L756" s="18"/>
      <c r="M756" s="18"/>
      <c r="N756" s="18"/>
      <c r="O756" s="18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>
      <c r="A757" s="1"/>
      <c r="B757" s="1"/>
      <c r="C757" s="18"/>
      <c r="D757" s="47"/>
      <c r="E757" s="18"/>
      <c r="F757" s="18"/>
      <c r="G757" s="18"/>
      <c r="H757" s="18"/>
      <c r="I757" s="25"/>
      <c r="J757" s="18"/>
      <c r="K757" s="18"/>
      <c r="L757" s="18"/>
      <c r="M757" s="18"/>
      <c r="N757" s="18"/>
      <c r="O757" s="18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>
      <c r="A758" s="1"/>
      <c r="B758" s="1"/>
      <c r="C758" s="18"/>
      <c r="D758" s="47"/>
      <c r="E758" s="18"/>
      <c r="F758" s="18"/>
      <c r="G758" s="18"/>
      <c r="H758" s="18"/>
      <c r="I758" s="25"/>
      <c r="J758" s="18"/>
      <c r="K758" s="18"/>
      <c r="L758" s="18"/>
      <c r="M758" s="18"/>
      <c r="N758" s="18"/>
      <c r="O758" s="18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>
      <c r="A759" s="1"/>
      <c r="B759" s="1"/>
      <c r="C759" s="18"/>
      <c r="D759" s="47"/>
      <c r="E759" s="18"/>
      <c r="F759" s="18"/>
      <c r="G759" s="18"/>
      <c r="H759" s="18"/>
      <c r="I759" s="25"/>
      <c r="J759" s="18"/>
      <c r="K759" s="18"/>
      <c r="L759" s="18"/>
      <c r="M759" s="18"/>
      <c r="N759" s="18"/>
      <c r="O759" s="18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>
      <c r="A760" s="1"/>
      <c r="B760" s="1"/>
      <c r="C760" s="18"/>
      <c r="D760" s="47"/>
      <c r="E760" s="18"/>
      <c r="F760" s="18"/>
      <c r="G760" s="18"/>
      <c r="H760" s="18"/>
      <c r="I760" s="25"/>
      <c r="J760" s="18"/>
      <c r="K760" s="18"/>
      <c r="L760" s="18"/>
      <c r="M760" s="18"/>
      <c r="N760" s="18"/>
      <c r="O760" s="18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>
      <c r="A761" s="1"/>
      <c r="B761" s="1"/>
      <c r="C761" s="18"/>
      <c r="D761" s="47"/>
      <c r="E761" s="18"/>
      <c r="F761" s="18"/>
      <c r="G761" s="18"/>
      <c r="H761" s="18"/>
      <c r="I761" s="25"/>
      <c r="J761" s="18"/>
      <c r="K761" s="18"/>
      <c r="L761" s="18"/>
      <c r="M761" s="18"/>
      <c r="N761" s="18"/>
      <c r="O761" s="18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>
      <c r="A762" s="1"/>
      <c r="B762" s="1"/>
      <c r="C762" s="18"/>
      <c r="D762" s="47"/>
      <c r="E762" s="18"/>
      <c r="F762" s="18"/>
      <c r="G762" s="18"/>
      <c r="H762" s="18"/>
      <c r="I762" s="25"/>
      <c r="J762" s="18"/>
      <c r="K762" s="18"/>
      <c r="L762" s="18"/>
      <c r="M762" s="18"/>
      <c r="N762" s="18"/>
      <c r="O762" s="18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>
      <c r="A763" s="1"/>
      <c r="B763" s="1"/>
      <c r="C763" s="18"/>
      <c r="D763" s="47"/>
      <c r="E763" s="18"/>
      <c r="F763" s="18"/>
      <c r="G763" s="18"/>
      <c r="H763" s="18"/>
      <c r="I763" s="25"/>
      <c r="J763" s="18"/>
      <c r="K763" s="18"/>
      <c r="L763" s="18"/>
      <c r="M763" s="18"/>
      <c r="N763" s="18"/>
      <c r="O763" s="18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>
      <c r="A764" s="1"/>
      <c r="B764" s="1"/>
      <c r="C764" s="18"/>
      <c r="D764" s="47"/>
      <c r="E764" s="18"/>
      <c r="F764" s="18"/>
      <c r="G764" s="18"/>
      <c r="H764" s="18"/>
      <c r="I764" s="25"/>
      <c r="J764" s="18"/>
      <c r="K764" s="18"/>
      <c r="L764" s="18"/>
      <c r="M764" s="18"/>
      <c r="N764" s="18"/>
      <c r="O764" s="18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>
      <c r="A765" s="1"/>
      <c r="B765" s="1"/>
      <c r="C765" s="18"/>
      <c r="D765" s="47"/>
      <c r="E765" s="18"/>
      <c r="F765" s="18"/>
      <c r="G765" s="18"/>
      <c r="H765" s="18"/>
      <c r="I765" s="25"/>
      <c r="J765" s="18"/>
      <c r="K765" s="18"/>
      <c r="L765" s="18"/>
      <c r="M765" s="18"/>
      <c r="N765" s="18"/>
      <c r="O765" s="18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>
      <c r="A766" s="1"/>
      <c r="B766" s="1"/>
      <c r="C766" s="18"/>
      <c r="D766" s="47"/>
      <c r="E766" s="18"/>
      <c r="F766" s="18"/>
      <c r="G766" s="18"/>
      <c r="H766" s="18"/>
      <c r="I766" s="25"/>
      <c r="J766" s="18"/>
      <c r="K766" s="18"/>
      <c r="L766" s="18"/>
      <c r="M766" s="18"/>
      <c r="N766" s="18"/>
      <c r="O766" s="18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>
      <c r="A767" s="1"/>
      <c r="B767" s="1"/>
      <c r="C767" s="18"/>
      <c r="D767" s="47"/>
      <c r="E767" s="18"/>
      <c r="F767" s="18"/>
      <c r="G767" s="18"/>
      <c r="H767" s="18"/>
      <c r="I767" s="25"/>
      <c r="J767" s="18"/>
      <c r="K767" s="18"/>
      <c r="L767" s="18"/>
      <c r="M767" s="18"/>
      <c r="N767" s="18"/>
      <c r="O767" s="18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>
      <c r="A768" s="1"/>
      <c r="B768" s="1"/>
      <c r="C768" s="18"/>
      <c r="D768" s="47"/>
      <c r="E768" s="18"/>
      <c r="F768" s="18"/>
      <c r="G768" s="18"/>
      <c r="H768" s="18"/>
      <c r="I768" s="25"/>
      <c r="J768" s="18"/>
      <c r="K768" s="18"/>
      <c r="L768" s="18"/>
      <c r="M768" s="18"/>
      <c r="N768" s="18"/>
      <c r="O768" s="18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>
      <c r="A769" s="1"/>
      <c r="B769" s="1"/>
      <c r="C769" s="18"/>
      <c r="D769" s="47"/>
      <c r="E769" s="18"/>
      <c r="F769" s="18"/>
      <c r="G769" s="18"/>
      <c r="H769" s="18"/>
      <c r="I769" s="25"/>
      <c r="J769" s="18"/>
      <c r="K769" s="18"/>
      <c r="L769" s="18"/>
      <c r="M769" s="18"/>
      <c r="N769" s="18"/>
      <c r="O769" s="18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>
      <c r="A770" s="1"/>
      <c r="B770" s="1"/>
      <c r="C770" s="18"/>
      <c r="D770" s="47"/>
      <c r="E770" s="18"/>
      <c r="F770" s="18"/>
      <c r="G770" s="18"/>
      <c r="H770" s="18"/>
      <c r="I770" s="25"/>
      <c r="J770" s="18"/>
      <c r="K770" s="18"/>
      <c r="L770" s="18"/>
      <c r="M770" s="18"/>
      <c r="N770" s="18"/>
      <c r="O770" s="18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>
      <c r="A771" s="1"/>
      <c r="B771" s="1"/>
      <c r="C771" s="18"/>
      <c r="D771" s="47"/>
      <c r="E771" s="18"/>
      <c r="F771" s="18"/>
      <c r="G771" s="18"/>
      <c r="H771" s="18"/>
      <c r="I771" s="25"/>
      <c r="J771" s="18"/>
      <c r="K771" s="18"/>
      <c r="L771" s="18"/>
      <c r="M771" s="18"/>
      <c r="N771" s="18"/>
      <c r="O771" s="18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>
      <c r="A772" s="1"/>
      <c r="B772" s="1"/>
      <c r="C772" s="18"/>
      <c r="D772" s="47"/>
      <c r="E772" s="18"/>
      <c r="F772" s="18"/>
      <c r="G772" s="18"/>
      <c r="H772" s="18"/>
      <c r="I772" s="25"/>
      <c r="J772" s="18"/>
      <c r="K772" s="18"/>
      <c r="L772" s="18"/>
      <c r="M772" s="18"/>
      <c r="N772" s="18"/>
      <c r="O772" s="18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>
      <c r="A773" s="1"/>
      <c r="B773" s="1"/>
      <c r="C773" s="18"/>
      <c r="D773" s="47"/>
      <c r="E773" s="18"/>
      <c r="F773" s="18"/>
      <c r="G773" s="18"/>
      <c r="H773" s="18"/>
      <c r="I773" s="25"/>
      <c r="J773" s="18"/>
      <c r="K773" s="18"/>
      <c r="L773" s="18"/>
      <c r="M773" s="18"/>
      <c r="N773" s="18"/>
      <c r="O773" s="18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>
      <c r="A774" s="1"/>
      <c r="B774" s="1"/>
      <c r="C774" s="18"/>
      <c r="D774" s="47"/>
      <c r="E774" s="18"/>
      <c r="F774" s="18"/>
      <c r="G774" s="18"/>
      <c r="H774" s="18"/>
      <c r="I774" s="25"/>
      <c r="J774" s="18"/>
      <c r="K774" s="18"/>
      <c r="L774" s="18"/>
      <c r="M774" s="18"/>
      <c r="N774" s="18"/>
      <c r="O774" s="18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>
      <c r="A775" s="1"/>
      <c r="B775" s="1"/>
      <c r="C775" s="18"/>
      <c r="D775" s="47"/>
      <c r="E775" s="18"/>
      <c r="F775" s="18"/>
      <c r="G775" s="18"/>
      <c r="H775" s="18"/>
      <c r="I775" s="25"/>
      <c r="J775" s="18"/>
      <c r="K775" s="18"/>
      <c r="L775" s="18"/>
      <c r="M775" s="18"/>
      <c r="N775" s="18"/>
      <c r="O775" s="18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>
      <c r="A776" s="1"/>
      <c r="B776" s="1"/>
      <c r="C776" s="18"/>
      <c r="D776" s="47"/>
      <c r="E776" s="18"/>
      <c r="F776" s="18"/>
      <c r="G776" s="18"/>
      <c r="H776" s="18"/>
      <c r="I776" s="25"/>
      <c r="J776" s="18"/>
      <c r="K776" s="18"/>
      <c r="L776" s="18"/>
      <c r="M776" s="18"/>
      <c r="N776" s="18"/>
      <c r="O776" s="18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>
      <c r="A777" s="1"/>
      <c r="B777" s="1"/>
      <c r="C777" s="18"/>
      <c r="D777" s="47"/>
      <c r="E777" s="18"/>
      <c r="F777" s="18"/>
      <c r="G777" s="18"/>
      <c r="H777" s="18"/>
      <c r="I777" s="25"/>
      <c r="J777" s="18"/>
      <c r="K777" s="18"/>
      <c r="L777" s="18"/>
      <c r="M777" s="18"/>
      <c r="N777" s="18"/>
      <c r="O777" s="18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>
      <c r="A778" s="1"/>
      <c r="B778" s="1"/>
      <c r="C778" s="18"/>
      <c r="D778" s="47"/>
      <c r="E778" s="18"/>
      <c r="F778" s="18"/>
      <c r="G778" s="18"/>
      <c r="H778" s="18"/>
      <c r="I778" s="25"/>
      <c r="J778" s="18"/>
      <c r="K778" s="18"/>
      <c r="L778" s="18"/>
      <c r="M778" s="18"/>
      <c r="N778" s="18"/>
      <c r="O778" s="18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>
      <c r="A779" s="1"/>
      <c r="B779" s="1"/>
      <c r="C779" s="18"/>
      <c r="D779" s="47"/>
      <c r="E779" s="18"/>
      <c r="F779" s="18"/>
      <c r="G779" s="18"/>
      <c r="H779" s="18"/>
      <c r="I779" s="25"/>
      <c r="J779" s="18"/>
      <c r="K779" s="18"/>
      <c r="L779" s="18"/>
      <c r="M779" s="18"/>
      <c r="N779" s="18"/>
      <c r="O779" s="18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>
      <c r="A780" s="1"/>
      <c r="B780" s="1"/>
      <c r="C780" s="18"/>
      <c r="D780" s="47"/>
      <c r="E780" s="18"/>
      <c r="F780" s="18"/>
      <c r="G780" s="18"/>
      <c r="H780" s="18"/>
      <c r="I780" s="25"/>
      <c r="J780" s="18"/>
      <c r="K780" s="18"/>
      <c r="L780" s="18"/>
      <c r="M780" s="18"/>
      <c r="N780" s="18"/>
      <c r="O780" s="18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>
      <c r="A781" s="1"/>
      <c r="B781" s="1"/>
      <c r="C781" s="18"/>
      <c r="D781" s="47"/>
      <c r="E781" s="18"/>
      <c r="F781" s="18"/>
      <c r="G781" s="18"/>
      <c r="H781" s="18"/>
      <c r="I781" s="25"/>
      <c r="J781" s="18"/>
      <c r="K781" s="18"/>
      <c r="L781" s="18"/>
      <c r="M781" s="18"/>
      <c r="N781" s="18"/>
      <c r="O781" s="18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>
      <c r="A782" s="1"/>
      <c r="B782" s="1"/>
      <c r="C782" s="18"/>
      <c r="D782" s="47"/>
      <c r="E782" s="18"/>
      <c r="F782" s="18"/>
      <c r="G782" s="18"/>
      <c r="H782" s="18"/>
      <c r="I782" s="25"/>
      <c r="J782" s="18"/>
      <c r="K782" s="18"/>
      <c r="L782" s="18"/>
      <c r="M782" s="18"/>
      <c r="N782" s="18"/>
      <c r="O782" s="18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>
      <c r="A783" s="1"/>
      <c r="B783" s="1"/>
      <c r="C783" s="18"/>
      <c r="D783" s="47"/>
      <c r="E783" s="18"/>
      <c r="F783" s="18"/>
      <c r="G783" s="18"/>
      <c r="H783" s="18"/>
      <c r="I783" s="25"/>
      <c r="J783" s="18"/>
      <c r="K783" s="18"/>
      <c r="L783" s="18"/>
      <c r="M783" s="18"/>
      <c r="N783" s="18"/>
      <c r="O783" s="18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>
      <c r="A784" s="1"/>
      <c r="B784" s="1"/>
      <c r="C784" s="18"/>
      <c r="D784" s="47"/>
      <c r="E784" s="18"/>
      <c r="F784" s="18"/>
      <c r="G784" s="18"/>
      <c r="H784" s="18"/>
      <c r="I784" s="25"/>
      <c r="J784" s="18"/>
      <c r="K784" s="18"/>
      <c r="L784" s="18"/>
      <c r="M784" s="18"/>
      <c r="N784" s="18"/>
      <c r="O784" s="18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>
      <c r="A785" s="1"/>
      <c r="B785" s="1"/>
      <c r="C785" s="18"/>
      <c r="D785" s="47"/>
      <c r="E785" s="18"/>
      <c r="F785" s="18"/>
      <c r="G785" s="18"/>
      <c r="H785" s="18"/>
      <c r="I785" s="25"/>
      <c r="J785" s="18"/>
      <c r="K785" s="18"/>
      <c r="L785" s="18"/>
      <c r="M785" s="18"/>
      <c r="N785" s="18"/>
      <c r="O785" s="18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>
      <c r="A786" s="1"/>
      <c r="B786" s="1"/>
      <c r="C786" s="18"/>
      <c r="D786" s="47"/>
      <c r="E786" s="18"/>
      <c r="F786" s="18"/>
      <c r="G786" s="18"/>
      <c r="H786" s="18"/>
      <c r="I786" s="25"/>
      <c r="J786" s="18"/>
      <c r="K786" s="18"/>
      <c r="L786" s="18"/>
      <c r="M786" s="18"/>
      <c r="N786" s="18"/>
      <c r="O786" s="18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>
      <c r="A787" s="1"/>
      <c r="B787" s="1"/>
      <c r="C787" s="18"/>
      <c r="D787" s="47"/>
      <c r="E787" s="18"/>
      <c r="F787" s="18"/>
      <c r="G787" s="18"/>
      <c r="H787" s="18"/>
      <c r="I787" s="25"/>
      <c r="J787" s="18"/>
      <c r="K787" s="18"/>
      <c r="L787" s="18"/>
      <c r="M787" s="18"/>
      <c r="N787" s="18"/>
      <c r="O787" s="18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>
      <c r="A788" s="1"/>
      <c r="B788" s="1"/>
      <c r="C788" s="18"/>
      <c r="D788" s="47"/>
      <c r="E788" s="18"/>
      <c r="F788" s="18"/>
      <c r="G788" s="18"/>
      <c r="H788" s="18"/>
      <c r="I788" s="25"/>
      <c r="J788" s="18"/>
      <c r="K788" s="18"/>
      <c r="L788" s="18"/>
      <c r="M788" s="18"/>
      <c r="N788" s="18"/>
      <c r="O788" s="18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>
      <c r="A789" s="1"/>
      <c r="B789" s="1"/>
      <c r="C789" s="18"/>
      <c r="D789" s="47"/>
      <c r="E789" s="18"/>
      <c r="F789" s="18"/>
      <c r="G789" s="18"/>
      <c r="H789" s="18"/>
      <c r="I789" s="25"/>
      <c r="J789" s="18"/>
      <c r="K789" s="18"/>
      <c r="L789" s="18"/>
      <c r="M789" s="18"/>
      <c r="N789" s="18"/>
      <c r="O789" s="18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>
      <c r="A790" s="1"/>
      <c r="B790" s="1"/>
      <c r="C790" s="18"/>
      <c r="D790" s="47"/>
      <c r="E790" s="18"/>
      <c r="F790" s="18"/>
      <c r="G790" s="18"/>
      <c r="H790" s="18"/>
      <c r="I790" s="25"/>
      <c r="J790" s="18"/>
      <c r="K790" s="18"/>
      <c r="L790" s="18"/>
      <c r="M790" s="18"/>
      <c r="N790" s="18"/>
      <c r="O790" s="18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>
      <c r="A791" s="1"/>
      <c r="B791" s="1"/>
      <c r="C791" s="18"/>
      <c r="D791" s="47"/>
      <c r="E791" s="18"/>
      <c r="F791" s="18"/>
      <c r="G791" s="18"/>
      <c r="H791" s="18"/>
      <c r="I791" s="25"/>
      <c r="J791" s="18"/>
      <c r="K791" s="18"/>
      <c r="L791" s="18"/>
      <c r="M791" s="18"/>
      <c r="N791" s="18"/>
      <c r="O791" s="18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>
      <c r="A792" s="1"/>
      <c r="B792" s="1"/>
      <c r="C792" s="18"/>
      <c r="D792" s="47"/>
      <c r="E792" s="18"/>
      <c r="F792" s="18"/>
      <c r="G792" s="18"/>
      <c r="H792" s="18"/>
      <c r="I792" s="25"/>
      <c r="J792" s="18"/>
      <c r="K792" s="18"/>
      <c r="L792" s="18"/>
      <c r="M792" s="18"/>
      <c r="N792" s="18"/>
      <c r="O792" s="18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>
      <c r="A793" s="1"/>
      <c r="B793" s="1"/>
      <c r="C793" s="18"/>
      <c r="D793" s="47"/>
      <c r="E793" s="18"/>
      <c r="F793" s="18"/>
      <c r="G793" s="18"/>
      <c r="H793" s="18"/>
      <c r="I793" s="25"/>
      <c r="J793" s="18"/>
      <c r="K793" s="18"/>
      <c r="L793" s="18"/>
      <c r="M793" s="18"/>
      <c r="N793" s="18"/>
      <c r="O793" s="18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>
      <c r="A794" s="1"/>
      <c r="B794" s="1"/>
      <c r="C794" s="18"/>
      <c r="D794" s="47"/>
      <c r="E794" s="18"/>
      <c r="F794" s="18"/>
      <c r="G794" s="18"/>
      <c r="H794" s="18"/>
      <c r="I794" s="25"/>
      <c r="J794" s="18"/>
      <c r="K794" s="18"/>
      <c r="L794" s="18"/>
      <c r="M794" s="18"/>
      <c r="N794" s="18"/>
      <c r="O794" s="18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>
      <c r="A795" s="1"/>
      <c r="B795" s="1"/>
      <c r="C795" s="18"/>
      <c r="D795" s="47"/>
      <c r="E795" s="18"/>
      <c r="F795" s="18"/>
      <c r="G795" s="18"/>
      <c r="H795" s="18"/>
      <c r="I795" s="25"/>
      <c r="J795" s="18"/>
      <c r="K795" s="18"/>
      <c r="L795" s="18"/>
      <c r="M795" s="18"/>
      <c r="N795" s="18"/>
      <c r="O795" s="18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>
      <c r="A796" s="1"/>
      <c r="B796" s="1"/>
      <c r="C796" s="18"/>
      <c r="D796" s="47"/>
      <c r="E796" s="18"/>
      <c r="F796" s="18"/>
      <c r="G796" s="18"/>
      <c r="H796" s="18"/>
      <c r="I796" s="25"/>
      <c r="J796" s="18"/>
      <c r="K796" s="18"/>
      <c r="L796" s="18"/>
      <c r="M796" s="18"/>
      <c r="N796" s="18"/>
      <c r="O796" s="18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>
      <c r="A797" s="1"/>
      <c r="B797" s="1"/>
      <c r="C797" s="18"/>
      <c r="D797" s="47"/>
      <c r="E797" s="18"/>
      <c r="F797" s="18"/>
      <c r="G797" s="18"/>
      <c r="H797" s="18"/>
      <c r="I797" s="25"/>
      <c r="J797" s="18"/>
      <c r="K797" s="18"/>
      <c r="L797" s="18"/>
      <c r="M797" s="18"/>
      <c r="N797" s="18"/>
      <c r="O797" s="18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>
      <c r="A798" s="1"/>
      <c r="B798" s="1"/>
      <c r="C798" s="18"/>
      <c r="D798" s="47"/>
      <c r="E798" s="18"/>
      <c r="F798" s="18"/>
      <c r="G798" s="18"/>
      <c r="H798" s="18"/>
      <c r="I798" s="25"/>
      <c r="J798" s="18"/>
      <c r="K798" s="18"/>
      <c r="L798" s="18"/>
      <c r="M798" s="18"/>
      <c r="N798" s="18"/>
      <c r="O798" s="18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>
      <c r="A799" s="1"/>
      <c r="B799" s="1"/>
      <c r="C799" s="18"/>
      <c r="D799" s="47"/>
      <c r="E799" s="18"/>
      <c r="F799" s="18"/>
      <c r="G799" s="18"/>
      <c r="H799" s="18"/>
      <c r="I799" s="25"/>
      <c r="J799" s="18"/>
      <c r="K799" s="18"/>
      <c r="L799" s="18"/>
      <c r="M799" s="18"/>
      <c r="N799" s="18"/>
      <c r="O799" s="18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>
      <c r="A800" s="1"/>
      <c r="B800" s="1"/>
      <c r="C800" s="18"/>
      <c r="D800" s="47"/>
      <c r="E800" s="18"/>
      <c r="F800" s="18"/>
      <c r="G800" s="18"/>
      <c r="H800" s="18"/>
      <c r="I800" s="25"/>
      <c r="J800" s="18"/>
      <c r="K800" s="18"/>
      <c r="L800" s="18"/>
      <c r="M800" s="18"/>
      <c r="N800" s="18"/>
      <c r="O800" s="18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>
      <c r="A801" s="1"/>
      <c r="B801" s="1"/>
      <c r="C801" s="18"/>
      <c r="D801" s="47"/>
      <c r="E801" s="18"/>
      <c r="F801" s="18"/>
      <c r="G801" s="18"/>
      <c r="H801" s="18"/>
      <c r="I801" s="25"/>
      <c r="J801" s="18"/>
      <c r="K801" s="18"/>
      <c r="L801" s="18"/>
      <c r="M801" s="18"/>
      <c r="N801" s="18"/>
      <c r="O801" s="18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>
      <c r="A802" s="1"/>
      <c r="B802" s="1"/>
      <c r="C802" s="18"/>
      <c r="D802" s="47"/>
      <c r="E802" s="18"/>
      <c r="F802" s="18"/>
      <c r="G802" s="18"/>
      <c r="H802" s="18"/>
      <c r="I802" s="25"/>
      <c r="J802" s="18"/>
      <c r="K802" s="18"/>
      <c r="L802" s="18"/>
      <c r="M802" s="18"/>
      <c r="N802" s="18"/>
      <c r="O802" s="18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>
      <c r="A803" s="1"/>
      <c r="B803" s="1"/>
      <c r="C803" s="18"/>
      <c r="D803" s="47"/>
      <c r="E803" s="18"/>
      <c r="F803" s="18"/>
      <c r="G803" s="18"/>
      <c r="H803" s="18"/>
      <c r="I803" s="25"/>
      <c r="J803" s="18"/>
      <c r="K803" s="18"/>
      <c r="L803" s="18"/>
      <c r="M803" s="18"/>
      <c r="N803" s="18"/>
      <c r="O803" s="18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>
      <c r="A804" s="1"/>
      <c r="B804" s="1"/>
      <c r="C804" s="18"/>
      <c r="D804" s="47"/>
      <c r="E804" s="18"/>
      <c r="F804" s="18"/>
      <c r="G804" s="18"/>
      <c r="H804" s="18"/>
      <c r="I804" s="25"/>
      <c r="J804" s="18"/>
      <c r="K804" s="18"/>
      <c r="L804" s="18"/>
      <c r="M804" s="18"/>
      <c r="N804" s="18"/>
      <c r="O804" s="18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>
      <c r="A805" s="1"/>
      <c r="B805" s="1"/>
      <c r="C805" s="18"/>
      <c r="D805" s="47"/>
      <c r="E805" s="18"/>
      <c r="F805" s="18"/>
      <c r="G805" s="18"/>
      <c r="H805" s="18"/>
      <c r="I805" s="25"/>
      <c r="J805" s="18"/>
      <c r="K805" s="18"/>
      <c r="L805" s="18"/>
      <c r="M805" s="18"/>
      <c r="N805" s="18"/>
      <c r="O805" s="18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>
      <c r="A806" s="1"/>
      <c r="B806" s="1"/>
      <c r="C806" s="18"/>
      <c r="D806" s="47"/>
      <c r="E806" s="18"/>
      <c r="F806" s="18"/>
      <c r="G806" s="18"/>
      <c r="H806" s="18"/>
      <c r="I806" s="25"/>
      <c r="J806" s="18"/>
      <c r="K806" s="18"/>
      <c r="L806" s="18"/>
      <c r="M806" s="18"/>
      <c r="N806" s="18"/>
      <c r="O806" s="18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>
      <c r="A807" s="1"/>
      <c r="B807" s="1"/>
      <c r="C807" s="18"/>
      <c r="D807" s="47"/>
      <c r="E807" s="18"/>
      <c r="F807" s="18"/>
      <c r="G807" s="18"/>
      <c r="H807" s="18"/>
      <c r="I807" s="25"/>
      <c r="J807" s="18"/>
      <c r="K807" s="18"/>
      <c r="L807" s="18"/>
      <c r="M807" s="18"/>
      <c r="N807" s="18"/>
      <c r="O807" s="18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>
      <c r="A808" s="1"/>
      <c r="B808" s="1"/>
      <c r="C808" s="18"/>
      <c r="D808" s="47"/>
      <c r="E808" s="18"/>
      <c r="F808" s="18"/>
      <c r="G808" s="18"/>
      <c r="H808" s="18"/>
      <c r="I808" s="25"/>
      <c r="J808" s="18"/>
      <c r="K808" s="18"/>
      <c r="L808" s="18"/>
      <c r="M808" s="18"/>
      <c r="N808" s="18"/>
      <c r="O808" s="18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>
      <c r="A809" s="1"/>
      <c r="B809" s="1"/>
      <c r="C809" s="18"/>
      <c r="D809" s="47"/>
      <c r="E809" s="18"/>
      <c r="F809" s="18"/>
      <c r="G809" s="18"/>
      <c r="H809" s="18"/>
      <c r="I809" s="25"/>
      <c r="J809" s="18"/>
      <c r="K809" s="18"/>
      <c r="L809" s="18"/>
      <c r="M809" s="18"/>
      <c r="N809" s="18"/>
      <c r="O809" s="18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>
      <c r="A810" s="1"/>
      <c r="B810" s="1"/>
      <c r="C810" s="18"/>
      <c r="D810" s="47"/>
      <c r="E810" s="18"/>
      <c r="F810" s="18"/>
      <c r="G810" s="18"/>
      <c r="H810" s="18"/>
      <c r="I810" s="25"/>
      <c r="J810" s="18"/>
      <c r="K810" s="18"/>
      <c r="L810" s="18"/>
      <c r="M810" s="18"/>
      <c r="N810" s="18"/>
      <c r="O810" s="18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>
      <c r="A811" s="1"/>
      <c r="B811" s="1"/>
      <c r="C811" s="18"/>
      <c r="D811" s="47"/>
      <c r="E811" s="18"/>
      <c r="F811" s="18"/>
      <c r="G811" s="18"/>
      <c r="H811" s="18"/>
      <c r="I811" s="25"/>
      <c r="J811" s="18"/>
      <c r="K811" s="18"/>
      <c r="L811" s="18"/>
      <c r="M811" s="18"/>
      <c r="N811" s="18"/>
      <c r="O811" s="18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>
      <c r="A812" s="1"/>
      <c r="B812" s="1"/>
      <c r="C812" s="18"/>
      <c r="D812" s="47"/>
      <c r="E812" s="18"/>
      <c r="F812" s="18"/>
      <c r="G812" s="18"/>
      <c r="H812" s="18"/>
      <c r="I812" s="25"/>
      <c r="J812" s="18"/>
      <c r="K812" s="18"/>
      <c r="L812" s="18"/>
      <c r="M812" s="18"/>
      <c r="N812" s="18"/>
      <c r="O812" s="18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>
      <c r="A813" s="1"/>
      <c r="B813" s="1"/>
      <c r="C813" s="18"/>
      <c r="D813" s="47"/>
      <c r="E813" s="18"/>
      <c r="F813" s="18"/>
      <c r="G813" s="18"/>
      <c r="H813" s="18"/>
      <c r="I813" s="25"/>
      <c r="J813" s="18"/>
      <c r="K813" s="18"/>
      <c r="L813" s="18"/>
      <c r="M813" s="18"/>
      <c r="N813" s="18"/>
      <c r="O813" s="18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>
      <c r="A814" s="1"/>
      <c r="B814" s="1"/>
      <c r="C814" s="18"/>
      <c r="D814" s="47"/>
      <c r="E814" s="18"/>
      <c r="F814" s="18"/>
      <c r="G814" s="18"/>
      <c r="H814" s="18"/>
      <c r="I814" s="25"/>
      <c r="J814" s="18"/>
      <c r="K814" s="18"/>
      <c r="L814" s="18"/>
      <c r="M814" s="18"/>
      <c r="N814" s="18"/>
      <c r="O814" s="18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>
      <c r="A815" s="1"/>
      <c r="B815" s="1"/>
      <c r="C815" s="18"/>
      <c r="D815" s="47"/>
      <c r="E815" s="18"/>
      <c r="F815" s="18"/>
      <c r="G815" s="18"/>
      <c r="H815" s="18"/>
      <c r="I815" s="25"/>
      <c r="J815" s="18"/>
      <c r="K815" s="18"/>
      <c r="L815" s="18"/>
      <c r="M815" s="18"/>
      <c r="N815" s="18"/>
      <c r="O815" s="18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>
      <c r="A816" s="1"/>
      <c r="B816" s="1"/>
      <c r="C816" s="18"/>
      <c r="D816" s="47"/>
      <c r="E816" s="18"/>
      <c r="F816" s="18"/>
      <c r="G816" s="18"/>
      <c r="H816" s="18"/>
      <c r="I816" s="25"/>
      <c r="J816" s="18"/>
      <c r="K816" s="18"/>
      <c r="L816" s="18"/>
      <c r="M816" s="18"/>
      <c r="N816" s="18"/>
      <c r="O816" s="18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>
      <c r="A817" s="1"/>
      <c r="B817" s="1"/>
      <c r="C817" s="18"/>
      <c r="D817" s="47"/>
      <c r="E817" s="18"/>
      <c r="F817" s="18"/>
      <c r="G817" s="18"/>
      <c r="H817" s="18"/>
      <c r="I817" s="25"/>
      <c r="J817" s="18"/>
      <c r="K817" s="18"/>
      <c r="L817" s="18"/>
      <c r="M817" s="18"/>
      <c r="N817" s="18"/>
      <c r="O817" s="18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>
      <c r="A818" s="1"/>
      <c r="B818" s="1"/>
      <c r="C818" s="18"/>
      <c r="D818" s="47"/>
      <c r="E818" s="18"/>
      <c r="F818" s="18"/>
      <c r="G818" s="18"/>
      <c r="H818" s="18"/>
      <c r="I818" s="25"/>
      <c r="J818" s="18"/>
      <c r="K818" s="18"/>
      <c r="L818" s="18"/>
      <c r="M818" s="18"/>
      <c r="N818" s="18"/>
      <c r="O818" s="18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>
      <c r="A819" s="1"/>
      <c r="B819" s="1"/>
      <c r="C819" s="18"/>
      <c r="D819" s="47"/>
      <c r="E819" s="18"/>
      <c r="F819" s="18"/>
      <c r="G819" s="18"/>
      <c r="H819" s="18"/>
      <c r="I819" s="25"/>
      <c r="J819" s="18"/>
      <c r="K819" s="18"/>
      <c r="L819" s="18"/>
      <c r="M819" s="18"/>
      <c r="N819" s="18"/>
      <c r="O819" s="18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>
      <c r="A820" s="1"/>
      <c r="B820" s="1"/>
      <c r="C820" s="18"/>
      <c r="D820" s="47"/>
      <c r="E820" s="18"/>
      <c r="F820" s="18"/>
      <c r="G820" s="18"/>
      <c r="H820" s="18"/>
      <c r="I820" s="25"/>
      <c r="J820" s="18"/>
      <c r="K820" s="18"/>
      <c r="L820" s="18"/>
      <c r="M820" s="18"/>
      <c r="N820" s="18"/>
      <c r="O820" s="18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>
      <c r="A821" s="1"/>
      <c r="B821" s="1"/>
      <c r="C821" s="18"/>
      <c r="D821" s="47"/>
      <c r="E821" s="18"/>
      <c r="F821" s="18"/>
      <c r="G821" s="18"/>
      <c r="H821" s="18"/>
      <c r="I821" s="25"/>
      <c r="J821" s="18"/>
      <c r="K821" s="18"/>
      <c r="L821" s="18"/>
      <c r="M821" s="18"/>
      <c r="N821" s="18"/>
      <c r="O821" s="18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>
      <c r="A822" s="1"/>
      <c r="B822" s="1"/>
      <c r="C822" s="18"/>
      <c r="D822" s="47"/>
      <c r="E822" s="18"/>
      <c r="F822" s="18"/>
      <c r="G822" s="18"/>
      <c r="H822" s="18"/>
      <c r="I822" s="25"/>
      <c r="J822" s="18"/>
      <c r="K822" s="18"/>
      <c r="L822" s="18"/>
      <c r="M822" s="18"/>
      <c r="N822" s="18"/>
      <c r="O822" s="18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>
      <c r="A823" s="1"/>
      <c r="B823" s="1"/>
      <c r="C823" s="18"/>
      <c r="D823" s="47"/>
      <c r="E823" s="18"/>
      <c r="F823" s="18"/>
      <c r="G823" s="18"/>
      <c r="H823" s="18"/>
      <c r="I823" s="25"/>
      <c r="J823" s="18"/>
      <c r="K823" s="18"/>
      <c r="L823" s="18"/>
      <c r="M823" s="18"/>
      <c r="N823" s="18"/>
      <c r="O823" s="18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>
      <c r="A824" s="1"/>
      <c r="B824" s="1"/>
      <c r="C824" s="18"/>
      <c r="D824" s="47"/>
      <c r="E824" s="18"/>
      <c r="F824" s="18"/>
      <c r="G824" s="18"/>
      <c r="H824" s="18"/>
      <c r="I824" s="25"/>
      <c r="J824" s="18"/>
      <c r="K824" s="18"/>
      <c r="L824" s="18"/>
      <c r="M824" s="18"/>
      <c r="N824" s="18"/>
      <c r="O824" s="18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>
      <c r="A825" s="1"/>
      <c r="B825" s="1"/>
      <c r="C825" s="18"/>
      <c r="D825" s="47"/>
      <c r="E825" s="18"/>
      <c r="F825" s="18"/>
      <c r="G825" s="18"/>
      <c r="H825" s="18"/>
      <c r="I825" s="25"/>
      <c r="J825" s="18"/>
      <c r="K825" s="18"/>
      <c r="L825" s="18"/>
      <c r="M825" s="18"/>
      <c r="N825" s="18"/>
      <c r="O825" s="18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>
      <c r="A826" s="1"/>
      <c r="B826" s="1"/>
      <c r="C826" s="18"/>
      <c r="D826" s="47"/>
      <c r="E826" s="18"/>
      <c r="F826" s="18"/>
      <c r="G826" s="18"/>
      <c r="H826" s="18"/>
      <c r="I826" s="25"/>
      <c r="J826" s="18"/>
      <c r="K826" s="18"/>
      <c r="L826" s="18"/>
      <c r="M826" s="18"/>
      <c r="N826" s="18"/>
      <c r="O826" s="18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>
      <c r="A827" s="1"/>
      <c r="B827" s="1"/>
      <c r="C827" s="18"/>
      <c r="D827" s="47"/>
      <c r="E827" s="18"/>
      <c r="F827" s="18"/>
      <c r="G827" s="18"/>
      <c r="H827" s="18"/>
      <c r="I827" s="25"/>
      <c r="J827" s="18"/>
      <c r="K827" s="18"/>
      <c r="L827" s="18"/>
      <c r="M827" s="18"/>
      <c r="N827" s="18"/>
      <c r="O827" s="18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>
      <c r="A828" s="1"/>
      <c r="B828" s="1"/>
      <c r="C828" s="18"/>
      <c r="D828" s="47"/>
      <c r="E828" s="18"/>
      <c r="F828" s="18"/>
      <c r="G828" s="18"/>
      <c r="H828" s="18"/>
      <c r="I828" s="25"/>
      <c r="J828" s="18"/>
      <c r="K828" s="18"/>
      <c r="L828" s="18"/>
      <c r="M828" s="18"/>
      <c r="N828" s="18"/>
      <c r="O828" s="18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>
      <c r="A829" s="1"/>
      <c r="B829" s="1"/>
      <c r="C829" s="18"/>
      <c r="D829" s="47"/>
      <c r="E829" s="18"/>
      <c r="F829" s="18"/>
      <c r="G829" s="18"/>
      <c r="H829" s="18"/>
      <c r="I829" s="25"/>
      <c r="J829" s="18"/>
      <c r="K829" s="18"/>
      <c r="L829" s="18"/>
      <c r="M829" s="18"/>
      <c r="N829" s="18"/>
      <c r="O829" s="18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>
      <c r="A830" s="1"/>
      <c r="B830" s="1"/>
      <c r="C830" s="18"/>
      <c r="D830" s="47"/>
      <c r="E830" s="18"/>
      <c r="F830" s="18"/>
      <c r="G830" s="18"/>
      <c r="H830" s="18"/>
      <c r="I830" s="25"/>
      <c r="J830" s="18"/>
      <c r="K830" s="18"/>
      <c r="L830" s="18"/>
      <c r="M830" s="18"/>
      <c r="N830" s="18"/>
      <c r="O830" s="18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>
      <c r="A831" s="1"/>
      <c r="B831" s="1"/>
      <c r="C831" s="18"/>
      <c r="D831" s="47"/>
      <c r="E831" s="18"/>
      <c r="F831" s="18"/>
      <c r="G831" s="18"/>
      <c r="H831" s="18"/>
      <c r="I831" s="25"/>
      <c r="J831" s="18"/>
      <c r="K831" s="18"/>
      <c r="L831" s="18"/>
      <c r="M831" s="18"/>
      <c r="N831" s="18"/>
      <c r="O831" s="18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>
      <c r="A832" s="1"/>
      <c r="B832" s="1"/>
      <c r="C832" s="18"/>
      <c r="D832" s="47"/>
      <c r="E832" s="18"/>
      <c r="F832" s="18"/>
      <c r="G832" s="18"/>
      <c r="H832" s="18"/>
      <c r="I832" s="25"/>
      <c r="J832" s="18"/>
      <c r="K832" s="18"/>
      <c r="L832" s="18"/>
      <c r="M832" s="18"/>
      <c r="N832" s="18"/>
      <c r="O832" s="18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>
      <c r="A833" s="1"/>
      <c r="B833" s="1"/>
      <c r="C833" s="18"/>
      <c r="D833" s="47"/>
      <c r="E833" s="18"/>
      <c r="F833" s="18"/>
      <c r="G833" s="18"/>
      <c r="H833" s="18"/>
      <c r="I833" s="25"/>
      <c r="J833" s="18"/>
      <c r="K833" s="18"/>
      <c r="L833" s="18"/>
      <c r="M833" s="18"/>
      <c r="N833" s="18"/>
      <c r="O833" s="18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>
      <c r="A834" s="1"/>
      <c r="B834" s="1"/>
      <c r="C834" s="18"/>
      <c r="D834" s="47"/>
      <c r="E834" s="18"/>
      <c r="F834" s="18"/>
      <c r="G834" s="18"/>
      <c r="H834" s="18"/>
      <c r="I834" s="25"/>
      <c r="J834" s="18"/>
      <c r="K834" s="18"/>
      <c r="L834" s="18"/>
      <c r="M834" s="18"/>
      <c r="N834" s="18"/>
      <c r="O834" s="18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>
      <c r="A835" s="1"/>
      <c r="B835" s="1"/>
      <c r="C835" s="18"/>
      <c r="D835" s="47"/>
      <c r="E835" s="18"/>
      <c r="F835" s="18"/>
      <c r="G835" s="18"/>
      <c r="H835" s="18"/>
      <c r="I835" s="25"/>
      <c r="J835" s="18"/>
      <c r="K835" s="18"/>
      <c r="L835" s="18"/>
      <c r="M835" s="18"/>
      <c r="N835" s="18"/>
      <c r="O835" s="18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>
      <c r="A836" s="1"/>
      <c r="B836" s="1"/>
      <c r="C836" s="18"/>
      <c r="D836" s="47"/>
      <c r="E836" s="18"/>
      <c r="F836" s="18"/>
      <c r="G836" s="18"/>
      <c r="H836" s="18"/>
      <c r="I836" s="25"/>
      <c r="J836" s="18"/>
      <c r="K836" s="18"/>
      <c r="L836" s="18"/>
      <c r="M836" s="18"/>
      <c r="N836" s="18"/>
      <c r="O836" s="18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>
      <c r="A837" s="1"/>
      <c r="B837" s="1"/>
      <c r="C837" s="18"/>
      <c r="D837" s="47"/>
      <c r="E837" s="18"/>
      <c r="F837" s="18"/>
      <c r="G837" s="18"/>
      <c r="H837" s="18"/>
      <c r="I837" s="25"/>
      <c r="J837" s="18"/>
      <c r="K837" s="18"/>
      <c r="L837" s="18"/>
      <c r="M837" s="18"/>
      <c r="N837" s="18"/>
      <c r="O837" s="18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>
      <c r="A838" s="1"/>
      <c r="B838" s="1"/>
      <c r="C838" s="18"/>
      <c r="D838" s="47"/>
      <c r="E838" s="18"/>
      <c r="F838" s="18"/>
      <c r="G838" s="18"/>
      <c r="H838" s="18"/>
      <c r="I838" s="25"/>
      <c r="J838" s="18"/>
      <c r="K838" s="18"/>
      <c r="L838" s="18"/>
      <c r="M838" s="18"/>
      <c r="N838" s="18"/>
      <c r="O838" s="18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>
      <c r="A839" s="1"/>
      <c r="B839" s="1"/>
      <c r="C839" s="18"/>
      <c r="D839" s="47"/>
      <c r="E839" s="18"/>
      <c r="F839" s="18"/>
      <c r="G839" s="18"/>
      <c r="H839" s="18"/>
      <c r="I839" s="25"/>
      <c r="J839" s="18"/>
      <c r="K839" s="18"/>
      <c r="L839" s="18"/>
      <c r="M839" s="18"/>
      <c r="N839" s="18"/>
      <c r="O839" s="18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>
      <c r="A840" s="1"/>
      <c r="B840" s="1"/>
      <c r="C840" s="18"/>
      <c r="D840" s="47"/>
      <c r="E840" s="18"/>
      <c r="F840" s="18"/>
      <c r="G840" s="18"/>
      <c r="H840" s="18"/>
      <c r="I840" s="25"/>
      <c r="J840" s="18"/>
      <c r="K840" s="18"/>
      <c r="L840" s="18"/>
      <c r="M840" s="18"/>
      <c r="N840" s="18"/>
      <c r="O840" s="18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>
      <c r="A841" s="1"/>
      <c r="B841" s="1"/>
      <c r="C841" s="18"/>
      <c r="D841" s="47"/>
      <c r="E841" s="18"/>
      <c r="F841" s="18"/>
      <c r="G841" s="18"/>
      <c r="H841" s="18"/>
      <c r="I841" s="25"/>
      <c r="J841" s="18"/>
      <c r="K841" s="18"/>
      <c r="L841" s="18"/>
      <c r="M841" s="18"/>
      <c r="N841" s="18"/>
      <c r="O841" s="18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>
      <c r="A842" s="1"/>
      <c r="B842" s="1"/>
      <c r="C842" s="18"/>
      <c r="D842" s="47"/>
      <c r="E842" s="18"/>
      <c r="F842" s="18"/>
      <c r="G842" s="18"/>
      <c r="H842" s="18"/>
      <c r="I842" s="25"/>
      <c r="J842" s="18"/>
      <c r="K842" s="18"/>
      <c r="L842" s="18"/>
      <c r="M842" s="18"/>
      <c r="N842" s="18"/>
      <c r="O842" s="18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>
      <c r="A843" s="1"/>
      <c r="B843" s="1"/>
      <c r="C843" s="18"/>
      <c r="D843" s="47"/>
      <c r="E843" s="18"/>
      <c r="F843" s="18"/>
      <c r="G843" s="18"/>
      <c r="H843" s="18"/>
      <c r="I843" s="25"/>
      <c r="J843" s="18"/>
      <c r="K843" s="18"/>
      <c r="L843" s="18"/>
      <c r="M843" s="18"/>
      <c r="N843" s="18"/>
      <c r="O843" s="18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>
      <c r="A844" s="1"/>
      <c r="B844" s="1"/>
      <c r="C844" s="18"/>
      <c r="D844" s="47"/>
      <c r="E844" s="18"/>
      <c r="F844" s="18"/>
      <c r="G844" s="18"/>
      <c r="H844" s="18"/>
      <c r="I844" s="25"/>
      <c r="J844" s="18"/>
      <c r="K844" s="18"/>
      <c r="L844" s="18"/>
      <c r="M844" s="18"/>
      <c r="N844" s="18"/>
      <c r="O844" s="18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>
      <c r="A845" s="1"/>
      <c r="B845" s="1"/>
      <c r="C845" s="18"/>
      <c r="D845" s="47"/>
      <c r="E845" s="18"/>
      <c r="F845" s="18"/>
      <c r="G845" s="18"/>
      <c r="H845" s="18"/>
      <c r="I845" s="25"/>
      <c r="J845" s="18"/>
      <c r="K845" s="18"/>
      <c r="L845" s="18"/>
      <c r="M845" s="18"/>
      <c r="N845" s="18"/>
      <c r="O845" s="18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>
      <c r="A846" s="1"/>
      <c r="B846" s="1"/>
      <c r="C846" s="18"/>
      <c r="D846" s="47"/>
      <c r="E846" s="18"/>
      <c r="F846" s="18"/>
      <c r="G846" s="18"/>
      <c r="H846" s="18"/>
      <c r="I846" s="25"/>
      <c r="J846" s="18"/>
      <c r="K846" s="18"/>
      <c r="L846" s="18"/>
      <c r="M846" s="18"/>
      <c r="N846" s="18"/>
      <c r="O846" s="18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>
      <c r="A847" s="1"/>
      <c r="B847" s="1"/>
      <c r="C847" s="18"/>
      <c r="D847" s="47"/>
      <c r="E847" s="18"/>
      <c r="F847" s="18"/>
      <c r="G847" s="18"/>
      <c r="H847" s="18"/>
      <c r="I847" s="25"/>
      <c r="J847" s="18"/>
      <c r="K847" s="18"/>
      <c r="L847" s="18"/>
      <c r="M847" s="18"/>
      <c r="N847" s="18"/>
      <c r="O847" s="18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>
      <c r="A848" s="1"/>
      <c r="B848" s="1"/>
      <c r="C848" s="18"/>
      <c r="D848" s="47"/>
      <c r="E848" s="18"/>
      <c r="F848" s="18"/>
      <c r="G848" s="18"/>
      <c r="H848" s="18"/>
      <c r="I848" s="25"/>
      <c r="J848" s="18"/>
      <c r="K848" s="18"/>
      <c r="L848" s="18"/>
      <c r="M848" s="18"/>
      <c r="N848" s="18"/>
      <c r="O848" s="18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>
      <c r="A849" s="1"/>
      <c r="B849" s="1"/>
      <c r="C849" s="18"/>
      <c r="D849" s="47"/>
      <c r="E849" s="18"/>
      <c r="F849" s="18"/>
      <c r="G849" s="18"/>
      <c r="H849" s="18"/>
      <c r="I849" s="25"/>
      <c r="J849" s="18"/>
      <c r="K849" s="18"/>
      <c r="L849" s="18"/>
      <c r="M849" s="18"/>
      <c r="N849" s="18"/>
      <c r="O849" s="18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>
      <c r="A850" s="1"/>
      <c r="B850" s="1"/>
      <c r="C850" s="18"/>
      <c r="D850" s="47"/>
      <c r="E850" s="18"/>
      <c r="F850" s="18"/>
      <c r="G850" s="18"/>
      <c r="H850" s="18"/>
      <c r="I850" s="25"/>
      <c r="J850" s="18"/>
      <c r="K850" s="18"/>
      <c r="L850" s="18"/>
      <c r="M850" s="18"/>
      <c r="N850" s="18"/>
      <c r="O850" s="18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>
      <c r="A851" s="1"/>
      <c r="B851" s="1"/>
      <c r="C851" s="18"/>
      <c r="D851" s="47"/>
      <c r="E851" s="18"/>
      <c r="F851" s="18"/>
      <c r="G851" s="18"/>
      <c r="H851" s="18"/>
      <c r="I851" s="25"/>
      <c r="J851" s="18"/>
      <c r="K851" s="18"/>
      <c r="L851" s="18"/>
      <c r="M851" s="18"/>
      <c r="N851" s="18"/>
      <c r="O851" s="18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>
      <c r="A852" s="1"/>
      <c r="B852" s="1"/>
      <c r="C852" s="18"/>
      <c r="D852" s="47"/>
      <c r="E852" s="18"/>
      <c r="F852" s="18"/>
      <c r="G852" s="18"/>
      <c r="H852" s="18"/>
      <c r="I852" s="25"/>
      <c r="J852" s="18"/>
      <c r="K852" s="18"/>
      <c r="L852" s="18"/>
      <c r="M852" s="18"/>
      <c r="N852" s="18"/>
      <c r="O852" s="18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>
      <c r="A853" s="1"/>
      <c r="B853" s="1"/>
      <c r="C853" s="18"/>
      <c r="D853" s="47"/>
      <c r="E853" s="18"/>
      <c r="F853" s="18"/>
      <c r="G853" s="18"/>
      <c r="H853" s="18"/>
      <c r="I853" s="25"/>
      <c r="J853" s="18"/>
      <c r="K853" s="18"/>
      <c r="L853" s="18"/>
      <c r="M853" s="18"/>
      <c r="N853" s="18"/>
      <c r="O853" s="18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>
      <c r="A854" s="1"/>
      <c r="B854" s="1"/>
      <c r="C854" s="18"/>
      <c r="D854" s="47"/>
      <c r="E854" s="18"/>
      <c r="F854" s="18"/>
      <c r="G854" s="18"/>
      <c r="H854" s="18"/>
      <c r="I854" s="25"/>
      <c r="J854" s="18"/>
      <c r="K854" s="18"/>
      <c r="L854" s="18"/>
      <c r="M854" s="18"/>
      <c r="N854" s="18"/>
      <c r="O854" s="18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>
      <c r="A855" s="1"/>
      <c r="B855" s="1"/>
      <c r="C855" s="18"/>
      <c r="D855" s="47"/>
      <c r="E855" s="18"/>
      <c r="F855" s="18"/>
      <c r="G855" s="18"/>
      <c r="H855" s="18"/>
      <c r="I855" s="25"/>
      <c r="J855" s="18"/>
      <c r="K855" s="18"/>
      <c r="L855" s="18"/>
      <c r="M855" s="18"/>
      <c r="N855" s="18"/>
      <c r="O855" s="18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>
      <c r="A856" s="1"/>
      <c r="B856" s="1"/>
      <c r="C856" s="18"/>
      <c r="D856" s="47"/>
      <c r="E856" s="18"/>
      <c r="F856" s="18"/>
      <c r="G856" s="18"/>
      <c r="H856" s="18"/>
      <c r="I856" s="25"/>
      <c r="J856" s="18"/>
      <c r="K856" s="18"/>
      <c r="L856" s="18"/>
      <c r="M856" s="18"/>
      <c r="N856" s="18"/>
      <c r="O856" s="18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>
      <c r="A857" s="1"/>
      <c r="B857" s="1"/>
      <c r="C857" s="18"/>
      <c r="D857" s="47"/>
      <c r="E857" s="18"/>
      <c r="F857" s="18"/>
      <c r="G857" s="18"/>
      <c r="H857" s="18"/>
      <c r="I857" s="25"/>
      <c r="J857" s="18"/>
      <c r="K857" s="18"/>
      <c r="L857" s="18"/>
      <c r="M857" s="18"/>
      <c r="N857" s="18"/>
      <c r="O857" s="18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>
      <c r="A858" s="1"/>
      <c r="B858" s="1"/>
      <c r="C858" s="18"/>
      <c r="D858" s="47"/>
      <c r="E858" s="18"/>
      <c r="F858" s="18"/>
      <c r="G858" s="18"/>
      <c r="H858" s="18"/>
      <c r="I858" s="25"/>
      <c r="J858" s="18"/>
      <c r="K858" s="18"/>
      <c r="L858" s="18"/>
      <c r="M858" s="18"/>
      <c r="N858" s="18"/>
      <c r="O858" s="18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>
      <c r="A859" s="1"/>
      <c r="B859" s="1"/>
      <c r="C859" s="18"/>
      <c r="D859" s="47"/>
      <c r="E859" s="18"/>
      <c r="F859" s="18"/>
      <c r="G859" s="18"/>
      <c r="H859" s="18"/>
      <c r="I859" s="25"/>
      <c r="J859" s="18"/>
      <c r="K859" s="18"/>
      <c r="L859" s="18"/>
      <c r="M859" s="18"/>
      <c r="N859" s="18"/>
      <c r="O859" s="18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>
      <c r="A860" s="1"/>
      <c r="B860" s="1"/>
      <c r="C860" s="18"/>
      <c r="D860" s="47"/>
      <c r="E860" s="18"/>
      <c r="F860" s="18"/>
      <c r="G860" s="18"/>
      <c r="H860" s="18"/>
      <c r="I860" s="25"/>
      <c r="J860" s="18"/>
      <c r="K860" s="18"/>
      <c r="L860" s="18"/>
      <c r="M860" s="18"/>
      <c r="N860" s="18"/>
      <c r="O860" s="18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>
      <c r="A861" s="1"/>
      <c r="B861" s="1"/>
      <c r="C861" s="18"/>
      <c r="D861" s="47"/>
      <c r="E861" s="18"/>
      <c r="F861" s="18"/>
      <c r="G861" s="18"/>
      <c r="H861" s="18"/>
      <c r="I861" s="25"/>
      <c r="J861" s="18"/>
      <c r="K861" s="18"/>
      <c r="L861" s="18"/>
      <c r="M861" s="18"/>
      <c r="N861" s="18"/>
      <c r="O861" s="18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>
      <c r="A862" s="1"/>
      <c r="B862" s="1"/>
      <c r="C862" s="18"/>
      <c r="D862" s="47"/>
      <c r="E862" s="18"/>
      <c r="F862" s="18"/>
      <c r="G862" s="18"/>
      <c r="H862" s="18"/>
      <c r="I862" s="25"/>
      <c r="J862" s="18"/>
      <c r="K862" s="18"/>
      <c r="L862" s="18"/>
      <c r="M862" s="18"/>
      <c r="N862" s="18"/>
      <c r="O862" s="18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>
      <c r="A863" s="1"/>
      <c r="B863" s="1"/>
      <c r="C863" s="18"/>
      <c r="D863" s="47"/>
      <c r="E863" s="18"/>
      <c r="F863" s="18"/>
      <c r="G863" s="18"/>
      <c r="H863" s="18"/>
      <c r="I863" s="25"/>
      <c r="J863" s="18"/>
      <c r="K863" s="18"/>
      <c r="L863" s="18"/>
      <c r="M863" s="18"/>
      <c r="N863" s="18"/>
      <c r="O863" s="18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>
      <c r="A864" s="1"/>
      <c r="B864" s="1"/>
      <c r="C864" s="18"/>
      <c r="D864" s="47"/>
      <c r="E864" s="18"/>
      <c r="F864" s="18"/>
      <c r="G864" s="18"/>
      <c r="H864" s="18"/>
      <c r="I864" s="25"/>
      <c r="J864" s="18"/>
      <c r="K864" s="18"/>
      <c r="L864" s="18"/>
      <c r="M864" s="18"/>
      <c r="N864" s="18"/>
      <c r="O864" s="18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>
      <c r="A865" s="1"/>
      <c r="B865" s="1"/>
      <c r="C865" s="18"/>
      <c r="D865" s="47"/>
      <c r="E865" s="18"/>
      <c r="F865" s="18"/>
      <c r="G865" s="18"/>
      <c r="H865" s="18"/>
      <c r="I865" s="25"/>
      <c r="J865" s="18"/>
      <c r="K865" s="18"/>
      <c r="L865" s="18"/>
      <c r="M865" s="18"/>
      <c r="N865" s="18"/>
      <c r="O865" s="18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>
      <c r="A866" s="1"/>
      <c r="B866" s="1"/>
      <c r="C866" s="18"/>
      <c r="D866" s="47"/>
      <c r="E866" s="18"/>
      <c r="F866" s="18"/>
      <c r="G866" s="18"/>
      <c r="H866" s="18"/>
      <c r="I866" s="25"/>
      <c r="J866" s="18"/>
      <c r="K866" s="18"/>
      <c r="L866" s="18"/>
      <c r="M866" s="18"/>
      <c r="N866" s="18"/>
      <c r="O866" s="18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>
      <c r="A867" s="1"/>
      <c r="B867" s="1"/>
      <c r="C867" s="18"/>
      <c r="D867" s="47"/>
      <c r="E867" s="18"/>
      <c r="F867" s="18"/>
      <c r="G867" s="18"/>
      <c r="H867" s="18"/>
      <c r="I867" s="25"/>
      <c r="J867" s="18"/>
      <c r="K867" s="18"/>
      <c r="L867" s="18"/>
      <c r="M867" s="18"/>
      <c r="N867" s="18"/>
      <c r="O867" s="18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>
      <c r="A868" s="1"/>
      <c r="B868" s="1"/>
      <c r="C868" s="18"/>
      <c r="D868" s="47"/>
      <c r="E868" s="18"/>
      <c r="F868" s="18"/>
      <c r="G868" s="18"/>
      <c r="H868" s="18"/>
      <c r="I868" s="25"/>
      <c r="J868" s="18"/>
      <c r="K868" s="18"/>
      <c r="L868" s="18"/>
      <c r="M868" s="18"/>
      <c r="N868" s="18"/>
      <c r="O868" s="18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>
      <c r="A869" s="1"/>
      <c r="B869" s="1"/>
      <c r="C869" s="18"/>
      <c r="D869" s="47"/>
      <c r="E869" s="18"/>
      <c r="F869" s="18"/>
      <c r="G869" s="18"/>
      <c r="H869" s="18"/>
      <c r="I869" s="25"/>
      <c r="J869" s="18"/>
      <c r="K869" s="18"/>
      <c r="L869" s="18"/>
      <c r="M869" s="18"/>
      <c r="N869" s="18"/>
      <c r="O869" s="18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>
      <c r="A870" s="1"/>
      <c r="B870" s="1"/>
      <c r="C870" s="18"/>
      <c r="D870" s="47"/>
      <c r="E870" s="18"/>
      <c r="F870" s="18"/>
      <c r="G870" s="18"/>
      <c r="H870" s="18"/>
      <c r="I870" s="25"/>
      <c r="J870" s="18"/>
      <c r="K870" s="18"/>
      <c r="L870" s="18"/>
      <c r="M870" s="18"/>
      <c r="N870" s="18"/>
      <c r="O870" s="18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>
      <c r="A871" s="1"/>
      <c r="B871" s="1"/>
      <c r="C871" s="18"/>
      <c r="D871" s="47"/>
      <c r="E871" s="18"/>
      <c r="F871" s="18"/>
      <c r="G871" s="18"/>
      <c r="H871" s="18"/>
      <c r="I871" s="25"/>
      <c r="J871" s="18"/>
      <c r="K871" s="18"/>
      <c r="L871" s="18"/>
      <c r="M871" s="18"/>
      <c r="N871" s="18"/>
      <c r="O871" s="18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>
      <c r="A872" s="1"/>
      <c r="B872" s="1"/>
      <c r="C872" s="18"/>
      <c r="D872" s="47"/>
      <c r="E872" s="18"/>
      <c r="F872" s="18"/>
      <c r="G872" s="18"/>
      <c r="H872" s="18"/>
      <c r="I872" s="25"/>
      <c r="J872" s="18"/>
      <c r="K872" s="18"/>
      <c r="L872" s="18"/>
      <c r="M872" s="18"/>
      <c r="N872" s="18"/>
      <c r="O872" s="18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>
      <c r="A873" s="1"/>
      <c r="B873" s="1"/>
      <c r="C873" s="18"/>
      <c r="D873" s="47"/>
      <c r="E873" s="18"/>
      <c r="F873" s="18"/>
      <c r="G873" s="18"/>
      <c r="H873" s="18"/>
      <c r="I873" s="25"/>
      <c r="J873" s="18"/>
      <c r="K873" s="18"/>
      <c r="L873" s="18"/>
      <c r="M873" s="18"/>
      <c r="N873" s="18"/>
      <c r="O873" s="18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>
      <c r="A874" s="1"/>
      <c r="B874" s="1"/>
      <c r="C874" s="18"/>
      <c r="D874" s="47"/>
      <c r="E874" s="18"/>
      <c r="F874" s="18"/>
      <c r="G874" s="18"/>
      <c r="H874" s="18"/>
      <c r="I874" s="25"/>
      <c r="J874" s="18"/>
      <c r="K874" s="18"/>
      <c r="L874" s="18"/>
      <c r="M874" s="18"/>
      <c r="N874" s="18"/>
      <c r="O874" s="18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>
      <c r="A875" s="1"/>
      <c r="B875" s="1"/>
      <c r="C875" s="18"/>
      <c r="D875" s="47"/>
      <c r="E875" s="18"/>
      <c r="F875" s="18"/>
      <c r="G875" s="18"/>
      <c r="H875" s="18"/>
      <c r="I875" s="25"/>
      <c r="J875" s="18"/>
      <c r="K875" s="18"/>
      <c r="L875" s="18"/>
      <c r="M875" s="18"/>
      <c r="N875" s="18"/>
      <c r="O875" s="18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>
      <c r="A876" s="1"/>
      <c r="B876" s="1"/>
      <c r="C876" s="18"/>
      <c r="D876" s="47"/>
      <c r="E876" s="18"/>
      <c r="F876" s="18"/>
      <c r="G876" s="18"/>
      <c r="H876" s="18"/>
      <c r="I876" s="25"/>
      <c r="J876" s="18"/>
      <c r="K876" s="18"/>
      <c r="L876" s="18"/>
      <c r="M876" s="18"/>
      <c r="N876" s="18"/>
      <c r="O876" s="18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>
      <c r="A877" s="1"/>
      <c r="B877" s="1"/>
      <c r="C877" s="18"/>
      <c r="D877" s="47"/>
      <c r="E877" s="18"/>
      <c r="F877" s="18"/>
      <c r="G877" s="18"/>
      <c r="H877" s="18"/>
      <c r="I877" s="25"/>
      <c r="J877" s="18"/>
      <c r="K877" s="18"/>
      <c r="L877" s="18"/>
      <c r="M877" s="18"/>
      <c r="N877" s="18"/>
      <c r="O877" s="18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>
      <c r="A878" s="1"/>
      <c r="B878" s="1"/>
      <c r="C878" s="18"/>
      <c r="D878" s="47"/>
      <c r="E878" s="18"/>
      <c r="F878" s="18"/>
      <c r="G878" s="18"/>
      <c r="H878" s="18"/>
      <c r="I878" s="25"/>
      <c r="J878" s="18"/>
      <c r="K878" s="18"/>
      <c r="L878" s="18"/>
      <c r="M878" s="18"/>
      <c r="N878" s="18"/>
      <c r="O878" s="18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>
      <c r="A879" s="1"/>
      <c r="B879" s="1"/>
      <c r="C879" s="18"/>
      <c r="D879" s="47"/>
      <c r="E879" s="18"/>
      <c r="F879" s="18"/>
      <c r="G879" s="18"/>
      <c r="H879" s="18"/>
      <c r="I879" s="25"/>
      <c r="J879" s="18"/>
      <c r="K879" s="18"/>
      <c r="L879" s="18"/>
      <c r="M879" s="18"/>
      <c r="N879" s="18"/>
      <c r="O879" s="18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>
      <c r="A880" s="1"/>
      <c r="B880" s="1"/>
      <c r="C880" s="18"/>
      <c r="D880" s="47"/>
      <c r="E880" s="18"/>
      <c r="F880" s="18"/>
      <c r="G880" s="18"/>
      <c r="H880" s="18"/>
      <c r="I880" s="25"/>
      <c r="J880" s="18"/>
      <c r="K880" s="18"/>
      <c r="L880" s="18"/>
      <c r="M880" s="18"/>
      <c r="N880" s="18"/>
      <c r="O880" s="18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>
      <c r="A881" s="1"/>
      <c r="B881" s="1"/>
      <c r="C881" s="18"/>
      <c r="D881" s="47"/>
      <c r="E881" s="18"/>
      <c r="F881" s="18"/>
      <c r="G881" s="18"/>
      <c r="H881" s="18"/>
      <c r="I881" s="25"/>
      <c r="J881" s="18"/>
      <c r="K881" s="18"/>
      <c r="L881" s="18"/>
      <c r="M881" s="18"/>
      <c r="N881" s="18"/>
      <c r="O881" s="18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>
      <c r="A882" s="1"/>
      <c r="B882" s="1"/>
      <c r="C882" s="18"/>
      <c r="D882" s="47"/>
      <c r="E882" s="18"/>
      <c r="F882" s="18"/>
      <c r="G882" s="18"/>
      <c r="H882" s="18"/>
      <c r="I882" s="25"/>
      <c r="J882" s="18"/>
      <c r="K882" s="18"/>
      <c r="L882" s="18"/>
      <c r="M882" s="18"/>
      <c r="N882" s="18"/>
      <c r="O882" s="18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>
      <c r="A883" s="1"/>
      <c r="B883" s="1"/>
      <c r="C883" s="18"/>
      <c r="D883" s="47"/>
      <c r="E883" s="18"/>
      <c r="F883" s="18"/>
      <c r="G883" s="18"/>
      <c r="H883" s="18"/>
      <c r="I883" s="25"/>
      <c r="J883" s="18"/>
      <c r="K883" s="18"/>
      <c r="L883" s="18"/>
      <c r="M883" s="18"/>
      <c r="N883" s="18"/>
      <c r="O883" s="18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>
      <c r="A884" s="1"/>
      <c r="B884" s="1"/>
      <c r="C884" s="18"/>
      <c r="D884" s="47"/>
      <c r="E884" s="18"/>
      <c r="F884" s="18"/>
      <c r="G884" s="18"/>
      <c r="H884" s="18"/>
      <c r="I884" s="25"/>
      <c r="J884" s="18"/>
      <c r="K884" s="18"/>
      <c r="L884" s="18"/>
      <c r="M884" s="18"/>
      <c r="N884" s="18"/>
      <c r="O884" s="18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>
      <c r="A885" s="1"/>
      <c r="B885" s="1"/>
      <c r="C885" s="18"/>
      <c r="D885" s="47"/>
      <c r="E885" s="18"/>
      <c r="F885" s="18"/>
      <c r="G885" s="18"/>
      <c r="H885" s="18"/>
      <c r="I885" s="25"/>
      <c r="J885" s="18"/>
      <c r="K885" s="18"/>
      <c r="L885" s="18"/>
      <c r="M885" s="18"/>
      <c r="N885" s="18"/>
      <c r="O885" s="18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>
      <c r="A886" s="1"/>
      <c r="B886" s="1"/>
      <c r="C886" s="18"/>
      <c r="D886" s="47"/>
      <c r="E886" s="18"/>
      <c r="F886" s="18"/>
      <c r="G886" s="18"/>
      <c r="H886" s="18"/>
      <c r="I886" s="25"/>
      <c r="J886" s="18"/>
      <c r="K886" s="18"/>
      <c r="L886" s="18"/>
      <c r="M886" s="18"/>
      <c r="N886" s="18"/>
      <c r="O886" s="18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>
      <c r="A887" s="1"/>
      <c r="B887" s="1"/>
      <c r="C887" s="18"/>
      <c r="D887" s="47"/>
      <c r="E887" s="18"/>
      <c r="F887" s="18"/>
      <c r="G887" s="18"/>
      <c r="H887" s="18"/>
      <c r="I887" s="25"/>
      <c r="J887" s="18"/>
      <c r="K887" s="18"/>
      <c r="L887" s="18"/>
      <c r="M887" s="18"/>
      <c r="N887" s="18"/>
      <c r="O887" s="18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>
      <c r="A888" s="1"/>
      <c r="B888" s="1"/>
      <c r="C888" s="18"/>
      <c r="D888" s="47"/>
      <c r="E888" s="18"/>
      <c r="F888" s="18"/>
      <c r="G888" s="18"/>
      <c r="H888" s="18"/>
      <c r="I888" s="25"/>
      <c r="J888" s="18"/>
      <c r="K888" s="18"/>
      <c r="L888" s="18"/>
      <c r="M888" s="18"/>
      <c r="N888" s="18"/>
      <c r="O888" s="18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>
      <c r="A889" s="1"/>
      <c r="B889" s="1"/>
      <c r="C889" s="18"/>
      <c r="D889" s="47"/>
      <c r="E889" s="18"/>
      <c r="F889" s="18"/>
      <c r="G889" s="18"/>
      <c r="H889" s="18"/>
      <c r="I889" s="25"/>
      <c r="J889" s="18"/>
      <c r="K889" s="18"/>
      <c r="L889" s="18"/>
      <c r="M889" s="18"/>
      <c r="N889" s="18"/>
      <c r="O889" s="18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>
      <c r="A890" s="1"/>
      <c r="B890" s="1"/>
      <c r="C890" s="18"/>
      <c r="D890" s="47"/>
      <c r="E890" s="18"/>
      <c r="F890" s="18"/>
      <c r="G890" s="18"/>
      <c r="H890" s="18"/>
      <c r="I890" s="25"/>
      <c r="J890" s="18"/>
      <c r="K890" s="18"/>
      <c r="L890" s="18"/>
      <c r="M890" s="18"/>
      <c r="N890" s="18"/>
      <c r="O890" s="18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>
      <c r="A891" s="1"/>
      <c r="B891" s="1"/>
      <c r="C891" s="18"/>
      <c r="D891" s="47"/>
      <c r="E891" s="18"/>
      <c r="F891" s="18"/>
      <c r="G891" s="18"/>
      <c r="H891" s="18"/>
      <c r="I891" s="25"/>
      <c r="J891" s="18"/>
      <c r="K891" s="18"/>
      <c r="L891" s="18"/>
      <c r="M891" s="18"/>
      <c r="N891" s="18"/>
      <c r="O891" s="18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>
      <c r="A892" s="1"/>
      <c r="B892" s="1"/>
      <c r="C892" s="18"/>
      <c r="D892" s="47"/>
      <c r="E892" s="18"/>
      <c r="F892" s="18"/>
      <c r="G892" s="18"/>
      <c r="H892" s="18"/>
      <c r="I892" s="25"/>
      <c r="J892" s="18"/>
      <c r="K892" s="18"/>
      <c r="L892" s="18"/>
      <c r="M892" s="18"/>
      <c r="N892" s="18"/>
      <c r="O892" s="18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>
      <c r="A893" s="1"/>
      <c r="B893" s="1"/>
      <c r="C893" s="18"/>
      <c r="D893" s="47"/>
      <c r="E893" s="18"/>
      <c r="F893" s="18"/>
      <c r="G893" s="18"/>
      <c r="H893" s="18"/>
      <c r="I893" s="25"/>
      <c r="J893" s="18"/>
      <c r="K893" s="18"/>
      <c r="L893" s="18"/>
      <c r="M893" s="18"/>
      <c r="N893" s="18"/>
      <c r="O893" s="18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>
      <c r="A894" s="1"/>
      <c r="B894" s="1"/>
      <c r="C894" s="18"/>
      <c r="D894" s="47"/>
      <c r="E894" s="18"/>
      <c r="F894" s="18"/>
      <c r="G894" s="18"/>
      <c r="H894" s="18"/>
      <c r="I894" s="25"/>
      <c r="J894" s="18"/>
      <c r="K894" s="18"/>
      <c r="L894" s="18"/>
      <c r="M894" s="18"/>
      <c r="N894" s="18"/>
      <c r="O894" s="18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>
      <c r="A895" s="1"/>
      <c r="B895" s="1"/>
      <c r="C895" s="18"/>
      <c r="D895" s="47"/>
      <c r="E895" s="18"/>
      <c r="F895" s="18"/>
      <c r="G895" s="18"/>
      <c r="H895" s="18"/>
      <c r="I895" s="25"/>
      <c r="J895" s="18"/>
      <c r="K895" s="18"/>
      <c r="L895" s="18"/>
      <c r="M895" s="18"/>
      <c r="N895" s="18"/>
      <c r="O895" s="18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>
      <c r="A896" s="1"/>
      <c r="B896" s="1"/>
      <c r="C896" s="18"/>
      <c r="D896" s="47"/>
      <c r="E896" s="18"/>
      <c r="F896" s="18"/>
      <c r="G896" s="18"/>
      <c r="H896" s="18"/>
      <c r="I896" s="25"/>
      <c r="J896" s="18"/>
      <c r="K896" s="18"/>
      <c r="L896" s="18"/>
      <c r="M896" s="18"/>
      <c r="N896" s="18"/>
      <c r="O896" s="18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>
      <c r="A897" s="1"/>
      <c r="B897" s="1"/>
      <c r="C897" s="18"/>
      <c r="D897" s="47"/>
      <c r="E897" s="18"/>
      <c r="F897" s="18"/>
      <c r="G897" s="18"/>
      <c r="H897" s="18"/>
      <c r="I897" s="25"/>
      <c r="J897" s="18"/>
      <c r="K897" s="18"/>
      <c r="L897" s="18"/>
      <c r="M897" s="18"/>
      <c r="N897" s="18"/>
      <c r="O897" s="18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>
      <c r="A898" s="1"/>
      <c r="B898" s="1"/>
      <c r="C898" s="18"/>
      <c r="D898" s="47"/>
      <c r="E898" s="18"/>
      <c r="F898" s="18"/>
      <c r="G898" s="18"/>
      <c r="H898" s="18"/>
      <c r="I898" s="25"/>
      <c r="J898" s="18"/>
      <c r="K898" s="18"/>
      <c r="L898" s="18"/>
      <c r="M898" s="18"/>
      <c r="N898" s="18"/>
      <c r="O898" s="18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>
      <c r="A899" s="1"/>
      <c r="B899" s="1"/>
      <c r="C899" s="18"/>
      <c r="D899" s="47"/>
      <c r="E899" s="18"/>
      <c r="F899" s="18"/>
      <c r="G899" s="18"/>
      <c r="H899" s="18"/>
      <c r="I899" s="25"/>
      <c r="J899" s="18"/>
      <c r="K899" s="18"/>
      <c r="L899" s="18"/>
      <c r="M899" s="18"/>
      <c r="N899" s="18"/>
      <c r="O899" s="18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>
      <c r="A900" s="1"/>
      <c r="B900" s="1"/>
      <c r="C900" s="18"/>
      <c r="D900" s="47"/>
      <c r="E900" s="18"/>
      <c r="F900" s="18"/>
      <c r="G900" s="18"/>
      <c r="H900" s="18"/>
      <c r="I900" s="25"/>
      <c r="J900" s="18"/>
      <c r="K900" s="18"/>
      <c r="L900" s="18"/>
      <c r="M900" s="18"/>
      <c r="N900" s="18"/>
      <c r="O900" s="18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>
      <c r="A901" s="1"/>
      <c r="B901" s="1"/>
      <c r="C901" s="18"/>
      <c r="D901" s="47"/>
      <c r="E901" s="18"/>
      <c r="F901" s="18"/>
      <c r="G901" s="18"/>
      <c r="H901" s="18"/>
      <c r="I901" s="25"/>
      <c r="J901" s="18"/>
      <c r="K901" s="18"/>
      <c r="L901" s="18"/>
      <c r="M901" s="18"/>
      <c r="N901" s="18"/>
      <c r="O901" s="18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>
      <c r="A902" s="1"/>
      <c r="B902" s="1"/>
      <c r="C902" s="18"/>
      <c r="D902" s="47"/>
      <c r="E902" s="18"/>
      <c r="F902" s="18"/>
      <c r="G902" s="18"/>
      <c r="H902" s="18"/>
      <c r="I902" s="25"/>
      <c r="J902" s="18"/>
      <c r="K902" s="18"/>
      <c r="L902" s="18"/>
      <c r="M902" s="18"/>
      <c r="N902" s="18"/>
      <c r="O902" s="18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>
      <c r="A903" s="1"/>
      <c r="B903" s="1"/>
      <c r="C903" s="18"/>
      <c r="D903" s="47"/>
      <c r="E903" s="18"/>
      <c r="F903" s="18"/>
      <c r="G903" s="18"/>
      <c r="H903" s="18"/>
      <c r="I903" s="25"/>
      <c r="J903" s="18"/>
      <c r="K903" s="18"/>
      <c r="L903" s="18"/>
      <c r="M903" s="18"/>
      <c r="N903" s="18"/>
      <c r="O903" s="18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>
      <c r="A904" s="1"/>
      <c r="B904" s="1"/>
      <c r="C904" s="18"/>
      <c r="D904" s="47"/>
      <c r="E904" s="18"/>
      <c r="F904" s="18"/>
      <c r="G904" s="18"/>
      <c r="H904" s="18"/>
      <c r="I904" s="25"/>
      <c r="J904" s="18"/>
      <c r="K904" s="18"/>
      <c r="L904" s="18"/>
      <c r="M904" s="18"/>
      <c r="N904" s="18"/>
      <c r="O904" s="18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>
      <c r="A905" s="1"/>
      <c r="B905" s="1"/>
      <c r="C905" s="18"/>
      <c r="D905" s="47"/>
      <c r="E905" s="18"/>
      <c r="F905" s="18"/>
      <c r="G905" s="18"/>
      <c r="H905" s="18"/>
      <c r="I905" s="25"/>
      <c r="J905" s="18"/>
      <c r="K905" s="18"/>
      <c r="L905" s="18"/>
      <c r="M905" s="18"/>
      <c r="N905" s="18"/>
      <c r="O905" s="18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>
      <c r="A906" s="1"/>
      <c r="B906" s="1"/>
      <c r="C906" s="18"/>
      <c r="D906" s="47"/>
      <c r="E906" s="18"/>
      <c r="F906" s="18"/>
      <c r="G906" s="18"/>
      <c r="H906" s="18"/>
      <c r="I906" s="25"/>
      <c r="J906" s="18"/>
      <c r="K906" s="18"/>
      <c r="L906" s="18"/>
      <c r="M906" s="18"/>
      <c r="N906" s="18"/>
      <c r="O906" s="18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>
      <c r="A907" s="1"/>
      <c r="B907" s="1"/>
      <c r="C907" s="18"/>
      <c r="D907" s="47"/>
      <c r="E907" s="18"/>
      <c r="F907" s="18"/>
      <c r="G907" s="18"/>
      <c r="H907" s="18"/>
      <c r="I907" s="25"/>
      <c r="J907" s="18"/>
      <c r="K907" s="18"/>
      <c r="L907" s="18"/>
      <c r="M907" s="18"/>
      <c r="N907" s="18"/>
      <c r="O907" s="18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>
      <c r="A908" s="1"/>
      <c r="B908" s="1"/>
      <c r="C908" s="18"/>
      <c r="D908" s="47"/>
      <c r="E908" s="18"/>
      <c r="F908" s="18"/>
      <c r="G908" s="18"/>
      <c r="H908" s="18"/>
      <c r="I908" s="25"/>
      <c r="J908" s="18"/>
      <c r="K908" s="18"/>
      <c r="L908" s="18"/>
      <c r="M908" s="18"/>
      <c r="N908" s="18"/>
      <c r="O908" s="18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>
      <c r="A909" s="1"/>
      <c r="B909" s="1"/>
      <c r="C909" s="18"/>
      <c r="D909" s="47"/>
      <c r="E909" s="18"/>
      <c r="F909" s="18"/>
      <c r="G909" s="18"/>
      <c r="H909" s="18"/>
      <c r="I909" s="25"/>
      <c r="J909" s="18"/>
      <c r="K909" s="18"/>
      <c r="L909" s="18"/>
      <c r="M909" s="18"/>
      <c r="N909" s="18"/>
      <c r="O909" s="18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>
      <c r="A910" s="1"/>
      <c r="B910" s="1"/>
      <c r="C910" s="18"/>
      <c r="D910" s="47"/>
      <c r="E910" s="18"/>
      <c r="F910" s="18"/>
      <c r="G910" s="18"/>
      <c r="H910" s="18"/>
      <c r="I910" s="25"/>
      <c r="J910" s="18"/>
      <c r="K910" s="18"/>
      <c r="L910" s="18"/>
      <c r="M910" s="18"/>
      <c r="N910" s="18"/>
      <c r="O910" s="18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>
      <c r="A911" s="1"/>
      <c r="B911" s="1"/>
      <c r="C911" s="18"/>
      <c r="D911" s="47"/>
      <c r="E911" s="18"/>
      <c r="F911" s="18"/>
      <c r="G911" s="18"/>
      <c r="H911" s="18"/>
      <c r="I911" s="25"/>
      <c r="J911" s="18"/>
      <c r="K911" s="18"/>
      <c r="L911" s="18"/>
      <c r="M911" s="18"/>
      <c r="N911" s="18"/>
      <c r="O911" s="18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>
      <c r="A912" s="1"/>
      <c r="B912" s="1"/>
      <c r="C912" s="18"/>
      <c r="D912" s="47"/>
      <c r="E912" s="18"/>
      <c r="F912" s="18"/>
      <c r="G912" s="18"/>
      <c r="H912" s="18"/>
      <c r="I912" s="25"/>
      <c r="J912" s="18"/>
      <c r="K912" s="18"/>
      <c r="L912" s="18"/>
      <c r="M912" s="18"/>
      <c r="N912" s="18"/>
      <c r="O912" s="18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>
      <c r="A913" s="1"/>
      <c r="B913" s="1"/>
      <c r="C913" s="18"/>
      <c r="D913" s="47"/>
      <c r="E913" s="18"/>
      <c r="F913" s="18"/>
      <c r="G913" s="18"/>
      <c r="H913" s="18"/>
      <c r="I913" s="25"/>
      <c r="J913" s="18"/>
      <c r="K913" s="18"/>
      <c r="L913" s="18"/>
      <c r="M913" s="18"/>
      <c r="N913" s="18"/>
      <c r="O913" s="18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>
      <c r="A914" s="1"/>
      <c r="B914" s="1"/>
      <c r="C914" s="18"/>
      <c r="D914" s="47"/>
      <c r="E914" s="18"/>
      <c r="F914" s="18"/>
      <c r="G914" s="18"/>
      <c r="H914" s="18"/>
      <c r="I914" s="25"/>
      <c r="J914" s="18"/>
      <c r="K914" s="18"/>
      <c r="L914" s="18"/>
      <c r="M914" s="18"/>
      <c r="N914" s="18"/>
      <c r="O914" s="18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>
      <c r="A915" s="1"/>
      <c r="B915" s="1"/>
      <c r="C915" s="18"/>
      <c r="D915" s="47"/>
      <c r="E915" s="18"/>
      <c r="F915" s="18"/>
      <c r="G915" s="18"/>
      <c r="H915" s="18"/>
      <c r="I915" s="25"/>
      <c r="J915" s="18"/>
      <c r="K915" s="18"/>
      <c r="L915" s="18"/>
      <c r="M915" s="18"/>
      <c r="N915" s="18"/>
      <c r="O915" s="18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>
      <c r="A916" s="1"/>
      <c r="B916" s="1"/>
      <c r="C916" s="18"/>
      <c r="D916" s="47"/>
      <c r="E916" s="18"/>
      <c r="F916" s="18"/>
      <c r="G916" s="18"/>
      <c r="H916" s="18"/>
      <c r="I916" s="25"/>
      <c r="J916" s="18"/>
      <c r="K916" s="18"/>
      <c r="L916" s="18"/>
      <c r="M916" s="18"/>
      <c r="N916" s="18"/>
      <c r="O916" s="18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>
      <c r="A917" s="1"/>
      <c r="B917" s="1"/>
      <c r="C917" s="18"/>
      <c r="D917" s="47"/>
      <c r="E917" s="18"/>
      <c r="F917" s="18"/>
      <c r="G917" s="18"/>
      <c r="H917" s="18"/>
      <c r="I917" s="25"/>
      <c r="J917" s="18"/>
      <c r="K917" s="18"/>
      <c r="L917" s="18"/>
      <c r="M917" s="18"/>
      <c r="N917" s="18"/>
      <c r="O917" s="18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>
      <c r="A918" s="1"/>
      <c r="B918" s="1"/>
      <c r="C918" s="18"/>
      <c r="D918" s="47"/>
      <c r="E918" s="18"/>
      <c r="F918" s="18"/>
      <c r="G918" s="18"/>
      <c r="H918" s="18"/>
      <c r="I918" s="25"/>
      <c r="J918" s="18"/>
      <c r="K918" s="18"/>
      <c r="L918" s="18"/>
      <c r="M918" s="18"/>
      <c r="N918" s="18"/>
      <c r="O918" s="18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>
      <c r="A919" s="1"/>
      <c r="B919" s="1"/>
      <c r="C919" s="18"/>
      <c r="D919" s="47"/>
      <c r="E919" s="18"/>
      <c r="F919" s="18"/>
      <c r="G919" s="18"/>
      <c r="H919" s="18"/>
      <c r="I919" s="25"/>
      <c r="J919" s="18"/>
      <c r="K919" s="18"/>
      <c r="L919" s="18"/>
      <c r="M919" s="18"/>
      <c r="N919" s="18"/>
      <c r="O919" s="18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>
      <c r="A920" s="1"/>
      <c r="B920" s="1"/>
      <c r="C920" s="18"/>
      <c r="D920" s="47"/>
      <c r="E920" s="18"/>
      <c r="F920" s="18"/>
      <c r="G920" s="18"/>
      <c r="H920" s="18"/>
      <c r="I920" s="25"/>
      <c r="J920" s="18"/>
      <c r="K920" s="18"/>
      <c r="L920" s="18"/>
      <c r="M920" s="18"/>
      <c r="N920" s="18"/>
      <c r="O920" s="18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>
      <c r="A921" s="1"/>
      <c r="B921" s="1"/>
      <c r="C921" s="18"/>
      <c r="D921" s="47"/>
      <c r="E921" s="18"/>
      <c r="F921" s="18"/>
      <c r="G921" s="18"/>
      <c r="H921" s="18"/>
      <c r="I921" s="25"/>
      <c r="J921" s="18"/>
      <c r="K921" s="18"/>
      <c r="L921" s="18"/>
      <c r="M921" s="18"/>
      <c r="N921" s="18"/>
      <c r="O921" s="18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>
      <c r="A922" s="1"/>
      <c r="B922" s="1"/>
      <c r="C922" s="18"/>
      <c r="D922" s="47"/>
      <c r="E922" s="18"/>
      <c r="F922" s="18"/>
      <c r="G922" s="18"/>
      <c r="H922" s="18"/>
      <c r="I922" s="25"/>
      <c r="J922" s="18"/>
      <c r="K922" s="18"/>
      <c r="L922" s="18"/>
      <c r="M922" s="18"/>
      <c r="N922" s="18"/>
      <c r="O922" s="18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>
      <c r="A923" s="1"/>
      <c r="B923" s="1"/>
      <c r="C923" s="18"/>
      <c r="D923" s="47"/>
      <c r="E923" s="18"/>
      <c r="F923" s="18"/>
      <c r="G923" s="18"/>
      <c r="H923" s="18"/>
      <c r="I923" s="25"/>
      <c r="J923" s="18"/>
      <c r="K923" s="18"/>
      <c r="L923" s="18"/>
      <c r="M923" s="18"/>
      <c r="N923" s="18"/>
      <c r="O923" s="18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>
      <c r="A924" s="1"/>
      <c r="B924" s="1"/>
      <c r="C924" s="18"/>
      <c r="D924" s="47"/>
      <c r="E924" s="18"/>
      <c r="F924" s="18"/>
      <c r="G924" s="18"/>
      <c r="H924" s="18"/>
      <c r="I924" s="25"/>
      <c r="J924" s="18"/>
      <c r="K924" s="18"/>
      <c r="L924" s="18"/>
      <c r="M924" s="18"/>
      <c r="N924" s="18"/>
      <c r="O924" s="18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>
      <c r="A925" s="1"/>
      <c r="B925" s="1"/>
      <c r="C925" s="18"/>
      <c r="D925" s="47"/>
      <c r="E925" s="18"/>
      <c r="F925" s="18"/>
      <c r="G925" s="18"/>
      <c r="H925" s="18"/>
      <c r="I925" s="25"/>
      <c r="J925" s="18"/>
      <c r="K925" s="18"/>
      <c r="L925" s="18"/>
      <c r="M925" s="18"/>
      <c r="N925" s="18"/>
      <c r="O925" s="18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>
      <c r="A926" s="1"/>
      <c r="B926" s="1"/>
      <c r="C926" s="18"/>
      <c r="D926" s="47"/>
      <c r="E926" s="18"/>
      <c r="F926" s="18"/>
      <c r="G926" s="18"/>
      <c r="H926" s="18"/>
      <c r="I926" s="25"/>
      <c r="J926" s="18"/>
      <c r="K926" s="18"/>
      <c r="L926" s="18"/>
      <c r="M926" s="18"/>
      <c r="N926" s="18"/>
      <c r="O926" s="18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>
      <c r="A927" s="1"/>
      <c r="B927" s="1"/>
      <c r="C927" s="18"/>
      <c r="D927" s="47"/>
      <c r="E927" s="18"/>
      <c r="F927" s="18"/>
      <c r="G927" s="18"/>
      <c r="H927" s="18"/>
      <c r="I927" s="25"/>
      <c r="J927" s="18"/>
      <c r="K927" s="18"/>
      <c r="L927" s="18"/>
      <c r="M927" s="18"/>
      <c r="N927" s="18"/>
      <c r="O927" s="18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>
      <c r="A928" s="1"/>
      <c r="B928" s="1"/>
      <c r="C928" s="18"/>
      <c r="D928" s="47"/>
      <c r="E928" s="18"/>
      <c r="F928" s="18"/>
      <c r="G928" s="18"/>
      <c r="H928" s="18"/>
      <c r="I928" s="25"/>
      <c r="J928" s="18"/>
      <c r="K928" s="18"/>
      <c r="L928" s="18"/>
      <c r="M928" s="18"/>
      <c r="N928" s="18"/>
      <c r="O928" s="18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>
      <c r="A929" s="1"/>
      <c r="B929" s="1"/>
      <c r="C929" s="18"/>
      <c r="D929" s="47"/>
      <c r="E929" s="18"/>
      <c r="F929" s="18"/>
      <c r="G929" s="18"/>
      <c r="H929" s="18"/>
      <c r="I929" s="25"/>
      <c r="J929" s="18"/>
      <c r="K929" s="18"/>
      <c r="L929" s="18"/>
      <c r="M929" s="18"/>
      <c r="N929" s="18"/>
      <c r="O929" s="18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>
      <c r="A930" s="1"/>
      <c r="B930" s="1"/>
      <c r="C930" s="18"/>
      <c r="D930" s="47"/>
      <c r="E930" s="18"/>
      <c r="F930" s="18"/>
      <c r="G930" s="18"/>
      <c r="H930" s="18"/>
      <c r="I930" s="25"/>
      <c r="J930" s="18"/>
      <c r="K930" s="18"/>
      <c r="L930" s="18"/>
      <c r="M930" s="18"/>
      <c r="N930" s="18"/>
      <c r="O930" s="18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>
      <c r="A931" s="1"/>
      <c r="B931" s="1"/>
      <c r="C931" s="18"/>
      <c r="D931" s="47"/>
      <c r="E931" s="18"/>
      <c r="F931" s="18"/>
      <c r="G931" s="18"/>
      <c r="H931" s="18"/>
      <c r="I931" s="25"/>
      <c r="J931" s="18"/>
      <c r="K931" s="18"/>
      <c r="L931" s="18"/>
      <c r="M931" s="18"/>
      <c r="N931" s="18"/>
      <c r="O931" s="18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>
      <c r="A932" s="1"/>
      <c r="B932" s="1"/>
      <c r="C932" s="18"/>
      <c r="D932" s="47"/>
      <c r="E932" s="18"/>
      <c r="F932" s="18"/>
      <c r="G932" s="18"/>
      <c r="H932" s="18"/>
      <c r="I932" s="25"/>
      <c r="J932" s="18"/>
      <c r="K932" s="18"/>
      <c r="L932" s="18"/>
      <c r="M932" s="18"/>
      <c r="N932" s="18"/>
      <c r="O932" s="18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>
      <c r="A933" s="1"/>
      <c r="B933" s="1"/>
      <c r="C933" s="18"/>
      <c r="D933" s="47"/>
      <c r="E933" s="18"/>
      <c r="F933" s="18"/>
      <c r="G933" s="18"/>
      <c r="H933" s="18"/>
      <c r="I933" s="25"/>
      <c r="J933" s="18"/>
      <c r="K933" s="18"/>
      <c r="L933" s="18"/>
      <c r="M933" s="18"/>
      <c r="N933" s="18"/>
      <c r="O933" s="18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>
      <c r="A934" s="1"/>
      <c r="B934" s="1"/>
      <c r="C934" s="18"/>
      <c r="D934" s="47"/>
      <c r="E934" s="18"/>
      <c r="F934" s="18"/>
      <c r="G934" s="18"/>
      <c r="H934" s="18"/>
      <c r="I934" s="25"/>
      <c r="J934" s="18"/>
      <c r="K934" s="18"/>
      <c r="L934" s="18"/>
      <c r="M934" s="18"/>
      <c r="N934" s="18"/>
      <c r="O934" s="18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>
      <c r="A935" s="1"/>
      <c r="B935" s="1"/>
      <c r="C935" s="18"/>
      <c r="D935" s="47"/>
      <c r="E935" s="18"/>
      <c r="F935" s="18"/>
      <c r="G935" s="18"/>
      <c r="H935" s="18"/>
      <c r="I935" s="25"/>
      <c r="J935" s="18"/>
      <c r="K935" s="18"/>
      <c r="L935" s="18"/>
      <c r="M935" s="18"/>
      <c r="N935" s="18"/>
      <c r="O935" s="18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>
      <c r="A936" s="1"/>
      <c r="B936" s="1"/>
      <c r="C936" s="18"/>
      <c r="D936" s="47"/>
      <c r="E936" s="18"/>
      <c r="F936" s="18"/>
      <c r="G936" s="18"/>
      <c r="H936" s="18"/>
      <c r="I936" s="25"/>
      <c r="J936" s="18"/>
      <c r="K936" s="18"/>
      <c r="L936" s="18"/>
      <c r="M936" s="18"/>
      <c r="N936" s="18"/>
      <c r="O936" s="18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>
      <c r="A937" s="1"/>
      <c r="B937" s="1"/>
      <c r="C937" s="18"/>
      <c r="D937" s="47"/>
      <c r="E937" s="18"/>
      <c r="F937" s="18"/>
      <c r="G937" s="18"/>
      <c r="H937" s="18"/>
      <c r="I937" s="25"/>
      <c r="J937" s="18"/>
      <c r="K937" s="18"/>
      <c r="L937" s="18"/>
      <c r="M937" s="18"/>
      <c r="N937" s="18"/>
      <c r="O937" s="18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>
      <c r="A938" s="1"/>
      <c r="B938" s="1"/>
      <c r="C938" s="18"/>
      <c r="D938" s="47"/>
      <c r="E938" s="18"/>
      <c r="F938" s="18"/>
      <c r="G938" s="18"/>
      <c r="H938" s="18"/>
      <c r="I938" s="25"/>
      <c r="J938" s="18"/>
      <c r="K938" s="18"/>
      <c r="L938" s="18"/>
      <c r="M938" s="18"/>
      <c r="N938" s="18"/>
      <c r="O938" s="18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>
      <c r="A939" s="1"/>
      <c r="B939" s="1"/>
      <c r="C939" s="18"/>
      <c r="D939" s="47"/>
      <c r="E939" s="18"/>
      <c r="F939" s="18"/>
      <c r="G939" s="18"/>
      <c r="H939" s="18"/>
      <c r="I939" s="25"/>
      <c r="J939" s="18"/>
      <c r="K939" s="18"/>
      <c r="L939" s="18"/>
      <c r="M939" s="18"/>
      <c r="N939" s="18"/>
      <c r="O939" s="18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>
      <c r="A940" s="1"/>
      <c r="B940" s="1"/>
      <c r="C940" s="18"/>
      <c r="D940" s="47"/>
      <c r="E940" s="18"/>
      <c r="F940" s="18"/>
      <c r="G940" s="18"/>
      <c r="H940" s="18"/>
      <c r="I940" s="25"/>
      <c r="J940" s="18"/>
      <c r="K940" s="18"/>
      <c r="L940" s="18"/>
      <c r="M940" s="18"/>
      <c r="N940" s="18"/>
      <c r="O940" s="18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>
      <c r="A941" s="1"/>
      <c r="B941" s="1"/>
      <c r="C941" s="18"/>
      <c r="D941" s="47"/>
      <c r="E941" s="18"/>
      <c r="F941" s="18"/>
      <c r="G941" s="18"/>
      <c r="H941" s="18"/>
      <c r="I941" s="25"/>
      <c r="J941" s="18"/>
      <c r="K941" s="18"/>
      <c r="L941" s="18"/>
      <c r="M941" s="18"/>
      <c r="N941" s="18"/>
      <c r="O941" s="18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>
      <c r="A942" s="1"/>
      <c r="B942" s="1"/>
      <c r="C942" s="18"/>
      <c r="D942" s="47"/>
      <c r="E942" s="18"/>
      <c r="F942" s="18"/>
      <c r="G942" s="18"/>
      <c r="H942" s="18"/>
      <c r="I942" s="25"/>
      <c r="J942" s="18"/>
      <c r="K942" s="18"/>
      <c r="L942" s="18"/>
      <c r="M942" s="18"/>
      <c r="N942" s="18"/>
      <c r="O942" s="18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>
      <c r="A943" s="1"/>
      <c r="B943" s="1"/>
      <c r="C943" s="18"/>
      <c r="D943" s="47"/>
      <c r="E943" s="18"/>
      <c r="F943" s="18"/>
      <c r="G943" s="18"/>
      <c r="H943" s="18"/>
      <c r="I943" s="25"/>
      <c r="J943" s="18"/>
      <c r="K943" s="18"/>
      <c r="L943" s="18"/>
      <c r="M943" s="18"/>
      <c r="N943" s="18"/>
      <c r="O943" s="18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>
      <c r="A944" s="1"/>
      <c r="B944" s="1"/>
      <c r="C944" s="18"/>
      <c r="D944" s="47"/>
      <c r="E944" s="18"/>
      <c r="F944" s="18"/>
      <c r="G944" s="18"/>
      <c r="H944" s="18"/>
      <c r="I944" s="25"/>
      <c r="J944" s="18"/>
      <c r="K944" s="18"/>
      <c r="L944" s="18"/>
      <c r="M944" s="18"/>
      <c r="N944" s="18"/>
      <c r="O944" s="18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>
      <c r="A945" s="1"/>
      <c r="B945" s="1"/>
      <c r="C945" s="18"/>
      <c r="D945" s="47"/>
      <c r="E945" s="18"/>
      <c r="F945" s="18"/>
      <c r="G945" s="18"/>
      <c r="H945" s="18"/>
      <c r="I945" s="25"/>
      <c r="J945" s="18"/>
      <c r="K945" s="18"/>
      <c r="L945" s="18"/>
      <c r="M945" s="18"/>
      <c r="N945" s="18"/>
      <c r="O945" s="18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>
      <c r="A946" s="1"/>
      <c r="B946" s="1"/>
      <c r="C946" s="18"/>
      <c r="D946" s="47"/>
      <c r="E946" s="18"/>
      <c r="F946" s="18"/>
      <c r="G946" s="18"/>
      <c r="H946" s="18"/>
      <c r="I946" s="25"/>
      <c r="J946" s="18"/>
      <c r="K946" s="18"/>
      <c r="L946" s="18"/>
      <c r="M946" s="18"/>
      <c r="N946" s="18"/>
      <c r="O946" s="18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>
      <c r="A947" s="1"/>
      <c r="B947" s="1"/>
      <c r="C947" s="18"/>
      <c r="D947" s="47"/>
      <c r="E947" s="18"/>
      <c r="F947" s="18"/>
      <c r="G947" s="18"/>
      <c r="H947" s="18"/>
      <c r="I947" s="25"/>
      <c r="J947" s="18"/>
      <c r="K947" s="18"/>
      <c r="L947" s="18"/>
      <c r="M947" s="18"/>
      <c r="N947" s="18"/>
      <c r="O947" s="18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>
      <c r="A948" s="1"/>
      <c r="B948" s="1"/>
      <c r="C948" s="18"/>
      <c r="D948" s="47"/>
      <c r="E948" s="18"/>
      <c r="F948" s="18"/>
      <c r="G948" s="18"/>
      <c r="H948" s="18"/>
      <c r="I948" s="25"/>
      <c r="J948" s="18"/>
      <c r="K948" s="18"/>
      <c r="L948" s="18"/>
      <c r="M948" s="18"/>
      <c r="N948" s="18"/>
      <c r="O948" s="18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>
      <c r="A949" s="1"/>
      <c r="B949" s="1"/>
      <c r="C949" s="18"/>
      <c r="D949" s="47"/>
      <c r="E949" s="18"/>
      <c r="F949" s="18"/>
      <c r="G949" s="18"/>
      <c r="H949" s="18"/>
      <c r="I949" s="25"/>
      <c r="J949" s="18"/>
      <c r="K949" s="18"/>
      <c r="L949" s="18"/>
      <c r="M949" s="18"/>
      <c r="N949" s="18"/>
      <c r="O949" s="18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>
      <c r="A950" s="1"/>
      <c r="B950" s="1"/>
      <c r="C950" s="18"/>
      <c r="D950" s="47"/>
      <c r="E950" s="18"/>
      <c r="F950" s="18"/>
      <c r="G950" s="18"/>
      <c r="H950" s="18"/>
      <c r="I950" s="25"/>
      <c r="J950" s="18"/>
      <c r="K950" s="18"/>
      <c r="L950" s="18"/>
      <c r="M950" s="18"/>
      <c r="N950" s="18"/>
      <c r="O950" s="18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>
      <c r="A951" s="1"/>
      <c r="B951" s="1"/>
      <c r="C951" s="18"/>
      <c r="D951" s="47"/>
      <c r="E951" s="18"/>
      <c r="F951" s="18"/>
      <c r="G951" s="18"/>
      <c r="H951" s="18"/>
      <c r="I951" s="25"/>
      <c r="J951" s="18"/>
      <c r="K951" s="18"/>
      <c r="L951" s="18"/>
      <c r="M951" s="18"/>
      <c r="N951" s="18"/>
      <c r="O951" s="18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>
      <c r="A952" s="1"/>
      <c r="B952" s="1"/>
      <c r="C952" s="18"/>
      <c r="D952" s="47"/>
      <c r="E952" s="18"/>
      <c r="F952" s="18"/>
      <c r="G952" s="18"/>
      <c r="H952" s="18"/>
      <c r="I952" s="25"/>
      <c r="J952" s="18"/>
      <c r="K952" s="18"/>
      <c r="L952" s="18"/>
      <c r="M952" s="18"/>
      <c r="N952" s="18"/>
      <c r="O952" s="18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>
      <c r="A953" s="1"/>
      <c r="B953" s="1"/>
      <c r="C953" s="18"/>
      <c r="D953" s="47"/>
      <c r="E953" s="18"/>
      <c r="F953" s="18"/>
      <c r="G953" s="18"/>
      <c r="H953" s="18"/>
      <c r="I953" s="25"/>
      <c r="J953" s="18"/>
      <c r="K953" s="18"/>
      <c r="L953" s="18"/>
      <c r="M953" s="18"/>
      <c r="N953" s="18"/>
      <c r="O953" s="18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>
      <c r="A954" s="1"/>
      <c r="B954" s="1"/>
      <c r="C954" s="18"/>
      <c r="D954" s="47"/>
      <c r="E954" s="18"/>
      <c r="F954" s="18"/>
      <c r="G954" s="18"/>
      <c r="H954" s="18"/>
      <c r="I954" s="25"/>
      <c r="J954" s="18"/>
      <c r="K954" s="18"/>
      <c r="L954" s="18"/>
      <c r="M954" s="18"/>
      <c r="N954" s="18"/>
      <c r="O954" s="18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>
      <c r="A955" s="1"/>
      <c r="B955" s="1"/>
      <c r="C955" s="18"/>
      <c r="D955" s="47"/>
      <c r="E955" s="18"/>
      <c r="F955" s="18"/>
      <c r="G955" s="18"/>
      <c r="H955" s="18"/>
      <c r="I955" s="25"/>
      <c r="J955" s="18"/>
      <c r="K955" s="18"/>
      <c r="L955" s="18"/>
      <c r="M955" s="18"/>
      <c r="N955" s="18"/>
      <c r="O955" s="18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>
      <c r="A956" s="1"/>
      <c r="B956" s="1"/>
      <c r="C956" s="18"/>
      <c r="D956" s="47"/>
      <c r="E956" s="18"/>
      <c r="F956" s="18"/>
      <c r="G956" s="18"/>
      <c r="H956" s="18"/>
      <c r="I956" s="25"/>
      <c r="J956" s="18"/>
      <c r="K956" s="18"/>
      <c r="L956" s="18"/>
      <c r="M956" s="18"/>
      <c r="N956" s="18"/>
      <c r="O956" s="18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>
      <c r="A957" s="1"/>
      <c r="B957" s="1"/>
      <c r="C957" s="18"/>
      <c r="D957" s="47"/>
      <c r="E957" s="18"/>
      <c r="F957" s="18"/>
      <c r="G957" s="18"/>
      <c r="H957" s="18"/>
      <c r="I957" s="25"/>
      <c r="J957" s="18"/>
      <c r="K957" s="18"/>
      <c r="L957" s="18"/>
      <c r="M957" s="18"/>
      <c r="N957" s="18"/>
      <c r="O957" s="18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>
      <c r="A958" s="1"/>
      <c r="B958" s="1"/>
      <c r="C958" s="18"/>
      <c r="D958" s="47"/>
      <c r="E958" s="18"/>
      <c r="F958" s="18"/>
      <c r="G958" s="18"/>
      <c r="H958" s="18"/>
      <c r="I958" s="25"/>
      <c r="J958" s="18"/>
      <c r="K958" s="18"/>
      <c r="L958" s="18"/>
      <c r="M958" s="18"/>
      <c r="N958" s="18"/>
      <c r="O958" s="18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>
      <c r="A959" s="1"/>
      <c r="B959" s="1"/>
      <c r="C959" s="18"/>
      <c r="D959" s="47"/>
      <c r="E959" s="18"/>
      <c r="F959" s="18"/>
      <c r="G959" s="18"/>
      <c r="H959" s="18"/>
      <c r="I959" s="25"/>
      <c r="J959" s="18"/>
      <c r="K959" s="18"/>
      <c r="L959" s="18"/>
      <c r="M959" s="18"/>
      <c r="N959" s="18"/>
      <c r="O959" s="18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>
      <c r="A960" s="1"/>
      <c r="B960" s="1"/>
      <c r="C960" s="18"/>
      <c r="D960" s="47"/>
      <c r="E960" s="18"/>
      <c r="F960" s="18"/>
      <c r="G960" s="18"/>
      <c r="H960" s="18"/>
      <c r="I960" s="25"/>
      <c r="J960" s="18"/>
      <c r="K960" s="18"/>
      <c r="L960" s="18"/>
      <c r="M960" s="18"/>
      <c r="N960" s="18"/>
      <c r="O960" s="18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>
      <c r="A961" s="1"/>
      <c r="B961" s="1"/>
      <c r="C961" s="18"/>
      <c r="D961" s="47"/>
      <c r="E961" s="18"/>
      <c r="F961" s="18"/>
      <c r="G961" s="18"/>
      <c r="H961" s="18"/>
      <c r="I961" s="25"/>
      <c r="J961" s="18"/>
      <c r="K961" s="18"/>
      <c r="L961" s="18"/>
      <c r="M961" s="18"/>
      <c r="N961" s="18"/>
      <c r="O961" s="18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>
      <c r="A962" s="1"/>
      <c r="B962" s="1"/>
      <c r="C962" s="18"/>
      <c r="D962" s="47"/>
      <c r="E962" s="18"/>
      <c r="F962" s="18"/>
      <c r="G962" s="18"/>
      <c r="H962" s="18"/>
      <c r="I962" s="25"/>
      <c r="J962" s="18"/>
      <c r="K962" s="18"/>
      <c r="L962" s="18"/>
      <c r="M962" s="18"/>
      <c r="N962" s="18"/>
      <c r="O962" s="18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>
      <c r="A963" s="1"/>
      <c r="B963" s="1"/>
      <c r="C963" s="18"/>
      <c r="D963" s="47"/>
      <c r="E963" s="18"/>
      <c r="F963" s="18"/>
      <c r="G963" s="18"/>
      <c r="H963" s="18"/>
      <c r="I963" s="25"/>
      <c r="J963" s="18"/>
      <c r="K963" s="18"/>
      <c r="L963" s="18"/>
      <c r="M963" s="18"/>
      <c r="N963" s="18"/>
      <c r="O963" s="18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>
      <c r="A964" s="1"/>
      <c r="B964" s="1"/>
      <c r="C964" s="18"/>
      <c r="D964" s="47"/>
      <c r="E964" s="18"/>
      <c r="F964" s="18"/>
      <c r="G964" s="18"/>
      <c r="H964" s="18"/>
      <c r="I964" s="25"/>
      <c r="J964" s="18"/>
      <c r="K964" s="18"/>
      <c r="L964" s="18"/>
      <c r="M964" s="18"/>
      <c r="N964" s="18"/>
      <c r="O964" s="18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>
      <c r="A965" s="1"/>
      <c r="B965" s="1"/>
      <c r="C965" s="18"/>
      <c r="D965" s="47"/>
      <c r="E965" s="18"/>
      <c r="F965" s="18"/>
      <c r="G965" s="18"/>
      <c r="H965" s="18"/>
      <c r="I965" s="25"/>
      <c r="J965" s="18"/>
      <c r="K965" s="18"/>
      <c r="L965" s="18"/>
      <c r="M965" s="18"/>
      <c r="N965" s="18"/>
      <c r="O965" s="18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>
      <c r="A966" s="1"/>
      <c r="B966" s="1"/>
      <c r="C966" s="18"/>
      <c r="D966" s="47"/>
      <c r="E966" s="18"/>
      <c r="F966" s="18"/>
      <c r="G966" s="18"/>
      <c r="H966" s="18"/>
      <c r="I966" s="25"/>
      <c r="J966" s="18"/>
      <c r="K966" s="18"/>
      <c r="L966" s="18"/>
      <c r="M966" s="18"/>
      <c r="N966" s="18"/>
      <c r="O966" s="18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>
      <c r="A967" s="1"/>
      <c r="B967" s="1"/>
      <c r="C967" s="18"/>
      <c r="D967" s="47"/>
      <c r="E967" s="18"/>
      <c r="F967" s="18"/>
      <c r="G967" s="18"/>
      <c r="H967" s="18"/>
      <c r="I967" s="25"/>
      <c r="J967" s="18"/>
      <c r="K967" s="18"/>
      <c r="L967" s="18"/>
      <c r="M967" s="18"/>
      <c r="N967" s="18"/>
      <c r="O967" s="18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>
      <c r="A968" s="1"/>
      <c r="B968" s="1"/>
      <c r="C968" s="18"/>
      <c r="D968" s="47"/>
      <c r="E968" s="18"/>
      <c r="F968" s="18"/>
      <c r="G968" s="18"/>
      <c r="H968" s="18"/>
      <c r="I968" s="25"/>
      <c r="J968" s="18"/>
      <c r="K968" s="18"/>
      <c r="L968" s="18"/>
      <c r="M968" s="18"/>
      <c r="N968" s="18"/>
      <c r="O968" s="18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>
      <c r="A969" s="1"/>
      <c r="B969" s="1"/>
      <c r="C969" s="18"/>
      <c r="D969" s="47"/>
      <c r="E969" s="18"/>
      <c r="F969" s="18"/>
      <c r="G969" s="18"/>
      <c r="H969" s="18"/>
      <c r="I969" s="25"/>
      <c r="J969" s="18"/>
      <c r="K969" s="18"/>
      <c r="L969" s="18"/>
      <c r="M969" s="18"/>
      <c r="N969" s="18"/>
      <c r="O969" s="18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>
      <c r="A970" s="1"/>
      <c r="B970" s="1"/>
      <c r="C970" s="18"/>
      <c r="D970" s="47"/>
      <c r="E970" s="18"/>
      <c r="F970" s="18"/>
      <c r="G970" s="18"/>
      <c r="H970" s="18"/>
      <c r="I970" s="25"/>
      <c r="J970" s="18"/>
      <c r="K970" s="18"/>
      <c r="L970" s="18"/>
      <c r="M970" s="18"/>
      <c r="N970" s="18"/>
      <c r="O970" s="18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>
      <c r="A971" s="1"/>
      <c r="B971" s="1"/>
      <c r="C971" s="18"/>
      <c r="D971" s="47"/>
      <c r="E971" s="18"/>
      <c r="F971" s="18"/>
      <c r="G971" s="18"/>
      <c r="H971" s="18"/>
      <c r="I971" s="25"/>
      <c r="J971" s="18"/>
      <c r="K971" s="18"/>
      <c r="L971" s="18"/>
      <c r="M971" s="18"/>
      <c r="N971" s="18"/>
      <c r="O971" s="18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>
      <c r="A972" s="1"/>
      <c r="B972" s="1"/>
      <c r="C972" s="18"/>
      <c r="D972" s="47"/>
      <c r="E972" s="18"/>
      <c r="F972" s="18"/>
      <c r="G972" s="18"/>
      <c r="H972" s="18"/>
      <c r="I972" s="25"/>
      <c r="J972" s="18"/>
      <c r="K972" s="18"/>
      <c r="L972" s="18"/>
      <c r="M972" s="18"/>
      <c r="N972" s="18"/>
      <c r="O972" s="18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>
      <c r="A973" s="1"/>
      <c r="B973" s="1"/>
      <c r="C973" s="18"/>
      <c r="D973" s="47"/>
      <c r="E973" s="18"/>
      <c r="F973" s="18"/>
      <c r="G973" s="18"/>
      <c r="H973" s="18"/>
      <c r="I973" s="25"/>
      <c r="J973" s="18"/>
      <c r="K973" s="18"/>
      <c r="L973" s="18"/>
      <c r="M973" s="18"/>
      <c r="N973" s="18"/>
      <c r="O973" s="18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>
      <c r="A974" s="1"/>
      <c r="B974" s="1"/>
      <c r="C974" s="18"/>
      <c r="D974" s="47"/>
      <c r="E974" s="18"/>
      <c r="F974" s="18"/>
      <c r="G974" s="18"/>
      <c r="H974" s="18"/>
      <c r="I974" s="25"/>
      <c r="J974" s="18"/>
      <c r="K974" s="18"/>
      <c r="L974" s="18"/>
      <c r="M974" s="18"/>
      <c r="N974" s="18"/>
      <c r="O974" s="18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>
      <c r="A975" s="1"/>
      <c r="B975" s="1"/>
      <c r="C975" s="18"/>
      <c r="D975" s="47"/>
      <c r="E975" s="18"/>
      <c r="F975" s="18"/>
      <c r="G975" s="18"/>
      <c r="H975" s="18"/>
      <c r="I975" s="25"/>
      <c r="J975" s="18"/>
      <c r="K975" s="18"/>
      <c r="L975" s="18"/>
      <c r="M975" s="18"/>
      <c r="N975" s="18"/>
      <c r="O975" s="18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>
      <c r="A976" s="1"/>
      <c r="B976" s="1"/>
      <c r="C976" s="18"/>
      <c r="D976" s="47"/>
      <c r="E976" s="18"/>
      <c r="F976" s="18"/>
      <c r="G976" s="18"/>
      <c r="H976" s="18"/>
      <c r="I976" s="25"/>
      <c r="J976" s="18"/>
      <c r="K976" s="18"/>
      <c r="L976" s="18"/>
      <c r="M976" s="18"/>
      <c r="N976" s="18"/>
      <c r="O976" s="18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>
      <c r="A977" s="1"/>
      <c r="B977" s="1"/>
      <c r="C977" s="18"/>
      <c r="D977" s="47"/>
      <c r="E977" s="18"/>
      <c r="F977" s="18"/>
      <c r="G977" s="18"/>
      <c r="H977" s="18"/>
      <c r="I977" s="25"/>
      <c r="J977" s="18"/>
      <c r="K977" s="18"/>
      <c r="L977" s="18"/>
      <c r="M977" s="18"/>
      <c r="N977" s="18"/>
      <c r="O977" s="18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>
      <c r="A978" s="1"/>
      <c r="B978" s="1"/>
      <c r="C978" s="18"/>
      <c r="D978" s="47"/>
      <c r="E978" s="18"/>
      <c r="F978" s="18"/>
      <c r="G978" s="18"/>
      <c r="H978" s="18"/>
      <c r="I978" s="25"/>
      <c r="J978" s="18"/>
      <c r="K978" s="18"/>
      <c r="L978" s="18"/>
      <c r="M978" s="18"/>
      <c r="N978" s="18"/>
      <c r="O978" s="18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>
      <c r="A979" s="1"/>
      <c r="B979" s="1"/>
      <c r="C979" s="18"/>
      <c r="D979" s="47"/>
      <c r="E979" s="18"/>
      <c r="F979" s="18"/>
      <c r="G979" s="18"/>
      <c r="H979" s="18"/>
      <c r="I979" s="25"/>
      <c r="J979" s="18"/>
      <c r="K979" s="18"/>
      <c r="L979" s="18"/>
      <c r="M979" s="18"/>
      <c r="N979" s="18"/>
      <c r="O979" s="18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>
      <c r="A980" s="1"/>
      <c r="B980" s="1"/>
      <c r="C980" s="18"/>
      <c r="D980" s="47"/>
      <c r="E980" s="18"/>
      <c r="F980" s="18"/>
      <c r="G980" s="18"/>
      <c r="H980" s="18"/>
      <c r="I980" s="25"/>
      <c r="J980" s="18"/>
      <c r="K980" s="18"/>
      <c r="L980" s="18"/>
      <c r="M980" s="18"/>
      <c r="N980" s="18"/>
      <c r="O980" s="18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>
      <c r="A981" s="1"/>
      <c r="B981" s="1"/>
      <c r="C981" s="18"/>
      <c r="D981" s="47"/>
      <c r="E981" s="18"/>
      <c r="F981" s="18"/>
      <c r="G981" s="18"/>
      <c r="H981" s="18"/>
      <c r="I981" s="25"/>
      <c r="J981" s="18"/>
      <c r="K981" s="18"/>
      <c r="L981" s="18"/>
      <c r="M981" s="18"/>
      <c r="N981" s="18"/>
      <c r="O981" s="18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>
      <c r="A982" s="1"/>
      <c r="B982" s="1"/>
      <c r="C982" s="18"/>
      <c r="D982" s="47"/>
      <c r="E982" s="18"/>
      <c r="F982" s="18"/>
      <c r="G982" s="18"/>
      <c r="H982" s="18"/>
      <c r="I982" s="25"/>
      <c r="J982" s="18"/>
      <c r="K982" s="18"/>
      <c r="L982" s="18"/>
      <c r="M982" s="18"/>
      <c r="N982" s="18"/>
      <c r="O982" s="18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>
      <c r="A983" s="1"/>
      <c r="B983" s="1"/>
      <c r="C983" s="18"/>
      <c r="D983" s="47"/>
      <c r="E983" s="18"/>
      <c r="F983" s="18"/>
      <c r="G983" s="18"/>
      <c r="H983" s="18"/>
      <c r="I983" s="25"/>
      <c r="J983" s="18"/>
      <c r="K983" s="18"/>
      <c r="L983" s="18"/>
      <c r="M983" s="18"/>
      <c r="N983" s="18"/>
      <c r="O983" s="18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>
      <c r="A984" s="1"/>
      <c r="B984" s="1"/>
      <c r="C984" s="18"/>
      <c r="D984" s="47"/>
      <c r="E984" s="18"/>
      <c r="F984" s="18"/>
      <c r="G984" s="18"/>
      <c r="H984" s="18"/>
      <c r="I984" s="25"/>
      <c r="J984" s="18"/>
      <c r="K984" s="18"/>
      <c r="L984" s="18"/>
      <c r="M984" s="18"/>
      <c r="N984" s="18"/>
      <c r="O984" s="18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>
      <c r="A985" s="1"/>
      <c r="B985" s="1"/>
      <c r="C985" s="18"/>
      <c r="D985" s="47"/>
      <c r="E985" s="18"/>
      <c r="F985" s="18"/>
      <c r="G985" s="18"/>
      <c r="H985" s="18"/>
      <c r="I985" s="25"/>
      <c r="J985" s="18"/>
      <c r="K985" s="18"/>
      <c r="L985" s="18"/>
      <c r="M985" s="18"/>
      <c r="N985" s="18"/>
      <c r="O985" s="18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>
      <c r="A986" s="1"/>
      <c r="B986" s="1"/>
      <c r="C986" s="18"/>
      <c r="D986" s="47"/>
      <c r="E986" s="18"/>
      <c r="F986" s="18"/>
      <c r="G986" s="18"/>
      <c r="H986" s="18"/>
      <c r="I986" s="25"/>
      <c r="J986" s="18"/>
      <c r="K986" s="18"/>
      <c r="L986" s="18"/>
      <c r="M986" s="18"/>
      <c r="N986" s="18"/>
      <c r="O986" s="18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>
      <c r="A987" s="1"/>
      <c r="B987" s="1"/>
      <c r="C987" s="18"/>
      <c r="D987" s="47"/>
      <c r="E987" s="18"/>
      <c r="F987" s="18"/>
      <c r="G987" s="18"/>
      <c r="H987" s="18"/>
      <c r="I987" s="25"/>
      <c r="J987" s="18"/>
      <c r="K987" s="18"/>
      <c r="L987" s="18"/>
      <c r="M987" s="18"/>
      <c r="N987" s="18"/>
      <c r="O987" s="18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>
      <c r="A988" s="1"/>
      <c r="B988" s="1"/>
      <c r="C988" s="18"/>
      <c r="D988" s="47"/>
      <c r="E988" s="18"/>
      <c r="F988" s="18"/>
      <c r="G988" s="18"/>
      <c r="H988" s="18"/>
      <c r="I988" s="25"/>
      <c r="J988" s="18"/>
      <c r="K988" s="18"/>
      <c r="L988" s="18"/>
      <c r="M988" s="18"/>
      <c r="N988" s="18"/>
      <c r="O988" s="18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>
      <c r="A989" s="1"/>
      <c r="B989" s="1"/>
      <c r="C989" s="18"/>
      <c r="D989" s="47"/>
      <c r="E989" s="18"/>
      <c r="F989" s="18"/>
      <c r="G989" s="18"/>
      <c r="H989" s="18"/>
      <c r="I989" s="25"/>
      <c r="J989" s="18"/>
      <c r="K989" s="18"/>
      <c r="L989" s="18"/>
      <c r="M989" s="18"/>
      <c r="N989" s="18"/>
      <c r="O989" s="18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>
      <c r="A990" s="1"/>
      <c r="B990" s="1"/>
      <c r="C990" s="18"/>
      <c r="D990" s="47"/>
      <c r="E990" s="18"/>
      <c r="F990" s="18"/>
      <c r="G990" s="18"/>
      <c r="H990" s="18"/>
      <c r="I990" s="25"/>
      <c r="J990" s="18"/>
      <c r="K990" s="18"/>
      <c r="L990" s="18"/>
      <c r="M990" s="18"/>
      <c r="N990" s="18"/>
      <c r="O990" s="18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>
      <c r="A991" s="1"/>
      <c r="B991" s="1"/>
      <c r="C991" s="18"/>
      <c r="D991" s="47"/>
      <c r="E991" s="18"/>
      <c r="F991" s="18"/>
      <c r="G991" s="18"/>
      <c r="H991" s="18"/>
      <c r="I991" s="25"/>
      <c r="J991" s="18"/>
      <c r="K991" s="18"/>
      <c r="L991" s="18"/>
      <c r="M991" s="18"/>
      <c r="N991" s="18"/>
      <c r="O991" s="18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>
      <c r="A992" s="1"/>
      <c r="B992" s="1"/>
      <c r="C992" s="18"/>
      <c r="D992" s="47"/>
      <c r="E992" s="18"/>
      <c r="F992" s="18"/>
      <c r="G992" s="18"/>
      <c r="H992" s="18"/>
      <c r="I992" s="25"/>
      <c r="J992" s="18"/>
      <c r="K992" s="18"/>
      <c r="L992" s="18"/>
      <c r="M992" s="18"/>
      <c r="N992" s="18"/>
      <c r="O992" s="18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>
      <c r="A993" s="1"/>
      <c r="B993" s="1"/>
      <c r="C993" s="18"/>
      <c r="D993" s="47"/>
      <c r="E993" s="18"/>
      <c r="F993" s="18"/>
      <c r="G993" s="18"/>
      <c r="H993" s="18"/>
      <c r="I993" s="25"/>
      <c r="J993" s="18"/>
      <c r="K993" s="18"/>
      <c r="L993" s="18"/>
      <c r="M993" s="18"/>
      <c r="N993" s="18"/>
      <c r="O993" s="18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>
      <c r="A994" s="1"/>
      <c r="B994" s="1"/>
      <c r="C994" s="18"/>
      <c r="D994" s="47"/>
      <c r="E994" s="18"/>
      <c r="F994" s="18"/>
      <c r="G994" s="18"/>
      <c r="H994" s="18"/>
      <c r="I994" s="25"/>
      <c r="J994" s="18"/>
      <c r="K994" s="18"/>
      <c r="L994" s="18"/>
      <c r="M994" s="18"/>
      <c r="N994" s="18"/>
      <c r="O994" s="18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>
      <c r="A995" s="1"/>
      <c r="B995" s="1"/>
      <c r="C995" s="18"/>
      <c r="D995" s="47"/>
      <c r="E995" s="18"/>
      <c r="F995" s="18"/>
      <c r="G995" s="18"/>
      <c r="H995" s="18"/>
      <c r="I995" s="25"/>
      <c r="J995" s="18"/>
      <c r="K995" s="18"/>
      <c r="L995" s="18"/>
      <c r="M995" s="18"/>
      <c r="N995" s="18"/>
      <c r="O995" s="18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>
      <c r="A996" s="1"/>
      <c r="B996" s="1"/>
      <c r="C996" s="18"/>
      <c r="D996" s="47"/>
      <c r="E996" s="18"/>
      <c r="F996" s="18"/>
      <c r="G996" s="18"/>
      <c r="H996" s="18"/>
      <c r="I996" s="25"/>
      <c r="J996" s="18"/>
      <c r="K996" s="18"/>
      <c r="L996" s="18"/>
      <c r="M996" s="18"/>
      <c r="N996" s="18"/>
      <c r="O996" s="18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</sheetData>
  <conditionalFormatting sqref="F1:F996">
    <cfRule type="containsText" dxfId="0" priority="1" operator="containsText" text="Propulsion">
      <formula>NOT(ISERROR(SEARCH(("Propulsion"),(F1))))</formula>
    </cfRule>
  </conditionalFormatting>
  <conditionalFormatting sqref="F1:F996">
    <cfRule type="containsText" dxfId="1" priority="2" operator="containsText" text="Avionics">
      <formula>NOT(ISERROR(SEARCH(("Avionics"),(F1))))</formula>
    </cfRule>
  </conditionalFormatting>
  <conditionalFormatting sqref="F1:F996">
    <cfRule type="containsText" dxfId="2" priority="3" operator="containsText" text="Structures">
      <formula>NOT(ISERROR(SEARCH(("Structures"),(F1))))</formula>
    </cfRule>
  </conditionalFormatting>
  <conditionalFormatting sqref="F1:F996">
    <cfRule type="containsText" dxfId="3" priority="4" operator="containsText" text="Systems">
      <formula>NOT(ISERROR(SEARCH(("Systems"),(F1))))</formula>
    </cfRule>
  </conditionalFormatting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4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0"/>
    <col customWidth="1" hidden="1" min="2" max="2" width="8.0"/>
    <col customWidth="1" min="3" max="3" width="17.29"/>
    <col customWidth="1" min="4" max="4" width="11.29"/>
    <col customWidth="1" min="5" max="5" width="18.29"/>
    <col customWidth="1" min="6" max="6" width="15.14"/>
    <col customWidth="1" min="7" max="7" width="16.71"/>
    <col customWidth="1" min="8" max="8" width="15.71"/>
    <col customWidth="1" min="9" max="9" width="16.14"/>
    <col customWidth="1" min="10" max="10" width="12.0"/>
    <col customWidth="1" min="11" max="11" width="8.29"/>
    <col customWidth="1" min="12" max="12" width="18.57"/>
    <col customWidth="1" min="13" max="13" width="15.86"/>
    <col customWidth="1" min="14" max="14" width="11.14"/>
  </cols>
  <sheetData>
    <row r="1">
      <c r="A1" s="1"/>
      <c r="B1" s="2">
        <v>11000.0</v>
      </c>
      <c r="C1" s="3" t="s">
        <v>0</v>
      </c>
      <c r="D1" s="4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5" t="s">
        <v>6</v>
      </c>
      <c r="J1" s="3" t="s">
        <v>7</v>
      </c>
      <c r="K1" s="3" t="s">
        <v>8</v>
      </c>
      <c r="L1" s="6" t="s">
        <v>9</v>
      </c>
      <c r="M1" s="6" t="s">
        <v>10</v>
      </c>
      <c r="N1" s="6" t="s">
        <v>11</v>
      </c>
      <c r="O1" s="3" t="s">
        <v>12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ht="17.25" customHeight="1">
      <c r="A2" s="7"/>
      <c r="B2" s="8" t="s">
        <v>13</v>
      </c>
      <c r="C2" s="9">
        <f t="shared" ref="C2:C248" si="1">B2+$B$1</f>
        <v>11001</v>
      </c>
      <c r="D2" s="10" t="s">
        <v>14</v>
      </c>
      <c r="E2" s="11" t="s">
        <v>15</v>
      </c>
      <c r="F2" s="2" t="s">
        <v>16</v>
      </c>
      <c r="G2" s="2" t="s">
        <v>17</v>
      </c>
      <c r="H2" s="2" t="s">
        <v>18</v>
      </c>
      <c r="I2" s="12" t="s">
        <v>19</v>
      </c>
      <c r="J2" s="2" t="s">
        <v>20</v>
      </c>
      <c r="K2" s="2" t="s">
        <v>21</v>
      </c>
      <c r="L2" s="14" t="s">
        <v>22</v>
      </c>
      <c r="M2" s="16">
        <v>43356.0</v>
      </c>
      <c r="N2" s="17" t="s">
        <v>31</v>
      </c>
      <c r="O2" s="2" t="s">
        <v>33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>
      <c r="A3" s="7"/>
      <c r="B3" s="8" t="s">
        <v>34</v>
      </c>
      <c r="C3" s="9">
        <f t="shared" si="1"/>
        <v>11002</v>
      </c>
      <c r="D3" s="10"/>
      <c r="E3" s="11"/>
      <c r="F3" s="2"/>
      <c r="G3" s="2"/>
      <c r="H3" s="2"/>
      <c r="I3" s="12"/>
      <c r="J3" s="2"/>
      <c r="K3" s="2"/>
      <c r="L3" s="14"/>
      <c r="M3" s="15"/>
      <c r="N3" s="14"/>
      <c r="O3" s="1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>
      <c r="A4" s="7"/>
      <c r="B4" s="8" t="s">
        <v>40</v>
      </c>
      <c r="C4" s="9">
        <f t="shared" si="1"/>
        <v>11003</v>
      </c>
      <c r="D4" s="10"/>
      <c r="E4" s="11"/>
      <c r="F4" s="2"/>
      <c r="G4" s="2"/>
      <c r="H4" s="2"/>
      <c r="I4" s="12"/>
      <c r="J4" s="2"/>
      <c r="K4" s="2"/>
      <c r="L4" s="14"/>
      <c r="M4" s="15"/>
      <c r="N4" s="14"/>
      <c r="O4" s="18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>
      <c r="A5" s="7"/>
      <c r="B5" s="8" t="s">
        <v>41</v>
      </c>
      <c r="C5" s="9">
        <f t="shared" si="1"/>
        <v>11004</v>
      </c>
      <c r="D5" s="10"/>
      <c r="E5" s="11"/>
      <c r="F5" s="2"/>
      <c r="G5" s="2"/>
      <c r="H5" s="2"/>
      <c r="I5" s="12"/>
      <c r="J5" s="2"/>
      <c r="K5" s="2"/>
      <c r="L5" s="14"/>
      <c r="M5" s="15"/>
      <c r="N5" s="14"/>
      <c r="O5" s="18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>
      <c r="A6" s="7"/>
      <c r="B6" s="8" t="s">
        <v>42</v>
      </c>
      <c r="C6" s="9">
        <f t="shared" si="1"/>
        <v>11005</v>
      </c>
      <c r="D6" s="10"/>
      <c r="E6" s="11"/>
      <c r="F6" s="2"/>
      <c r="G6" s="2"/>
      <c r="H6" s="2"/>
      <c r="I6" s="12"/>
      <c r="J6" s="2"/>
      <c r="K6" s="2"/>
      <c r="L6" s="14"/>
      <c r="M6" s="15"/>
      <c r="N6" s="14"/>
      <c r="O6" s="18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>
      <c r="A7" s="7"/>
      <c r="B7" s="8" t="s">
        <v>46</v>
      </c>
      <c r="C7" s="9">
        <f t="shared" si="1"/>
        <v>11006</v>
      </c>
      <c r="D7" s="10"/>
      <c r="E7" s="11"/>
      <c r="F7" s="2"/>
      <c r="G7" s="2"/>
      <c r="H7" s="2"/>
      <c r="I7" s="12"/>
      <c r="J7" s="2"/>
      <c r="K7" s="2"/>
      <c r="L7" s="14"/>
      <c r="M7" s="15"/>
      <c r="N7" s="14"/>
      <c r="O7" s="18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>
      <c r="A8" s="7"/>
      <c r="B8" s="8" t="s">
        <v>49</v>
      </c>
      <c r="C8" s="9">
        <f t="shared" si="1"/>
        <v>11007</v>
      </c>
      <c r="D8" s="10"/>
      <c r="E8" s="11"/>
      <c r="F8" s="2"/>
      <c r="G8" s="2"/>
      <c r="H8" s="2"/>
      <c r="I8" s="12"/>
      <c r="J8" s="2"/>
      <c r="K8" s="2"/>
      <c r="L8" s="14"/>
      <c r="M8" s="15"/>
      <c r="N8" s="14"/>
      <c r="O8" s="18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>
      <c r="A9" s="7"/>
      <c r="B9" s="8" t="s">
        <v>50</v>
      </c>
      <c r="C9" s="9">
        <f t="shared" si="1"/>
        <v>11008</v>
      </c>
      <c r="D9" s="10"/>
      <c r="E9" s="11"/>
      <c r="F9" s="2"/>
      <c r="G9" s="2"/>
      <c r="H9" s="2"/>
      <c r="I9" s="12"/>
      <c r="J9" s="2"/>
      <c r="K9" s="2"/>
      <c r="L9" s="14"/>
      <c r="M9" s="15"/>
      <c r="N9" s="14"/>
      <c r="O9" s="18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>
      <c r="A10" s="7"/>
      <c r="B10" s="8" t="s">
        <v>53</v>
      </c>
      <c r="C10" s="9">
        <f t="shared" si="1"/>
        <v>11009</v>
      </c>
      <c r="D10" s="10"/>
      <c r="E10" s="11"/>
      <c r="F10" s="2"/>
      <c r="G10" s="2"/>
      <c r="H10" s="2"/>
      <c r="I10" s="12"/>
      <c r="J10" s="2"/>
      <c r="K10" s="2"/>
      <c r="L10" s="14"/>
      <c r="M10" s="15"/>
      <c r="N10" s="14"/>
      <c r="O10" s="1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>
      <c r="A11" s="7"/>
      <c r="B11" s="8" t="s">
        <v>56</v>
      </c>
      <c r="C11" s="9">
        <f t="shared" si="1"/>
        <v>11010</v>
      </c>
      <c r="D11" s="10"/>
      <c r="E11" s="11"/>
      <c r="F11" s="2"/>
      <c r="G11" s="2"/>
      <c r="H11" s="2"/>
      <c r="I11" s="12"/>
      <c r="J11" s="1"/>
      <c r="K11" s="2"/>
      <c r="L11" s="14"/>
      <c r="M11" s="19"/>
      <c r="N11" s="20"/>
      <c r="O11" s="1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>
      <c r="A12" s="7"/>
      <c r="B12" s="8" t="s">
        <v>57</v>
      </c>
      <c r="C12" s="9">
        <f t="shared" si="1"/>
        <v>11011</v>
      </c>
      <c r="D12" s="10"/>
      <c r="E12" s="11"/>
      <c r="F12" s="2"/>
      <c r="G12" s="2"/>
      <c r="H12" s="2"/>
      <c r="I12" s="12"/>
      <c r="J12" s="2"/>
      <c r="K12" s="2"/>
      <c r="L12" s="14"/>
      <c r="M12" s="16"/>
      <c r="N12" s="14"/>
      <c r="O12" s="1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>
      <c r="A13" s="7"/>
      <c r="B13" s="8" t="s">
        <v>61</v>
      </c>
      <c r="C13" s="9">
        <f t="shared" si="1"/>
        <v>11012</v>
      </c>
      <c r="D13" s="10"/>
      <c r="E13" s="11"/>
      <c r="F13" s="2"/>
      <c r="G13" s="2"/>
      <c r="H13" s="2"/>
      <c r="I13" s="12"/>
      <c r="J13" s="2"/>
      <c r="K13" s="2"/>
      <c r="L13" s="14"/>
      <c r="M13" s="19"/>
      <c r="N13" s="14"/>
      <c r="O13" s="1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>
      <c r="A14" s="7"/>
      <c r="B14" s="8" t="s">
        <v>64</v>
      </c>
      <c r="C14" s="9">
        <f t="shared" si="1"/>
        <v>11013</v>
      </c>
      <c r="D14" s="10"/>
      <c r="E14" s="11"/>
      <c r="F14" s="18"/>
      <c r="G14" s="18"/>
      <c r="H14" s="2"/>
      <c r="I14" s="12"/>
      <c r="J14" s="2"/>
      <c r="K14" s="2"/>
      <c r="L14" s="18"/>
      <c r="M14" s="18"/>
      <c r="N14" s="18"/>
      <c r="O14" s="18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>
      <c r="A15" s="7"/>
      <c r="B15" s="8" t="s">
        <v>65</v>
      </c>
      <c r="C15" s="9">
        <f t="shared" si="1"/>
        <v>11014</v>
      </c>
      <c r="D15" s="10"/>
      <c r="E15" s="11"/>
      <c r="F15" s="18"/>
      <c r="G15" s="2"/>
      <c r="H15" s="2"/>
      <c r="I15" s="12"/>
      <c r="J15" s="2"/>
      <c r="K15" s="2"/>
      <c r="L15" s="2"/>
      <c r="M15" s="21"/>
      <c r="N15" s="14"/>
      <c r="O15" s="18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>
      <c r="A16" s="7"/>
      <c r="B16" s="8" t="s">
        <v>71</v>
      </c>
      <c r="C16" s="9">
        <f t="shared" si="1"/>
        <v>11015</v>
      </c>
      <c r="D16" s="10"/>
      <c r="E16" s="11"/>
      <c r="F16" s="18"/>
      <c r="G16" s="2"/>
      <c r="H16" s="18"/>
      <c r="I16" s="12"/>
      <c r="J16" s="2"/>
      <c r="K16" s="2"/>
      <c r="L16" s="2"/>
      <c r="M16" s="21"/>
      <c r="N16" s="14"/>
      <c r="O16" s="18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>
      <c r="A17" s="7"/>
      <c r="B17" s="8" t="s">
        <v>72</v>
      </c>
      <c r="C17" s="9">
        <f t="shared" si="1"/>
        <v>11016</v>
      </c>
      <c r="D17" s="10"/>
      <c r="E17" s="11"/>
      <c r="F17" s="18"/>
      <c r="G17" s="2"/>
      <c r="H17" s="18"/>
      <c r="I17" s="12"/>
      <c r="J17" s="2"/>
      <c r="K17" s="2"/>
      <c r="L17" s="2"/>
      <c r="M17" s="21"/>
      <c r="N17" s="14"/>
      <c r="O17" s="18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>
      <c r="A18" s="7"/>
      <c r="B18" s="8" t="s">
        <v>73</v>
      </c>
      <c r="C18" s="9">
        <f t="shared" si="1"/>
        <v>11017</v>
      </c>
      <c r="D18" s="10"/>
      <c r="E18" s="11"/>
      <c r="F18" s="18"/>
      <c r="G18" s="2"/>
      <c r="H18" s="18"/>
      <c r="I18" s="12"/>
      <c r="J18" s="2"/>
      <c r="K18" s="2"/>
      <c r="L18" s="2"/>
      <c r="M18" s="21"/>
      <c r="N18" s="14"/>
      <c r="O18" s="1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>
      <c r="A19" s="7"/>
      <c r="B19" s="8" t="s">
        <v>75</v>
      </c>
      <c r="C19" s="9">
        <f t="shared" si="1"/>
        <v>11018</v>
      </c>
      <c r="D19" s="10"/>
      <c r="E19" s="11"/>
      <c r="F19" s="18"/>
      <c r="G19" s="2"/>
      <c r="H19" s="18"/>
      <c r="I19" s="12"/>
      <c r="J19" s="2"/>
      <c r="K19" s="2"/>
      <c r="L19" s="2"/>
      <c r="M19" s="21"/>
      <c r="N19" s="14"/>
      <c r="O19" s="18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>
      <c r="A20" s="7"/>
      <c r="B20" s="8" t="s">
        <v>79</v>
      </c>
      <c r="C20" s="9">
        <f t="shared" si="1"/>
        <v>11019</v>
      </c>
      <c r="D20" s="10"/>
      <c r="E20" s="11"/>
      <c r="F20" s="18"/>
      <c r="G20" s="2"/>
      <c r="H20" s="18"/>
      <c r="I20" s="22"/>
      <c r="J20" s="2"/>
      <c r="K20" s="2"/>
      <c r="L20" s="2"/>
      <c r="M20" s="21"/>
      <c r="N20" s="14"/>
      <c r="O20" s="18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>
      <c r="A21" s="7"/>
      <c r="B21" s="8" t="s">
        <v>80</v>
      </c>
      <c r="C21" s="9">
        <f t="shared" si="1"/>
        <v>11020</v>
      </c>
      <c r="D21" s="10"/>
      <c r="E21" s="11"/>
      <c r="F21" s="18"/>
      <c r="G21" s="2"/>
      <c r="H21" s="18"/>
      <c r="I21" s="22"/>
      <c r="J21" s="2"/>
      <c r="K21" s="2"/>
      <c r="L21" s="2"/>
      <c r="M21" s="21"/>
      <c r="N21" s="14"/>
      <c r="O21" s="18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>
      <c r="A22" s="7"/>
      <c r="B22" s="8" t="s">
        <v>81</v>
      </c>
      <c r="C22" s="9">
        <f t="shared" si="1"/>
        <v>11021</v>
      </c>
      <c r="D22" s="10"/>
      <c r="E22" s="23"/>
      <c r="F22" s="18"/>
      <c r="G22" s="2"/>
      <c r="H22" s="18"/>
      <c r="I22" s="12"/>
      <c r="J22" s="2"/>
      <c r="K22" s="2"/>
      <c r="L22" s="2"/>
      <c r="M22" s="18"/>
      <c r="N22" s="24"/>
      <c r="O22" s="18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>
      <c r="A23" s="7"/>
      <c r="B23" s="8" t="s">
        <v>88</v>
      </c>
      <c r="C23" s="9">
        <f t="shared" si="1"/>
        <v>11022</v>
      </c>
      <c r="D23" s="10"/>
      <c r="E23" s="23"/>
      <c r="F23" s="18"/>
      <c r="G23" s="2"/>
      <c r="H23" s="18"/>
      <c r="I23" s="12"/>
      <c r="J23" s="2"/>
      <c r="K23" s="2"/>
      <c r="L23" s="2"/>
      <c r="M23" s="21"/>
      <c r="N23" s="14"/>
      <c r="O23" s="18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>
      <c r="A24" s="7"/>
      <c r="B24" s="8" t="s">
        <v>89</v>
      </c>
      <c r="C24" s="9">
        <f t="shared" si="1"/>
        <v>11023</v>
      </c>
      <c r="D24" s="10"/>
      <c r="E24" s="23"/>
      <c r="F24" s="18"/>
      <c r="G24" s="2"/>
      <c r="H24" s="18"/>
      <c r="I24" s="12"/>
      <c r="J24" s="2"/>
      <c r="K24" s="2"/>
      <c r="L24" s="2"/>
      <c r="M24" s="21"/>
      <c r="N24" s="14"/>
      <c r="O24" s="18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>
      <c r="A25" s="7"/>
      <c r="B25" s="8" t="s">
        <v>93</v>
      </c>
      <c r="C25" s="9">
        <f t="shared" si="1"/>
        <v>11024</v>
      </c>
      <c r="D25" s="10"/>
      <c r="E25" s="23"/>
      <c r="F25" s="18"/>
      <c r="G25" s="2"/>
      <c r="H25" s="18"/>
      <c r="I25" s="12"/>
      <c r="J25" s="2"/>
      <c r="K25" s="2"/>
      <c r="L25" s="2"/>
      <c r="M25" s="21"/>
      <c r="N25" s="14"/>
      <c r="O25" s="18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>
      <c r="A26" s="7"/>
      <c r="B26" s="8" t="s">
        <v>94</v>
      </c>
      <c r="C26" s="9">
        <f t="shared" si="1"/>
        <v>11025</v>
      </c>
      <c r="D26" s="10"/>
      <c r="E26" s="23"/>
      <c r="F26" s="18"/>
      <c r="G26" s="2"/>
      <c r="H26" s="18"/>
      <c r="I26" s="12"/>
      <c r="J26" s="2"/>
      <c r="K26" s="2"/>
      <c r="L26" s="2"/>
      <c r="M26" s="21"/>
      <c r="N26" s="24"/>
      <c r="O26" s="18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>
      <c r="A27" s="7"/>
      <c r="B27" s="8" t="s">
        <v>95</v>
      </c>
      <c r="C27" s="9">
        <f t="shared" si="1"/>
        <v>11026</v>
      </c>
      <c r="D27" s="10"/>
      <c r="E27" s="23"/>
      <c r="F27" s="18"/>
      <c r="G27" s="2"/>
      <c r="H27" s="18"/>
      <c r="I27" s="12"/>
      <c r="J27" s="2"/>
      <c r="K27" s="2"/>
      <c r="L27" s="2"/>
      <c r="M27" s="21"/>
      <c r="N27" s="24"/>
      <c r="O27" s="18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>
      <c r="A28" s="7"/>
      <c r="B28" s="8" t="s">
        <v>97</v>
      </c>
      <c r="C28" s="9">
        <f t="shared" si="1"/>
        <v>11029</v>
      </c>
      <c r="D28" s="10"/>
      <c r="E28" s="11"/>
      <c r="F28" s="18"/>
      <c r="G28" s="2"/>
      <c r="H28" s="18"/>
      <c r="I28" s="25"/>
      <c r="J28" s="2"/>
      <c r="K28" s="2"/>
      <c r="L28" s="2"/>
      <c r="M28" s="26"/>
      <c r="N28" s="2"/>
      <c r="O28" s="18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>
      <c r="A29" s="7"/>
      <c r="B29" s="8" t="s">
        <v>102</v>
      </c>
      <c r="C29" s="9">
        <f t="shared" si="1"/>
        <v>11030</v>
      </c>
      <c r="D29" s="10"/>
      <c r="E29" s="11"/>
      <c r="F29" s="18"/>
      <c r="G29" s="2"/>
      <c r="H29" s="18"/>
      <c r="I29" s="25"/>
      <c r="J29" s="2"/>
      <c r="K29" s="2"/>
      <c r="L29" s="2"/>
      <c r="M29" s="26"/>
      <c r="N29" s="2"/>
      <c r="O29" s="18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>
      <c r="A30" s="7"/>
      <c r="B30" s="8" t="s">
        <v>103</v>
      </c>
      <c r="C30" s="9">
        <f t="shared" si="1"/>
        <v>11031</v>
      </c>
      <c r="D30" s="10"/>
      <c r="E30" s="11"/>
      <c r="F30" s="2"/>
      <c r="G30" s="2"/>
      <c r="H30" s="18"/>
      <c r="I30" s="25"/>
      <c r="J30" s="2"/>
      <c r="K30" s="2"/>
      <c r="L30" s="2"/>
      <c r="M30" s="26"/>
      <c r="N30" s="2"/>
      <c r="O30" s="18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>
      <c r="A31" s="7"/>
      <c r="B31" s="8" t="s">
        <v>104</v>
      </c>
      <c r="C31" s="9">
        <f t="shared" si="1"/>
        <v>11032</v>
      </c>
      <c r="D31" s="10"/>
      <c r="E31" s="11"/>
      <c r="F31" s="2"/>
      <c r="G31" s="2"/>
      <c r="H31" s="18"/>
      <c r="I31" s="25"/>
      <c r="J31" s="2"/>
      <c r="K31" s="2"/>
      <c r="L31" s="2"/>
      <c r="M31" s="26"/>
      <c r="N31" s="2"/>
      <c r="O31" s="18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>
      <c r="A32" s="7"/>
      <c r="B32" s="8" t="s">
        <v>105</v>
      </c>
      <c r="C32" s="9">
        <f t="shared" si="1"/>
        <v>11033</v>
      </c>
      <c r="D32" s="10"/>
      <c r="E32" s="11"/>
      <c r="F32" s="2"/>
      <c r="G32" s="2"/>
      <c r="H32" s="18"/>
      <c r="I32" s="25"/>
      <c r="J32" s="2"/>
      <c r="K32" s="2"/>
      <c r="L32" s="2"/>
      <c r="M32" s="26"/>
      <c r="N32" s="2"/>
      <c r="O32" s="18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>
      <c r="A33" s="7"/>
      <c r="B33" s="8" t="s">
        <v>106</v>
      </c>
      <c r="C33" s="9">
        <f t="shared" si="1"/>
        <v>11034</v>
      </c>
      <c r="D33" s="10"/>
      <c r="E33" s="11"/>
      <c r="F33" s="2"/>
      <c r="G33" s="2"/>
      <c r="I33" s="12"/>
      <c r="J33" s="2"/>
      <c r="K33" s="2"/>
      <c r="L33" s="2"/>
      <c r="M33" s="26"/>
      <c r="N33" s="18"/>
      <c r="O33" s="18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>
      <c r="A34" s="7"/>
      <c r="B34" s="8" t="s">
        <v>107</v>
      </c>
      <c r="C34" s="9">
        <f t="shared" si="1"/>
        <v>11035</v>
      </c>
      <c r="D34" s="10"/>
      <c r="E34" s="11"/>
      <c r="F34" s="2"/>
      <c r="G34" s="2"/>
      <c r="H34" s="18"/>
      <c r="I34" s="12"/>
      <c r="J34" s="2"/>
      <c r="K34" s="2"/>
      <c r="L34" s="2"/>
      <c r="M34" s="26"/>
      <c r="N34" s="18"/>
      <c r="O34" s="18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>
      <c r="A35" s="7"/>
      <c r="B35" s="8" t="s">
        <v>110</v>
      </c>
      <c r="C35" s="9">
        <f t="shared" si="1"/>
        <v>11036</v>
      </c>
      <c r="D35" s="10"/>
      <c r="E35" s="11"/>
      <c r="F35" s="2"/>
      <c r="G35" s="2"/>
      <c r="H35" s="18"/>
      <c r="I35" s="12"/>
      <c r="J35" s="2"/>
      <c r="K35" s="2"/>
      <c r="L35" s="2"/>
      <c r="M35" s="26"/>
      <c r="N35" s="18"/>
      <c r="O35" s="18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>
      <c r="A36" s="7"/>
      <c r="B36" s="8" t="s">
        <v>113</v>
      </c>
      <c r="C36" s="9">
        <f t="shared" si="1"/>
        <v>11037</v>
      </c>
      <c r="D36" s="28"/>
      <c r="E36" s="29"/>
      <c r="F36" s="18"/>
      <c r="G36" s="18"/>
      <c r="H36" s="18"/>
      <c r="I36" s="25"/>
      <c r="J36" s="18"/>
      <c r="K36" s="18"/>
      <c r="L36" s="18"/>
      <c r="M36" s="18"/>
      <c r="N36" s="18"/>
      <c r="O36" s="18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>
      <c r="A37" s="7"/>
      <c r="B37" s="8" t="s">
        <v>114</v>
      </c>
      <c r="C37" s="9">
        <f t="shared" si="1"/>
        <v>11038</v>
      </c>
      <c r="D37" s="28"/>
      <c r="E37" s="29"/>
      <c r="F37" s="18"/>
      <c r="G37" s="18"/>
      <c r="H37" s="18"/>
      <c r="I37" s="25"/>
      <c r="J37" s="18"/>
      <c r="K37" s="18"/>
      <c r="L37" s="18"/>
      <c r="M37" s="18"/>
      <c r="N37" s="18"/>
      <c r="O37" s="18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>
      <c r="A38" s="7"/>
      <c r="B38" s="8" t="s">
        <v>116</v>
      </c>
      <c r="C38" s="9">
        <f t="shared" si="1"/>
        <v>11039</v>
      </c>
      <c r="D38" s="28"/>
      <c r="E38" s="29"/>
      <c r="F38" s="18"/>
      <c r="G38" s="18"/>
      <c r="H38" s="18"/>
      <c r="I38" s="25"/>
      <c r="J38" s="18"/>
      <c r="K38" s="18"/>
      <c r="L38" s="18"/>
      <c r="M38" s="18"/>
      <c r="N38" s="18"/>
      <c r="O38" s="18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>
      <c r="A39" s="7"/>
      <c r="B39" s="8" t="s">
        <v>123</v>
      </c>
      <c r="C39" s="9">
        <f t="shared" si="1"/>
        <v>11040</v>
      </c>
      <c r="D39" s="28"/>
      <c r="E39" s="29"/>
      <c r="F39" s="18"/>
      <c r="G39" s="18"/>
      <c r="H39" s="18"/>
      <c r="I39" s="25"/>
      <c r="J39" s="18"/>
      <c r="K39" s="18"/>
      <c r="L39" s="18"/>
      <c r="M39" s="18"/>
      <c r="N39" s="18"/>
      <c r="O39" s="18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>
      <c r="A40" s="7"/>
      <c r="B40" s="8" t="s">
        <v>125</v>
      </c>
      <c r="C40" s="9">
        <f t="shared" si="1"/>
        <v>11041</v>
      </c>
      <c r="D40" s="28"/>
      <c r="E40" s="29"/>
      <c r="F40" s="18"/>
      <c r="G40" s="18"/>
      <c r="H40" s="18"/>
      <c r="I40" s="25"/>
      <c r="J40" s="18"/>
      <c r="K40" s="18"/>
      <c r="L40" s="18"/>
      <c r="M40" s="18"/>
      <c r="N40" s="18"/>
      <c r="O40" s="18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>
      <c r="A41" s="7"/>
      <c r="B41" s="8" t="s">
        <v>126</v>
      </c>
      <c r="C41" s="9">
        <f t="shared" si="1"/>
        <v>11042</v>
      </c>
      <c r="D41" s="28"/>
      <c r="E41" s="29"/>
      <c r="F41" s="18"/>
      <c r="G41" s="18"/>
      <c r="H41" s="18"/>
      <c r="I41" s="25"/>
      <c r="J41" s="18"/>
      <c r="K41" s="18"/>
      <c r="L41" s="18"/>
      <c r="M41" s="18"/>
      <c r="N41" s="18"/>
      <c r="O41" s="18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>
      <c r="A42" s="7"/>
      <c r="B42" s="8" t="s">
        <v>127</v>
      </c>
      <c r="C42" s="9">
        <f t="shared" si="1"/>
        <v>11043</v>
      </c>
      <c r="D42" s="10"/>
      <c r="E42" s="31"/>
      <c r="F42" s="2"/>
      <c r="G42" s="2"/>
      <c r="H42" s="2"/>
      <c r="I42" s="12"/>
      <c r="J42" s="2"/>
      <c r="K42" s="2"/>
      <c r="L42" s="2"/>
      <c r="M42" s="26"/>
      <c r="N42" s="32"/>
      <c r="O42" s="18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>
      <c r="A43" s="7"/>
      <c r="B43" s="8" t="s">
        <v>128</v>
      </c>
      <c r="C43" s="9">
        <f t="shared" si="1"/>
        <v>11044</v>
      </c>
      <c r="D43" s="10"/>
      <c r="E43" s="31"/>
      <c r="F43" s="2"/>
      <c r="G43" s="2"/>
      <c r="H43" s="2"/>
      <c r="I43" s="12"/>
      <c r="J43" s="2"/>
      <c r="K43" s="2"/>
      <c r="L43" s="2"/>
      <c r="M43" s="26"/>
      <c r="N43" s="32"/>
      <c r="O43" s="18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>
      <c r="A44" s="7"/>
      <c r="B44" s="8" t="s">
        <v>129</v>
      </c>
      <c r="C44" s="9">
        <f t="shared" si="1"/>
        <v>11045</v>
      </c>
      <c r="D44" s="10"/>
      <c r="E44" s="31"/>
      <c r="F44" s="2"/>
      <c r="G44" s="2"/>
      <c r="H44" s="2"/>
      <c r="I44" s="12"/>
      <c r="J44" s="2"/>
      <c r="K44" s="2"/>
      <c r="L44" s="2"/>
      <c r="M44" s="26"/>
      <c r="N44" s="32"/>
      <c r="O44" s="18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>
      <c r="A45" s="7"/>
      <c r="B45" s="8" t="s">
        <v>130</v>
      </c>
      <c r="C45" s="9">
        <f t="shared" si="1"/>
        <v>11046</v>
      </c>
      <c r="D45" s="10"/>
      <c r="E45" s="31"/>
      <c r="F45" s="2"/>
      <c r="G45" s="2"/>
      <c r="H45" s="2"/>
      <c r="I45" s="12"/>
      <c r="J45" s="2"/>
      <c r="K45" s="2"/>
      <c r="L45" s="2"/>
      <c r="M45" s="26"/>
      <c r="N45" s="32"/>
      <c r="O45" s="18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>
      <c r="A46" s="7"/>
      <c r="B46" s="8" t="s">
        <v>131</v>
      </c>
      <c r="C46" s="9">
        <f t="shared" si="1"/>
        <v>11047</v>
      </c>
      <c r="D46" s="10"/>
      <c r="E46" s="31"/>
      <c r="F46" s="2"/>
      <c r="G46" s="2"/>
      <c r="H46" s="2"/>
      <c r="I46" s="25"/>
      <c r="J46" s="2"/>
      <c r="K46" s="18"/>
      <c r="L46" s="18"/>
      <c r="M46" s="18"/>
      <c r="N46" s="32"/>
      <c r="O46" s="18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>
      <c r="A47" s="7"/>
      <c r="B47" s="8" t="s">
        <v>132</v>
      </c>
      <c r="C47" s="9">
        <f t="shared" si="1"/>
        <v>11048</v>
      </c>
      <c r="D47" s="10"/>
      <c r="E47" s="31"/>
      <c r="F47" s="2"/>
      <c r="G47" s="2"/>
      <c r="H47" s="2"/>
      <c r="I47" s="25"/>
      <c r="J47" s="2"/>
      <c r="K47" s="18"/>
      <c r="L47" s="18"/>
      <c r="M47" s="18"/>
      <c r="N47" s="32"/>
      <c r="O47" s="18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>
      <c r="A48" s="7"/>
      <c r="B48" s="8" t="s">
        <v>133</v>
      </c>
      <c r="C48" s="9">
        <f t="shared" si="1"/>
        <v>11049</v>
      </c>
      <c r="D48" s="10"/>
      <c r="E48" s="31"/>
      <c r="F48" s="2"/>
      <c r="G48" s="2"/>
      <c r="H48" s="2"/>
      <c r="I48" s="25"/>
      <c r="J48" s="2"/>
      <c r="K48" s="2"/>
      <c r="L48" s="2"/>
      <c r="M48" s="26"/>
      <c r="N48" s="32"/>
      <c r="O48" s="18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>
      <c r="A49" s="7"/>
      <c r="B49" s="8" t="s">
        <v>134</v>
      </c>
      <c r="C49" s="9">
        <f t="shared" si="1"/>
        <v>11050</v>
      </c>
      <c r="D49" s="10"/>
      <c r="E49" s="31"/>
      <c r="F49" s="2"/>
      <c r="G49" s="2"/>
      <c r="H49" s="2"/>
      <c r="I49" s="25"/>
      <c r="J49" s="2"/>
      <c r="K49" s="2"/>
      <c r="L49" s="2"/>
      <c r="M49" s="26"/>
      <c r="N49" s="32"/>
      <c r="O49" s="18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>
      <c r="A50" s="7"/>
      <c r="B50" s="8" t="s">
        <v>135</v>
      </c>
      <c r="C50" s="9">
        <f t="shared" si="1"/>
        <v>11051</v>
      </c>
      <c r="D50" s="10"/>
      <c r="E50" s="31"/>
      <c r="F50" s="2"/>
      <c r="G50" s="2"/>
      <c r="H50" s="2"/>
      <c r="I50" s="25"/>
      <c r="J50" s="2"/>
      <c r="K50" s="2"/>
      <c r="L50" s="2"/>
      <c r="M50" s="26"/>
      <c r="N50" s="32"/>
      <c r="O50" s="18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>
      <c r="A51" s="7"/>
      <c r="B51" s="8" t="s">
        <v>136</v>
      </c>
      <c r="C51" s="9">
        <f t="shared" si="1"/>
        <v>11052</v>
      </c>
      <c r="D51" s="10"/>
      <c r="E51" s="31"/>
      <c r="F51" s="2"/>
      <c r="G51" s="2"/>
      <c r="H51" s="2"/>
      <c r="I51" s="12"/>
      <c r="J51" s="2"/>
      <c r="K51" s="2"/>
      <c r="L51" s="2"/>
      <c r="M51" s="26"/>
      <c r="N51" s="32"/>
      <c r="O51" s="18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>
      <c r="A52" s="7"/>
      <c r="B52" s="8" t="s">
        <v>137</v>
      </c>
      <c r="C52" s="9">
        <f t="shared" si="1"/>
        <v>11053</v>
      </c>
      <c r="D52" s="10"/>
      <c r="E52" s="31"/>
      <c r="F52" s="2"/>
      <c r="G52" s="2"/>
      <c r="H52" s="2"/>
      <c r="I52" s="12"/>
      <c r="J52" s="2"/>
      <c r="K52" s="18"/>
      <c r="L52" s="18"/>
      <c r="M52" s="18"/>
      <c r="N52" s="32"/>
      <c r="O52" s="18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>
      <c r="A53" s="7"/>
      <c r="B53" s="8" t="s">
        <v>138</v>
      </c>
      <c r="C53" s="9">
        <f t="shared" si="1"/>
        <v>11054</v>
      </c>
      <c r="D53" s="10"/>
      <c r="E53" s="31"/>
      <c r="F53" s="2"/>
      <c r="G53" s="2"/>
      <c r="H53" s="2"/>
      <c r="I53" s="12"/>
      <c r="J53" s="2"/>
      <c r="K53" s="18"/>
      <c r="L53" s="18"/>
      <c r="M53" s="18"/>
      <c r="N53" s="32"/>
      <c r="O53" s="18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>
      <c r="A54" s="7"/>
      <c r="B54" s="8" t="s">
        <v>139</v>
      </c>
      <c r="C54" s="9">
        <f t="shared" si="1"/>
        <v>11055</v>
      </c>
      <c r="D54" s="10"/>
      <c r="E54" s="31"/>
      <c r="F54" s="2"/>
      <c r="G54" s="2"/>
      <c r="H54" s="2"/>
      <c r="I54" s="25"/>
      <c r="J54" s="2"/>
      <c r="K54" s="2"/>
      <c r="L54" s="2"/>
      <c r="M54" s="26"/>
      <c r="N54" s="35"/>
      <c r="O54" s="18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>
      <c r="A55" s="7"/>
      <c r="B55" s="8" t="s">
        <v>140</v>
      </c>
      <c r="C55" s="9">
        <f t="shared" si="1"/>
        <v>11056</v>
      </c>
      <c r="D55" s="10"/>
      <c r="E55" s="31"/>
      <c r="F55" s="2"/>
      <c r="G55" s="2"/>
      <c r="H55" s="2"/>
      <c r="I55" s="25"/>
      <c r="J55" s="2"/>
      <c r="K55" s="2"/>
      <c r="L55" s="2"/>
      <c r="M55" s="26"/>
      <c r="N55" s="32"/>
      <c r="O55" s="18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>
      <c r="A56" s="7"/>
      <c r="B56" s="8" t="s">
        <v>141</v>
      </c>
      <c r="C56" s="9">
        <f t="shared" si="1"/>
        <v>11057</v>
      </c>
      <c r="D56" s="10"/>
      <c r="E56" s="31"/>
      <c r="F56" s="2"/>
      <c r="G56" s="2"/>
      <c r="H56" s="2"/>
      <c r="I56" s="25"/>
      <c r="J56" s="2"/>
      <c r="K56" s="18"/>
      <c r="L56" s="18"/>
      <c r="M56" s="18"/>
      <c r="N56" s="32"/>
      <c r="O56" s="18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>
      <c r="A57" s="7"/>
      <c r="B57" s="8" t="s">
        <v>142</v>
      </c>
      <c r="C57" s="9">
        <f t="shared" si="1"/>
        <v>11058</v>
      </c>
      <c r="D57" s="10"/>
      <c r="E57" s="36"/>
      <c r="F57" s="2"/>
      <c r="G57" s="2"/>
      <c r="H57" s="2"/>
      <c r="I57" s="25"/>
      <c r="J57" s="2"/>
      <c r="K57" s="2"/>
      <c r="L57" s="2"/>
      <c r="M57" s="26"/>
      <c r="N57" s="32"/>
      <c r="O57" s="18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>
      <c r="A58" s="7"/>
      <c r="B58" s="8" t="s">
        <v>143</v>
      </c>
      <c r="C58" s="9">
        <f t="shared" si="1"/>
        <v>11059</v>
      </c>
      <c r="D58" s="10"/>
      <c r="E58" s="31"/>
      <c r="F58" s="2"/>
      <c r="G58" s="2"/>
      <c r="H58" s="2"/>
      <c r="I58" s="25"/>
      <c r="J58" s="2"/>
      <c r="K58" s="2"/>
      <c r="L58" s="2"/>
      <c r="M58" s="21"/>
      <c r="N58" s="32"/>
      <c r="O58" s="18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>
      <c r="A59" s="7"/>
      <c r="B59" s="8" t="s">
        <v>144</v>
      </c>
      <c r="C59" s="9">
        <f t="shared" si="1"/>
        <v>11060</v>
      </c>
      <c r="D59" s="10"/>
      <c r="E59" s="31"/>
      <c r="F59" s="2"/>
      <c r="G59" s="2"/>
      <c r="H59" s="2"/>
      <c r="I59" s="25"/>
      <c r="J59" s="2"/>
      <c r="K59" s="2"/>
      <c r="L59" s="2"/>
      <c r="M59" s="26"/>
      <c r="N59" s="32"/>
      <c r="O59" s="18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>
      <c r="A60" s="7"/>
      <c r="B60" s="8" t="s">
        <v>145</v>
      </c>
      <c r="C60" s="9">
        <f t="shared" si="1"/>
        <v>11061</v>
      </c>
      <c r="D60" s="10"/>
      <c r="E60" s="11"/>
      <c r="F60" s="2"/>
      <c r="G60" s="2"/>
      <c r="H60" s="2"/>
      <c r="I60" s="25"/>
      <c r="J60" s="2"/>
      <c r="K60" s="2"/>
      <c r="L60" s="2"/>
      <c r="M60" s="26"/>
      <c r="N60" s="37"/>
      <c r="O60" s="18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>
      <c r="A61" s="7"/>
      <c r="B61" s="8" t="s">
        <v>146</v>
      </c>
      <c r="C61" s="9">
        <f t="shared" si="1"/>
        <v>11062</v>
      </c>
      <c r="D61" s="10"/>
      <c r="E61" s="11"/>
      <c r="F61" s="2"/>
      <c r="G61" s="2"/>
      <c r="H61" s="2"/>
      <c r="I61" s="25"/>
      <c r="J61" s="2"/>
      <c r="K61" s="2"/>
      <c r="L61" s="2"/>
      <c r="M61" s="26"/>
      <c r="N61" s="37"/>
      <c r="O61" s="18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>
      <c r="A62" s="7"/>
      <c r="B62" s="8" t="s">
        <v>147</v>
      </c>
      <c r="C62" s="9">
        <f t="shared" si="1"/>
        <v>11063</v>
      </c>
      <c r="D62" s="10"/>
      <c r="E62" s="11"/>
      <c r="F62" s="2"/>
      <c r="H62" s="2"/>
      <c r="I62" s="38"/>
      <c r="J62" s="2"/>
      <c r="K62" s="38"/>
      <c r="L62" s="38"/>
      <c r="M62" s="26"/>
      <c r="N62" s="32"/>
      <c r="O62" s="18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>
      <c r="A63" s="7"/>
      <c r="B63" s="8" t="s">
        <v>148</v>
      </c>
      <c r="C63" s="9">
        <f t="shared" si="1"/>
        <v>11064</v>
      </c>
      <c r="D63" s="10"/>
      <c r="E63" s="11"/>
      <c r="F63" s="2"/>
      <c r="G63" s="2"/>
      <c r="H63" s="2"/>
      <c r="I63" s="12"/>
      <c r="J63" s="2"/>
      <c r="K63" s="2"/>
      <c r="L63" s="2"/>
      <c r="M63" s="26"/>
      <c r="N63" s="37"/>
      <c r="O63" s="18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>
      <c r="A64" s="7"/>
      <c r="B64" s="8" t="s">
        <v>149</v>
      </c>
      <c r="C64" s="9">
        <f t="shared" si="1"/>
        <v>11065</v>
      </c>
      <c r="D64" s="10"/>
      <c r="E64" s="11"/>
      <c r="F64" s="2"/>
      <c r="G64" s="2"/>
      <c r="H64" s="2"/>
      <c r="I64" s="12"/>
      <c r="J64" s="2"/>
      <c r="K64" s="2"/>
      <c r="L64" s="2"/>
      <c r="M64" s="26"/>
      <c r="N64" s="37"/>
      <c r="O64" s="18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>
      <c r="A65" s="7"/>
      <c r="B65" s="8" t="s">
        <v>150</v>
      </c>
      <c r="C65" s="9">
        <f t="shared" si="1"/>
        <v>11066</v>
      </c>
      <c r="D65" s="10"/>
      <c r="E65" s="11"/>
      <c r="F65" s="2"/>
      <c r="G65" s="2"/>
      <c r="H65" s="2"/>
      <c r="I65" s="25"/>
      <c r="J65" s="2"/>
      <c r="K65" s="2"/>
      <c r="L65" s="2"/>
      <c r="M65" s="26"/>
      <c r="N65" s="37"/>
      <c r="O65" s="18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>
      <c r="A66" s="7"/>
      <c r="B66" s="8" t="s">
        <v>151</v>
      </c>
      <c r="C66" s="9">
        <f t="shared" si="1"/>
        <v>11067</v>
      </c>
      <c r="D66" s="10"/>
      <c r="E66" s="11"/>
      <c r="F66" s="2"/>
      <c r="G66" s="2"/>
      <c r="H66" s="2"/>
      <c r="I66" s="25"/>
      <c r="J66" s="2"/>
      <c r="K66" s="2"/>
      <c r="L66" s="2"/>
      <c r="M66" s="26"/>
      <c r="N66" s="37"/>
      <c r="O66" s="18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>
      <c r="A67" s="7"/>
      <c r="B67" s="8" t="s">
        <v>152</v>
      </c>
      <c r="C67" s="9">
        <f t="shared" si="1"/>
        <v>11068</v>
      </c>
      <c r="D67" s="10"/>
      <c r="E67" s="11"/>
      <c r="F67" s="2"/>
      <c r="G67" s="2"/>
      <c r="H67" s="2"/>
      <c r="I67" s="12"/>
      <c r="J67" s="2"/>
      <c r="K67" s="2"/>
      <c r="L67" s="2"/>
      <c r="M67" s="26"/>
      <c r="N67" s="37"/>
      <c r="O67" s="18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>
      <c r="A68" s="7"/>
      <c r="B68" s="8" t="s">
        <v>153</v>
      </c>
      <c r="C68" s="9">
        <f t="shared" si="1"/>
        <v>11069</v>
      </c>
      <c r="D68" s="10"/>
      <c r="E68" s="11"/>
      <c r="F68" s="2"/>
      <c r="G68" s="2"/>
      <c r="H68" s="2"/>
      <c r="I68" s="12"/>
      <c r="J68" s="2"/>
      <c r="K68" s="2"/>
      <c r="L68" s="2"/>
      <c r="M68" s="26"/>
      <c r="N68" s="37"/>
      <c r="O68" s="18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>
      <c r="A69" s="7"/>
      <c r="B69" s="8" t="s">
        <v>154</v>
      </c>
      <c r="C69" s="9">
        <f t="shared" si="1"/>
        <v>11070</v>
      </c>
      <c r="D69" s="10"/>
      <c r="E69" s="11"/>
      <c r="F69" s="2"/>
      <c r="G69" s="2"/>
      <c r="H69" s="2"/>
      <c r="I69" s="12"/>
      <c r="J69" s="2"/>
      <c r="K69" s="2"/>
      <c r="L69" s="2"/>
      <c r="M69" s="26"/>
      <c r="N69" s="37"/>
      <c r="O69" s="18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>
      <c r="A70" s="7"/>
      <c r="B70" s="8" t="s">
        <v>155</v>
      </c>
      <c r="C70" s="9">
        <f t="shared" si="1"/>
        <v>11071</v>
      </c>
      <c r="D70" s="10"/>
      <c r="E70" s="11"/>
      <c r="F70" s="2"/>
      <c r="G70" s="2"/>
      <c r="H70" s="2"/>
      <c r="I70" s="12"/>
      <c r="J70" s="2"/>
      <c r="K70" s="2"/>
      <c r="L70" s="2"/>
      <c r="M70" s="26"/>
      <c r="N70" s="37"/>
      <c r="O70" s="18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>
      <c r="A71" s="7"/>
      <c r="B71" s="8" t="s">
        <v>156</v>
      </c>
      <c r="C71" s="9">
        <f t="shared" si="1"/>
        <v>11072</v>
      </c>
      <c r="D71" s="10"/>
      <c r="E71" s="11"/>
      <c r="F71" s="2"/>
      <c r="G71" s="2"/>
      <c r="H71" s="2"/>
      <c r="I71" s="25"/>
      <c r="J71" s="2"/>
      <c r="K71" s="2"/>
      <c r="L71" s="2"/>
      <c r="M71" s="26"/>
      <c r="N71" s="37"/>
      <c r="O71" s="18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>
      <c r="A72" s="7"/>
      <c r="B72" s="8" t="s">
        <v>157</v>
      </c>
      <c r="C72" s="9">
        <f t="shared" si="1"/>
        <v>11073</v>
      </c>
      <c r="D72" s="10"/>
      <c r="E72" s="11"/>
      <c r="F72" s="2"/>
      <c r="G72" s="2"/>
      <c r="H72" s="2"/>
      <c r="I72" s="25"/>
      <c r="J72" s="2"/>
      <c r="K72" s="2"/>
      <c r="L72" s="2"/>
      <c r="M72" s="26"/>
      <c r="N72" s="37"/>
      <c r="O72" s="18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>
      <c r="A73" s="7"/>
      <c r="B73" s="8" t="s">
        <v>158</v>
      </c>
      <c r="C73" s="9">
        <f t="shared" si="1"/>
        <v>11074</v>
      </c>
      <c r="D73" s="10"/>
      <c r="E73" s="11"/>
      <c r="F73" s="2"/>
      <c r="G73" s="2"/>
      <c r="H73" s="2"/>
      <c r="I73" s="12"/>
      <c r="J73" s="2"/>
      <c r="K73" s="2"/>
      <c r="L73" s="2"/>
      <c r="M73" s="26"/>
      <c r="N73" s="37"/>
      <c r="O73" s="18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>
      <c r="A74" s="7"/>
      <c r="B74" s="8" t="s">
        <v>159</v>
      </c>
      <c r="C74" s="9">
        <f t="shared" si="1"/>
        <v>11075</v>
      </c>
      <c r="D74" s="10"/>
      <c r="E74" s="31"/>
      <c r="F74" s="2"/>
      <c r="G74" s="2"/>
      <c r="H74" s="2"/>
      <c r="I74" s="12"/>
      <c r="J74" s="2"/>
      <c r="K74" s="2"/>
      <c r="L74" s="2"/>
      <c r="M74" s="26"/>
      <c r="N74" s="32"/>
      <c r="O74" s="18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>
      <c r="A75" s="7"/>
      <c r="B75" s="8" t="s">
        <v>160</v>
      </c>
      <c r="C75" s="9">
        <f t="shared" si="1"/>
        <v>11076</v>
      </c>
      <c r="D75" s="10"/>
      <c r="E75" s="31"/>
      <c r="F75" s="2"/>
      <c r="G75" s="2"/>
      <c r="H75" s="2"/>
      <c r="I75" s="12"/>
      <c r="J75" s="2"/>
      <c r="K75" s="2"/>
      <c r="L75" s="2"/>
      <c r="M75" s="26"/>
      <c r="N75" s="32"/>
      <c r="O75" s="18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>
      <c r="A76" s="7"/>
      <c r="B76" s="8" t="s">
        <v>161</v>
      </c>
      <c r="C76" s="9">
        <f t="shared" si="1"/>
        <v>11077</v>
      </c>
      <c r="D76" s="10"/>
      <c r="E76" s="31"/>
      <c r="F76" s="2"/>
      <c r="G76" s="2"/>
      <c r="H76" s="2"/>
      <c r="I76" s="12"/>
      <c r="J76" s="2"/>
      <c r="K76" s="2"/>
      <c r="L76" s="2"/>
      <c r="M76" s="26"/>
      <c r="N76" s="32"/>
      <c r="O76" s="18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>
      <c r="A77" s="7"/>
      <c r="B77" s="8" t="s">
        <v>162</v>
      </c>
      <c r="C77" s="9">
        <f t="shared" si="1"/>
        <v>11078</v>
      </c>
      <c r="D77" s="10"/>
      <c r="E77" s="31"/>
      <c r="F77" s="2"/>
      <c r="G77" s="2"/>
      <c r="H77" s="2"/>
      <c r="I77" s="12"/>
      <c r="J77" s="2"/>
      <c r="K77" s="2"/>
      <c r="L77" s="2"/>
      <c r="M77" s="26"/>
      <c r="N77" s="32"/>
      <c r="O77" s="18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>
      <c r="A78" s="7"/>
      <c r="B78" s="8" t="s">
        <v>163</v>
      </c>
      <c r="C78" s="9">
        <f t="shared" si="1"/>
        <v>11079</v>
      </c>
      <c r="D78" s="10"/>
      <c r="E78" s="31"/>
      <c r="F78" s="2"/>
      <c r="G78" s="2"/>
      <c r="H78" s="2"/>
      <c r="I78" s="12"/>
      <c r="J78" s="2"/>
      <c r="K78" s="2"/>
      <c r="L78" s="2"/>
      <c r="M78" s="26"/>
      <c r="N78" s="32"/>
      <c r="O78" s="18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>
      <c r="A79" s="7"/>
      <c r="B79" s="8" t="s">
        <v>164</v>
      </c>
      <c r="C79" s="9">
        <f t="shared" si="1"/>
        <v>11080</v>
      </c>
      <c r="D79" s="10"/>
      <c r="E79" s="31"/>
      <c r="F79" s="2"/>
      <c r="G79" s="2"/>
      <c r="H79" s="2"/>
      <c r="I79" s="12"/>
      <c r="J79" s="2"/>
      <c r="K79" s="2"/>
      <c r="L79" s="2"/>
      <c r="M79" s="26"/>
      <c r="N79" s="32"/>
      <c r="O79" s="18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>
      <c r="A80" s="7"/>
      <c r="B80" s="8" t="s">
        <v>165</v>
      </c>
      <c r="C80" s="9">
        <f t="shared" si="1"/>
        <v>11081</v>
      </c>
      <c r="D80" s="10"/>
      <c r="E80" s="31"/>
      <c r="F80" s="2"/>
      <c r="G80" s="2"/>
      <c r="H80" s="2"/>
      <c r="I80" s="12"/>
      <c r="J80" s="2"/>
      <c r="K80" s="2"/>
      <c r="L80" s="2"/>
      <c r="M80" s="26"/>
      <c r="N80" s="32"/>
      <c r="O80" s="18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>
      <c r="A81" s="7"/>
      <c r="B81" s="8" t="s">
        <v>166</v>
      </c>
      <c r="C81" s="9">
        <f t="shared" si="1"/>
        <v>11082</v>
      </c>
      <c r="D81" s="10"/>
      <c r="E81" s="31"/>
      <c r="F81" s="2"/>
      <c r="G81" s="2"/>
      <c r="H81" s="2"/>
      <c r="I81" s="12"/>
      <c r="J81" s="2"/>
      <c r="K81" s="2"/>
      <c r="L81" s="2"/>
      <c r="M81" s="26"/>
      <c r="N81" s="32"/>
      <c r="O81" s="18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>
      <c r="A82" s="7"/>
      <c r="B82" s="8" t="s">
        <v>167</v>
      </c>
      <c r="C82" s="9">
        <f t="shared" si="1"/>
        <v>11083</v>
      </c>
      <c r="D82" s="10"/>
      <c r="E82" s="31"/>
      <c r="F82" s="2"/>
      <c r="G82" s="2"/>
      <c r="H82" s="2"/>
      <c r="I82" s="12"/>
      <c r="J82" s="2"/>
      <c r="K82" s="2"/>
      <c r="L82" s="2"/>
      <c r="M82" s="26"/>
      <c r="N82" s="32"/>
      <c r="O82" s="18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>
      <c r="A83" s="7"/>
      <c r="B83" s="8" t="s">
        <v>168</v>
      </c>
      <c r="C83" s="9">
        <f t="shared" si="1"/>
        <v>11084</v>
      </c>
      <c r="D83" s="10"/>
      <c r="E83" s="31"/>
      <c r="F83" s="2"/>
      <c r="G83" s="2"/>
      <c r="H83" s="2"/>
      <c r="I83" s="12"/>
      <c r="J83" s="2"/>
      <c r="K83" s="2"/>
      <c r="L83" s="2"/>
      <c r="M83" s="26"/>
      <c r="N83" s="32"/>
      <c r="O83" s="18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>
      <c r="A84" s="7"/>
      <c r="B84" s="8" t="s">
        <v>169</v>
      </c>
      <c r="C84" s="9">
        <f t="shared" si="1"/>
        <v>11085</v>
      </c>
      <c r="D84" s="10"/>
      <c r="E84" s="31"/>
      <c r="F84" s="2"/>
      <c r="G84" s="2"/>
      <c r="H84" s="2"/>
      <c r="I84" s="12"/>
      <c r="J84" s="2"/>
      <c r="K84" s="2"/>
      <c r="L84" s="2"/>
      <c r="M84" s="26"/>
      <c r="N84" s="32"/>
      <c r="O84" s="18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>
      <c r="A85" s="7"/>
      <c r="B85" s="8" t="s">
        <v>170</v>
      </c>
      <c r="C85" s="9">
        <f t="shared" si="1"/>
        <v>11086</v>
      </c>
      <c r="D85" s="10"/>
      <c r="E85" s="11"/>
      <c r="F85" s="2"/>
      <c r="G85" s="2"/>
      <c r="H85" s="2"/>
      <c r="I85" s="25"/>
      <c r="J85" s="18"/>
      <c r="K85" s="2"/>
      <c r="L85" s="2"/>
      <c r="M85" s="21"/>
      <c r="N85" s="37"/>
      <c r="O85" s="18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>
      <c r="A86" s="7"/>
      <c r="B86" s="8" t="s">
        <v>171</v>
      </c>
      <c r="C86" s="9">
        <f t="shared" si="1"/>
        <v>11087</v>
      </c>
      <c r="D86" s="10"/>
      <c r="E86" s="11"/>
      <c r="F86" s="2"/>
      <c r="G86" s="2"/>
      <c r="H86" s="2"/>
      <c r="I86" s="25"/>
      <c r="J86" s="18"/>
      <c r="K86" s="2"/>
      <c r="N86" s="18"/>
      <c r="O86" s="18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>
      <c r="A87" s="7"/>
      <c r="B87" s="8" t="s">
        <v>172</v>
      </c>
      <c r="C87" s="9">
        <f t="shared" si="1"/>
        <v>11088</v>
      </c>
      <c r="D87" s="28"/>
      <c r="E87" s="29"/>
      <c r="F87" s="18"/>
      <c r="G87" s="18"/>
      <c r="H87" s="18"/>
      <c r="I87" s="25"/>
      <c r="J87" s="18"/>
      <c r="K87" s="18"/>
      <c r="L87" s="18"/>
      <c r="M87" s="18"/>
      <c r="N87" s="18"/>
      <c r="O87" s="18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>
      <c r="A88" s="7"/>
      <c r="B88" s="8" t="s">
        <v>173</v>
      </c>
      <c r="C88" s="9">
        <f t="shared" si="1"/>
        <v>11089</v>
      </c>
      <c r="D88" s="28"/>
      <c r="E88" s="29"/>
      <c r="F88" s="18"/>
      <c r="G88" s="18"/>
      <c r="H88" s="18"/>
      <c r="I88" s="25"/>
      <c r="J88" s="18"/>
      <c r="K88" s="18"/>
      <c r="L88" s="18"/>
      <c r="M88" s="18"/>
      <c r="N88" s="18"/>
      <c r="O88" s="18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>
      <c r="A89" s="7"/>
      <c r="B89" s="8" t="s">
        <v>174</v>
      </c>
      <c r="C89" s="9">
        <f t="shared" si="1"/>
        <v>11090</v>
      </c>
      <c r="D89" s="28"/>
      <c r="E89" s="29"/>
      <c r="F89" s="18"/>
      <c r="G89" s="18"/>
      <c r="H89" s="18"/>
      <c r="I89" s="25"/>
      <c r="J89" s="18"/>
      <c r="K89" s="18"/>
      <c r="L89" s="18"/>
      <c r="M89" s="18"/>
      <c r="N89" s="18"/>
      <c r="O89" s="18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>
      <c r="A90" s="7"/>
      <c r="B90" s="8" t="s">
        <v>175</v>
      </c>
      <c r="C90" s="9">
        <f t="shared" si="1"/>
        <v>11091</v>
      </c>
      <c r="D90" s="28"/>
      <c r="E90" s="29"/>
      <c r="F90" s="18"/>
      <c r="G90" s="18"/>
      <c r="H90" s="18"/>
      <c r="I90" s="25"/>
      <c r="J90" s="18"/>
      <c r="K90" s="18"/>
      <c r="L90" s="18"/>
      <c r="M90" s="18"/>
      <c r="N90" s="18"/>
      <c r="O90" s="18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>
      <c r="A91" s="7"/>
      <c r="B91" s="8" t="s">
        <v>176</v>
      </c>
      <c r="C91" s="9">
        <f t="shared" si="1"/>
        <v>11092</v>
      </c>
      <c r="D91" s="28"/>
      <c r="E91" s="29"/>
      <c r="F91" s="18"/>
      <c r="G91" s="18"/>
      <c r="H91" s="18"/>
      <c r="I91" s="25"/>
      <c r="J91" s="18"/>
      <c r="K91" s="18"/>
      <c r="L91" s="18"/>
      <c r="M91" s="18"/>
      <c r="N91" s="18"/>
      <c r="O91" s="18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>
      <c r="A92" s="7"/>
      <c r="B92" s="8" t="s">
        <v>177</v>
      </c>
      <c r="C92" s="9">
        <f t="shared" si="1"/>
        <v>11093</v>
      </c>
      <c r="D92" s="28"/>
      <c r="E92" s="29"/>
      <c r="F92" s="18"/>
      <c r="G92" s="18"/>
      <c r="H92" s="18"/>
      <c r="I92" s="25"/>
      <c r="J92" s="18"/>
      <c r="K92" s="18"/>
      <c r="L92" s="18"/>
      <c r="M92" s="18"/>
      <c r="N92" s="18"/>
      <c r="O92" s="18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>
      <c r="A93" s="7"/>
      <c r="B93" s="8" t="s">
        <v>178</v>
      </c>
      <c r="C93" s="9">
        <f t="shared" si="1"/>
        <v>11094</v>
      </c>
      <c r="D93" s="28"/>
      <c r="E93" s="29"/>
      <c r="F93" s="18"/>
      <c r="G93" s="18"/>
      <c r="H93" s="18"/>
      <c r="I93" s="25"/>
      <c r="J93" s="18"/>
      <c r="K93" s="18"/>
      <c r="L93" s="18"/>
      <c r="M93" s="18"/>
      <c r="N93" s="18"/>
      <c r="O93" s="18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>
      <c r="A94" s="7"/>
      <c r="B94" s="8" t="s">
        <v>179</v>
      </c>
      <c r="C94" s="9">
        <f t="shared" si="1"/>
        <v>11095</v>
      </c>
      <c r="D94" s="28"/>
      <c r="E94" s="29"/>
      <c r="F94" s="18"/>
      <c r="G94" s="18"/>
      <c r="H94" s="18"/>
      <c r="I94" s="25"/>
      <c r="J94" s="18"/>
      <c r="K94" s="18"/>
      <c r="L94" s="18"/>
      <c r="M94" s="18"/>
      <c r="N94" s="18"/>
      <c r="O94" s="18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>
      <c r="A95" s="7"/>
      <c r="B95" s="8" t="s">
        <v>180</v>
      </c>
      <c r="C95" s="9">
        <f t="shared" si="1"/>
        <v>11096</v>
      </c>
      <c r="D95" s="28"/>
      <c r="E95" s="29"/>
      <c r="F95" s="18"/>
      <c r="G95" s="18"/>
      <c r="H95" s="18"/>
      <c r="I95" s="25"/>
      <c r="J95" s="18"/>
      <c r="K95" s="18"/>
      <c r="L95" s="18"/>
      <c r="M95" s="18"/>
      <c r="N95" s="18"/>
      <c r="O95" s="18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>
      <c r="A96" s="7"/>
      <c r="B96" s="8" t="s">
        <v>181</v>
      </c>
      <c r="C96" s="9">
        <f t="shared" si="1"/>
        <v>11097</v>
      </c>
      <c r="D96" s="28"/>
      <c r="E96" s="29"/>
      <c r="F96" s="18"/>
      <c r="G96" s="18"/>
      <c r="H96" s="18"/>
      <c r="I96" s="25"/>
      <c r="J96" s="18"/>
      <c r="K96" s="18"/>
      <c r="L96" s="18"/>
      <c r="M96" s="18"/>
      <c r="N96" s="18"/>
      <c r="O96" s="18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>
      <c r="A97" s="7"/>
      <c r="B97" s="8" t="s">
        <v>182</v>
      </c>
      <c r="C97" s="9">
        <f t="shared" si="1"/>
        <v>11098</v>
      </c>
      <c r="D97" s="28"/>
      <c r="E97" s="29"/>
      <c r="F97" s="18"/>
      <c r="G97" s="18"/>
      <c r="H97" s="18"/>
      <c r="I97" s="25"/>
      <c r="J97" s="18"/>
      <c r="K97" s="18"/>
      <c r="L97" s="18"/>
      <c r="M97" s="18"/>
      <c r="N97" s="18"/>
      <c r="O97" s="18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>
      <c r="A98" s="7"/>
      <c r="B98" s="8" t="s">
        <v>183</v>
      </c>
      <c r="C98" s="9">
        <f t="shared" si="1"/>
        <v>11099</v>
      </c>
      <c r="D98" s="28"/>
      <c r="E98" s="29"/>
      <c r="F98" s="18"/>
      <c r="G98" s="18"/>
      <c r="H98" s="18"/>
      <c r="I98" s="25"/>
      <c r="J98" s="18"/>
      <c r="K98" s="18"/>
      <c r="L98" s="18"/>
      <c r="M98" s="18"/>
      <c r="N98" s="18"/>
      <c r="O98" s="18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>
      <c r="A99" s="7"/>
      <c r="B99" s="8" t="s">
        <v>184</v>
      </c>
      <c r="C99" s="9">
        <f t="shared" si="1"/>
        <v>11100</v>
      </c>
      <c r="D99" s="28"/>
      <c r="E99" s="29"/>
      <c r="F99" s="18"/>
      <c r="G99" s="18"/>
      <c r="H99" s="18"/>
      <c r="I99" s="25"/>
      <c r="J99" s="18"/>
      <c r="K99" s="18"/>
      <c r="L99" s="18"/>
      <c r="M99" s="18"/>
      <c r="N99" s="18"/>
      <c r="O99" s="18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>
      <c r="A100" s="7"/>
      <c r="B100" s="8" t="s">
        <v>185</v>
      </c>
      <c r="C100" s="9">
        <f t="shared" si="1"/>
        <v>11101</v>
      </c>
      <c r="D100" s="10"/>
      <c r="E100" s="11"/>
      <c r="F100" s="2"/>
      <c r="G100" s="2"/>
      <c r="H100" s="2"/>
      <c r="I100" s="25"/>
      <c r="J100" s="2"/>
      <c r="K100" s="2"/>
      <c r="L100" s="2"/>
      <c r="M100" s="26"/>
      <c r="N100" s="18"/>
      <c r="O100" s="18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>
      <c r="A101" s="7"/>
      <c r="B101" s="8" t="s">
        <v>186</v>
      </c>
      <c r="C101" s="9">
        <f t="shared" si="1"/>
        <v>11102</v>
      </c>
      <c r="D101" s="10"/>
      <c r="E101" s="11"/>
      <c r="F101" s="2"/>
      <c r="G101" s="2"/>
      <c r="H101" s="2"/>
      <c r="I101" s="12"/>
      <c r="J101" s="2"/>
      <c r="K101" s="2"/>
      <c r="L101" s="2"/>
      <c r="M101" s="26"/>
      <c r="N101" s="18"/>
      <c r="O101" s="18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>
      <c r="A102" s="7"/>
      <c r="B102" s="8" t="s">
        <v>187</v>
      </c>
      <c r="C102" s="9">
        <f t="shared" si="1"/>
        <v>11103</v>
      </c>
      <c r="D102" s="10"/>
      <c r="E102" s="11"/>
      <c r="F102" s="2"/>
      <c r="G102" s="2"/>
      <c r="H102" s="2"/>
      <c r="I102" s="25"/>
      <c r="J102" s="2"/>
      <c r="K102" s="2"/>
      <c r="L102" s="2"/>
      <c r="M102" s="26"/>
      <c r="N102" s="18"/>
      <c r="O102" s="18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>
      <c r="A103" s="7"/>
      <c r="B103" s="8" t="s">
        <v>188</v>
      </c>
      <c r="C103" s="9">
        <f t="shared" si="1"/>
        <v>11104</v>
      </c>
      <c r="D103" s="10"/>
      <c r="E103" s="11"/>
      <c r="F103" s="2"/>
      <c r="G103" s="2"/>
      <c r="H103" s="2"/>
      <c r="I103" s="25"/>
      <c r="J103" s="2"/>
      <c r="K103" s="2"/>
      <c r="L103" s="2"/>
      <c r="M103" s="26"/>
      <c r="N103" s="18"/>
      <c r="O103" s="18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>
      <c r="A104" s="7"/>
      <c r="B104" s="8" t="s">
        <v>189</v>
      </c>
      <c r="C104" s="9">
        <f t="shared" si="1"/>
        <v>11105</v>
      </c>
      <c r="D104" s="10"/>
      <c r="E104" s="11"/>
      <c r="F104" s="2"/>
      <c r="G104" s="2"/>
      <c r="H104" s="2"/>
      <c r="I104" s="12"/>
      <c r="J104" s="2"/>
      <c r="K104" s="2"/>
      <c r="L104" s="2"/>
      <c r="M104" s="21"/>
      <c r="N104" s="2"/>
      <c r="O104" s="18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>
      <c r="A105" s="7"/>
      <c r="B105" s="8" t="s">
        <v>190</v>
      </c>
      <c r="C105" s="9">
        <f t="shared" si="1"/>
        <v>11106</v>
      </c>
      <c r="D105" s="10"/>
      <c r="E105" s="11"/>
      <c r="F105" s="2"/>
      <c r="G105" s="2"/>
      <c r="H105" s="2"/>
      <c r="I105" s="12"/>
      <c r="J105" s="2"/>
      <c r="K105" s="2"/>
      <c r="L105" s="2"/>
      <c r="M105" s="21"/>
      <c r="N105" s="2"/>
      <c r="O105" s="18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>
      <c r="A106" s="7"/>
      <c r="B106" s="8" t="s">
        <v>191</v>
      </c>
      <c r="C106" s="9">
        <f t="shared" si="1"/>
        <v>11107</v>
      </c>
      <c r="D106" s="10"/>
      <c r="E106" s="11"/>
      <c r="F106" s="2"/>
      <c r="G106" s="2"/>
      <c r="H106" s="2"/>
      <c r="I106" s="12"/>
      <c r="J106" s="2"/>
      <c r="K106" s="2"/>
      <c r="L106" s="2"/>
      <c r="M106" s="21"/>
      <c r="N106" s="2"/>
      <c r="O106" s="18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>
      <c r="A107" s="7"/>
      <c r="B107" s="8" t="s">
        <v>192</v>
      </c>
      <c r="C107" s="9">
        <f t="shared" si="1"/>
        <v>11108</v>
      </c>
      <c r="D107" s="10"/>
      <c r="E107" s="11"/>
      <c r="F107" s="2"/>
      <c r="G107" s="2"/>
      <c r="H107" s="2"/>
      <c r="I107" s="12"/>
      <c r="J107" s="2"/>
      <c r="K107" s="2"/>
      <c r="L107" s="2"/>
      <c r="M107" s="26"/>
      <c r="N107" s="2"/>
      <c r="O107" s="18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>
      <c r="A108" s="7"/>
      <c r="B108" s="8" t="s">
        <v>193</v>
      </c>
      <c r="C108" s="9">
        <f t="shared" si="1"/>
        <v>11109</v>
      </c>
      <c r="D108" s="10"/>
      <c r="E108" s="11"/>
      <c r="F108" s="2"/>
      <c r="G108" s="2"/>
      <c r="H108" s="2"/>
      <c r="I108" s="12"/>
      <c r="J108" s="2"/>
      <c r="K108" s="2"/>
      <c r="L108" s="2"/>
      <c r="M108" s="26"/>
      <c r="N108" s="2"/>
      <c r="O108" s="18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>
      <c r="A109" s="7"/>
      <c r="B109" s="8" t="s">
        <v>194</v>
      </c>
      <c r="C109" s="9">
        <f t="shared" si="1"/>
        <v>11110</v>
      </c>
      <c r="D109" s="10"/>
      <c r="E109" s="11"/>
      <c r="F109" s="2"/>
      <c r="G109" s="2"/>
      <c r="H109" s="2"/>
      <c r="I109" s="12"/>
      <c r="J109" s="2"/>
      <c r="K109" s="2"/>
      <c r="L109" s="2"/>
      <c r="M109" s="26"/>
      <c r="N109" s="2"/>
      <c r="O109" s="18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>
      <c r="A110" s="7"/>
      <c r="B110" s="8" t="s">
        <v>195</v>
      </c>
      <c r="C110" s="9">
        <f t="shared" si="1"/>
        <v>11111</v>
      </c>
      <c r="D110" s="10"/>
      <c r="E110" s="11"/>
      <c r="F110" s="2"/>
      <c r="G110" s="2"/>
      <c r="H110" s="2"/>
      <c r="I110" s="12"/>
      <c r="J110" s="2"/>
      <c r="K110" s="2"/>
      <c r="L110" s="2"/>
      <c r="M110" s="26"/>
      <c r="N110" s="2"/>
      <c r="O110" s="18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>
      <c r="A111" s="7"/>
      <c r="B111" s="8" t="s">
        <v>196</v>
      </c>
      <c r="C111" s="9">
        <f t="shared" si="1"/>
        <v>11112</v>
      </c>
      <c r="D111" s="10"/>
      <c r="E111" s="11"/>
      <c r="F111" s="2"/>
      <c r="G111" s="2"/>
      <c r="H111" s="2"/>
      <c r="I111" s="12"/>
      <c r="J111" s="2"/>
      <c r="K111" s="2"/>
      <c r="L111" s="2"/>
      <c r="M111" s="26"/>
      <c r="N111" s="2"/>
      <c r="O111" s="18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>
      <c r="A112" s="7"/>
      <c r="B112" s="8" t="s">
        <v>197</v>
      </c>
      <c r="C112" s="9">
        <f t="shared" si="1"/>
        <v>11113</v>
      </c>
      <c r="D112" s="10"/>
      <c r="E112" s="11"/>
      <c r="F112" s="2"/>
      <c r="G112" s="2"/>
      <c r="H112" s="2"/>
      <c r="I112" s="12"/>
      <c r="J112" s="2"/>
      <c r="K112" s="2"/>
      <c r="L112" s="2"/>
      <c r="M112" s="26"/>
      <c r="N112" s="2"/>
      <c r="O112" s="18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>
      <c r="A113" s="7"/>
      <c r="B113" s="8" t="s">
        <v>198</v>
      </c>
      <c r="C113" s="9">
        <f t="shared" si="1"/>
        <v>11114</v>
      </c>
      <c r="D113" s="28"/>
      <c r="E113" s="11"/>
      <c r="F113" s="2"/>
      <c r="G113" s="2"/>
      <c r="H113" s="2"/>
      <c r="I113" s="12"/>
      <c r="J113" s="2"/>
      <c r="K113" s="2"/>
      <c r="L113" s="2"/>
      <c r="M113" s="26"/>
      <c r="N113" s="2"/>
      <c r="O113" s="18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>
      <c r="A114" s="7"/>
      <c r="B114" s="8" t="s">
        <v>199</v>
      </c>
      <c r="C114" s="9">
        <f t="shared" si="1"/>
        <v>11115</v>
      </c>
      <c r="D114" s="28"/>
      <c r="E114" s="11"/>
      <c r="F114" s="2"/>
      <c r="G114" s="2"/>
      <c r="H114" s="2"/>
      <c r="I114" s="12"/>
      <c r="J114" s="2"/>
      <c r="K114" s="2"/>
      <c r="L114" s="2"/>
      <c r="M114" s="26"/>
      <c r="N114" s="2"/>
      <c r="O114" s="18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>
      <c r="A115" s="7"/>
      <c r="B115" s="8" t="s">
        <v>200</v>
      </c>
      <c r="C115" s="9">
        <f t="shared" si="1"/>
        <v>11116</v>
      </c>
      <c r="D115" s="28"/>
      <c r="E115" s="11"/>
      <c r="F115" s="2"/>
      <c r="G115" s="2"/>
      <c r="H115" s="2"/>
      <c r="I115" s="12"/>
      <c r="J115" s="2"/>
      <c r="K115" s="2"/>
      <c r="L115" s="2"/>
      <c r="M115" s="26"/>
      <c r="N115" s="2"/>
      <c r="O115" s="18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>
      <c r="A116" s="7"/>
      <c r="B116" s="8" t="s">
        <v>201</v>
      </c>
      <c r="C116" s="9">
        <f t="shared" si="1"/>
        <v>11117</v>
      </c>
      <c r="D116" s="28"/>
      <c r="E116" s="11"/>
      <c r="F116" s="2"/>
      <c r="G116" s="2"/>
      <c r="H116" s="2"/>
      <c r="I116" s="12"/>
      <c r="J116" s="2"/>
      <c r="K116" s="2"/>
      <c r="L116" s="2"/>
      <c r="M116" s="26"/>
      <c r="N116" s="2"/>
      <c r="O116" s="18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>
      <c r="A117" s="7"/>
      <c r="B117" s="8" t="s">
        <v>202</v>
      </c>
      <c r="C117" s="9">
        <f t="shared" si="1"/>
        <v>11118</v>
      </c>
      <c r="D117" s="28"/>
      <c r="E117" s="11"/>
      <c r="F117" s="2"/>
      <c r="G117" s="2"/>
      <c r="H117" s="2"/>
      <c r="I117" s="12"/>
      <c r="J117" s="2"/>
      <c r="K117" s="2"/>
      <c r="L117" s="2"/>
      <c r="M117" s="26"/>
      <c r="N117" s="2"/>
      <c r="O117" s="18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>
      <c r="A118" s="7"/>
      <c r="B118" s="8" t="s">
        <v>203</v>
      </c>
      <c r="C118" s="9">
        <f t="shared" si="1"/>
        <v>11119</v>
      </c>
      <c r="D118" s="28"/>
      <c r="E118" s="11"/>
      <c r="F118" s="2"/>
      <c r="G118" s="2"/>
      <c r="H118" s="2"/>
      <c r="I118" s="12"/>
      <c r="J118" s="2"/>
      <c r="K118" s="2"/>
      <c r="L118" s="2"/>
      <c r="M118" s="26"/>
      <c r="N118" s="2"/>
      <c r="O118" s="18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>
      <c r="A119" s="7"/>
      <c r="B119" s="8" t="s">
        <v>204</v>
      </c>
      <c r="C119" s="9">
        <f t="shared" si="1"/>
        <v>11120</v>
      </c>
      <c r="D119" s="28"/>
      <c r="E119" s="11"/>
      <c r="F119" s="2"/>
      <c r="G119" s="2"/>
      <c r="H119" s="2"/>
      <c r="I119" s="12"/>
      <c r="J119" s="2"/>
      <c r="K119" s="2"/>
      <c r="L119" s="2"/>
      <c r="M119" s="26"/>
      <c r="N119" s="2"/>
      <c r="O119" s="18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>
      <c r="A120" s="7"/>
      <c r="B120" s="8" t="s">
        <v>205</v>
      </c>
      <c r="C120" s="9">
        <f t="shared" si="1"/>
        <v>11121</v>
      </c>
      <c r="D120" s="28"/>
      <c r="E120" s="11"/>
      <c r="F120" s="2"/>
      <c r="G120" s="2"/>
      <c r="H120" s="2"/>
      <c r="I120" s="12"/>
      <c r="J120" s="2"/>
      <c r="K120" s="2"/>
      <c r="L120" s="2"/>
      <c r="M120" s="26"/>
      <c r="N120" s="2"/>
      <c r="O120" s="18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>
      <c r="A121" s="7"/>
      <c r="B121" s="8" t="s">
        <v>206</v>
      </c>
      <c r="C121" s="9">
        <f t="shared" si="1"/>
        <v>11122</v>
      </c>
      <c r="D121" s="28"/>
      <c r="E121" s="11"/>
      <c r="F121" s="2"/>
      <c r="G121" s="2"/>
      <c r="H121" s="2"/>
      <c r="I121" s="12"/>
      <c r="J121" s="2"/>
      <c r="K121" s="2"/>
      <c r="L121" s="2"/>
      <c r="M121" s="26"/>
      <c r="N121" s="2"/>
      <c r="O121" s="18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>
      <c r="A122" s="7"/>
      <c r="B122" s="8" t="s">
        <v>207</v>
      </c>
      <c r="C122" s="9">
        <f t="shared" si="1"/>
        <v>11123</v>
      </c>
      <c r="D122" s="28"/>
      <c r="E122" s="11"/>
      <c r="F122" s="2"/>
      <c r="G122" s="2"/>
      <c r="H122" s="2"/>
      <c r="I122" s="12"/>
      <c r="J122" s="2"/>
      <c r="K122" s="2"/>
      <c r="L122" s="2"/>
      <c r="M122" s="26"/>
      <c r="N122" s="2"/>
      <c r="O122" s="18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>
      <c r="A123" s="7"/>
      <c r="B123" s="8" t="s">
        <v>208</v>
      </c>
      <c r="C123" s="9">
        <f t="shared" si="1"/>
        <v>11124</v>
      </c>
      <c r="D123" s="28"/>
      <c r="E123" s="11"/>
      <c r="F123" s="2"/>
      <c r="G123" s="2"/>
      <c r="H123" s="2"/>
      <c r="I123" s="12"/>
      <c r="J123" s="2"/>
      <c r="K123" s="2"/>
      <c r="L123" s="2"/>
      <c r="M123" s="26"/>
      <c r="N123" s="2"/>
      <c r="O123" s="18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>
      <c r="A124" s="7"/>
      <c r="B124" s="8" t="s">
        <v>209</v>
      </c>
      <c r="C124" s="9">
        <f t="shared" si="1"/>
        <v>11125</v>
      </c>
      <c r="D124" s="28"/>
      <c r="E124" s="11"/>
      <c r="F124" s="2"/>
      <c r="G124" s="2"/>
      <c r="H124" s="2"/>
      <c r="I124" s="12"/>
      <c r="J124" s="2"/>
      <c r="K124" s="2"/>
      <c r="L124" s="2"/>
      <c r="M124" s="26"/>
      <c r="N124" s="2"/>
      <c r="O124" s="18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>
      <c r="A125" s="7"/>
      <c r="B125" s="8" t="s">
        <v>210</v>
      </c>
      <c r="C125" s="9">
        <f t="shared" si="1"/>
        <v>11126</v>
      </c>
      <c r="D125" s="28"/>
      <c r="E125" s="11"/>
      <c r="F125" s="2"/>
      <c r="G125" s="2"/>
      <c r="H125" s="2"/>
      <c r="I125" s="12"/>
      <c r="J125" s="2"/>
      <c r="K125" s="2"/>
      <c r="L125" s="2"/>
      <c r="M125" s="26"/>
      <c r="N125" s="2"/>
      <c r="O125" s="18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>
      <c r="A126" s="7"/>
      <c r="B126" s="8" t="s">
        <v>211</v>
      </c>
      <c r="C126" s="9">
        <f t="shared" si="1"/>
        <v>11127</v>
      </c>
      <c r="D126" s="28"/>
      <c r="E126" s="11"/>
      <c r="F126" s="2"/>
      <c r="G126" s="2"/>
      <c r="H126" s="2"/>
      <c r="I126" s="12"/>
      <c r="J126" s="2"/>
      <c r="K126" s="2"/>
      <c r="L126" s="2"/>
      <c r="M126" s="26"/>
      <c r="N126" s="2"/>
      <c r="O126" s="18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>
      <c r="A127" s="7"/>
      <c r="B127" s="8" t="s">
        <v>212</v>
      </c>
      <c r="C127" s="9">
        <f t="shared" si="1"/>
        <v>11128</v>
      </c>
      <c r="D127" s="28"/>
      <c r="E127" s="11"/>
      <c r="F127" s="2"/>
      <c r="G127" s="2"/>
      <c r="H127" s="2"/>
      <c r="I127" s="12"/>
      <c r="J127" s="2"/>
      <c r="K127" s="2"/>
      <c r="L127" s="2"/>
      <c r="M127" s="26"/>
      <c r="N127" s="2"/>
      <c r="O127" s="18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>
      <c r="A128" s="7"/>
      <c r="B128" s="8" t="s">
        <v>213</v>
      </c>
      <c r="C128" s="9">
        <f t="shared" si="1"/>
        <v>11129</v>
      </c>
      <c r="D128" s="28"/>
      <c r="E128" s="11"/>
      <c r="F128" s="2"/>
      <c r="G128" s="2"/>
      <c r="H128" s="2"/>
      <c r="I128" s="12"/>
      <c r="J128" s="2"/>
      <c r="K128" s="2"/>
      <c r="L128" s="2"/>
      <c r="M128" s="26"/>
      <c r="N128" s="2"/>
      <c r="O128" s="18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>
      <c r="A129" s="7"/>
      <c r="B129" s="8" t="s">
        <v>214</v>
      </c>
      <c r="C129" s="9">
        <f t="shared" si="1"/>
        <v>11130</v>
      </c>
      <c r="D129" s="10"/>
      <c r="E129" s="11"/>
      <c r="F129" s="2"/>
      <c r="G129" s="2"/>
      <c r="H129" s="2"/>
      <c r="I129" s="12"/>
      <c r="J129" s="2"/>
      <c r="K129" s="2"/>
      <c r="L129" s="2"/>
      <c r="M129" s="26"/>
      <c r="N129" s="18"/>
      <c r="O129" s="18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>
      <c r="A130" s="7"/>
      <c r="B130" s="8" t="s">
        <v>215</v>
      </c>
      <c r="C130" s="9">
        <f t="shared" si="1"/>
        <v>11131</v>
      </c>
      <c r="D130" s="10"/>
      <c r="E130" s="11"/>
      <c r="F130" s="2"/>
      <c r="G130" s="2"/>
      <c r="H130" s="2"/>
      <c r="I130" s="25"/>
      <c r="J130" s="2"/>
      <c r="K130" s="2"/>
      <c r="L130" s="2"/>
      <c r="M130" s="26"/>
      <c r="N130" s="18"/>
      <c r="O130" s="18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>
      <c r="A131" s="7"/>
      <c r="B131" s="8" t="s">
        <v>216</v>
      </c>
      <c r="C131" s="9">
        <f t="shared" si="1"/>
        <v>11132</v>
      </c>
      <c r="D131" s="28"/>
      <c r="E131" s="29"/>
      <c r="F131" s="18"/>
      <c r="G131" s="18"/>
      <c r="H131" s="18"/>
      <c r="I131" s="25"/>
      <c r="J131" s="18"/>
      <c r="K131" s="18"/>
      <c r="L131" s="18"/>
      <c r="M131" s="18"/>
      <c r="N131" s="18"/>
      <c r="O131" s="18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>
      <c r="A132" s="7"/>
      <c r="B132" s="8" t="s">
        <v>217</v>
      </c>
      <c r="C132" s="9">
        <f t="shared" si="1"/>
        <v>11133</v>
      </c>
      <c r="D132" s="28"/>
      <c r="E132" s="29"/>
      <c r="F132" s="18"/>
      <c r="G132" s="18"/>
      <c r="H132" s="18"/>
      <c r="I132" s="25"/>
      <c r="J132" s="18"/>
      <c r="K132" s="18"/>
      <c r="L132" s="18"/>
      <c r="M132" s="18"/>
      <c r="N132" s="18"/>
      <c r="O132" s="18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>
      <c r="A133" s="7"/>
      <c r="B133" s="8" t="s">
        <v>218</v>
      </c>
      <c r="C133" s="9">
        <f t="shared" si="1"/>
        <v>11134</v>
      </c>
      <c r="D133" s="10"/>
      <c r="E133" s="11"/>
      <c r="F133" s="18"/>
      <c r="G133" s="2"/>
      <c r="H133" s="2"/>
      <c r="I133" s="12"/>
      <c r="J133" s="2"/>
      <c r="K133" s="2"/>
      <c r="L133" s="2"/>
      <c r="M133" s="21"/>
      <c r="N133" s="2"/>
      <c r="O133" s="18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>
      <c r="A134" s="7"/>
      <c r="B134" s="8" t="s">
        <v>219</v>
      </c>
      <c r="C134" s="9">
        <f t="shared" si="1"/>
        <v>11135</v>
      </c>
      <c r="D134" s="10"/>
      <c r="E134" s="11"/>
      <c r="F134" s="18"/>
      <c r="G134" s="2"/>
      <c r="H134" s="2"/>
      <c r="I134" s="12"/>
      <c r="J134" s="2"/>
      <c r="K134" s="2"/>
      <c r="L134" s="2"/>
      <c r="M134" s="41"/>
      <c r="N134" s="2"/>
      <c r="O134" s="18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>
      <c r="A135" s="7"/>
      <c r="B135" s="8" t="s">
        <v>220</v>
      </c>
      <c r="C135" s="9">
        <f t="shared" si="1"/>
        <v>11136</v>
      </c>
      <c r="D135" s="28"/>
      <c r="E135" s="11"/>
      <c r="F135" s="18"/>
      <c r="G135" s="2"/>
      <c r="H135" s="2"/>
      <c r="I135" s="12"/>
      <c r="J135" s="2"/>
      <c r="K135" s="2"/>
      <c r="L135" s="2"/>
      <c r="M135" s="21"/>
      <c r="N135" s="2"/>
      <c r="O135" s="18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>
      <c r="A136" s="7"/>
      <c r="B136" s="8" t="s">
        <v>221</v>
      </c>
      <c r="C136" s="9">
        <f t="shared" si="1"/>
        <v>11137</v>
      </c>
      <c r="D136" s="28"/>
      <c r="E136" s="11"/>
      <c r="F136" s="18"/>
      <c r="G136" s="2"/>
      <c r="H136" s="2"/>
      <c r="I136" s="12"/>
      <c r="J136" s="18"/>
      <c r="K136" s="2"/>
      <c r="L136" s="2"/>
      <c r="M136" s="21"/>
      <c r="N136" s="2"/>
      <c r="O136" s="18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>
      <c r="A137" s="7"/>
      <c r="B137" s="8" t="s">
        <v>222</v>
      </c>
      <c r="C137" s="9">
        <f t="shared" si="1"/>
        <v>11138</v>
      </c>
      <c r="D137" s="28"/>
      <c r="E137" s="11"/>
      <c r="F137" s="18"/>
      <c r="G137" s="2"/>
      <c r="H137" s="2"/>
      <c r="I137" s="12"/>
      <c r="J137" s="2"/>
      <c r="K137" s="2"/>
      <c r="L137" s="2"/>
      <c r="M137" s="21"/>
      <c r="N137" s="2"/>
      <c r="O137" s="18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>
      <c r="A138" s="7"/>
      <c r="B138" s="8" t="s">
        <v>223</v>
      </c>
      <c r="C138" s="9">
        <f t="shared" si="1"/>
        <v>11139</v>
      </c>
      <c r="D138" s="28"/>
      <c r="E138" s="11"/>
      <c r="F138" s="18"/>
      <c r="G138" s="2"/>
      <c r="H138" s="2"/>
      <c r="I138" s="12"/>
      <c r="J138" s="2"/>
      <c r="K138" s="2"/>
      <c r="L138" s="2"/>
      <c r="M138" s="21"/>
      <c r="N138" s="2"/>
      <c r="O138" s="18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>
      <c r="A139" s="7"/>
      <c r="B139" s="8" t="s">
        <v>224</v>
      </c>
      <c r="C139" s="9">
        <f t="shared" si="1"/>
        <v>11140</v>
      </c>
      <c r="D139" s="28"/>
      <c r="E139" s="11"/>
      <c r="F139" s="18"/>
      <c r="G139" s="2"/>
      <c r="H139" s="2"/>
      <c r="I139" s="12"/>
      <c r="J139" s="18"/>
      <c r="K139" s="2"/>
      <c r="L139" s="2"/>
      <c r="M139" s="21"/>
      <c r="N139" s="2"/>
      <c r="O139" s="18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>
      <c r="A140" s="7"/>
      <c r="B140" s="8" t="s">
        <v>225</v>
      </c>
      <c r="C140" s="9">
        <f t="shared" si="1"/>
        <v>11141</v>
      </c>
      <c r="D140" s="28"/>
      <c r="E140" s="11"/>
      <c r="F140" s="18"/>
      <c r="G140" s="2"/>
      <c r="H140" s="2"/>
      <c r="I140" s="12"/>
      <c r="J140" s="2"/>
      <c r="K140" s="2"/>
      <c r="L140" s="2"/>
      <c r="M140" s="21"/>
      <c r="N140" s="2"/>
      <c r="O140" s="18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>
      <c r="A141" s="7"/>
      <c r="B141" s="8" t="s">
        <v>226</v>
      </c>
      <c r="C141" s="9">
        <f t="shared" si="1"/>
        <v>11142</v>
      </c>
      <c r="D141" s="28"/>
      <c r="E141" s="11"/>
      <c r="F141" s="18"/>
      <c r="G141" s="2"/>
      <c r="H141" s="2"/>
      <c r="I141" s="12"/>
      <c r="J141" s="2"/>
      <c r="K141" s="2"/>
      <c r="L141" s="2"/>
      <c r="M141" s="21"/>
      <c r="N141" s="2"/>
      <c r="O141" s="18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>
      <c r="A142" s="7"/>
      <c r="B142" s="8" t="s">
        <v>227</v>
      </c>
      <c r="C142" s="9">
        <f t="shared" si="1"/>
        <v>11143</v>
      </c>
      <c r="D142" s="28"/>
      <c r="E142" s="11"/>
      <c r="F142" s="18"/>
      <c r="G142" s="2"/>
      <c r="H142" s="2"/>
      <c r="I142" s="12"/>
      <c r="J142" s="2"/>
      <c r="K142" s="2"/>
      <c r="L142" s="2"/>
      <c r="M142" s="21"/>
      <c r="N142" s="2"/>
      <c r="O142" s="18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>
      <c r="A143" s="7"/>
      <c r="B143" s="8" t="s">
        <v>228</v>
      </c>
      <c r="C143" s="9">
        <f t="shared" si="1"/>
        <v>11144</v>
      </c>
      <c r="D143" s="28"/>
      <c r="E143" s="11"/>
      <c r="F143" s="18"/>
      <c r="G143" s="2"/>
      <c r="H143" s="2"/>
      <c r="I143" s="12"/>
      <c r="J143" s="2"/>
      <c r="K143" s="2"/>
      <c r="L143" s="2"/>
      <c r="M143" s="21"/>
      <c r="N143" s="2"/>
      <c r="O143" s="18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>
      <c r="A144" s="7"/>
      <c r="B144" s="8" t="s">
        <v>229</v>
      </c>
      <c r="C144" s="9">
        <f t="shared" si="1"/>
        <v>11145</v>
      </c>
      <c r="D144" s="28"/>
      <c r="E144" s="11"/>
      <c r="F144" s="18"/>
      <c r="G144" s="2"/>
      <c r="H144" s="2"/>
      <c r="I144" s="12"/>
      <c r="J144" s="18"/>
      <c r="K144" s="2"/>
      <c r="L144" s="2"/>
      <c r="M144" s="21"/>
      <c r="N144" s="2"/>
      <c r="O144" s="18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>
      <c r="A145" s="7"/>
      <c r="B145" s="8" t="s">
        <v>230</v>
      </c>
      <c r="C145" s="9">
        <f t="shared" si="1"/>
        <v>11146</v>
      </c>
      <c r="D145" s="28"/>
      <c r="E145" s="11"/>
      <c r="F145" s="18"/>
      <c r="G145" s="2"/>
      <c r="H145" s="2"/>
      <c r="I145" s="12"/>
      <c r="J145" s="2"/>
      <c r="K145" s="2"/>
      <c r="L145" s="2"/>
      <c r="M145" s="21"/>
      <c r="N145" s="2"/>
      <c r="O145" s="18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>
      <c r="A146" s="7"/>
      <c r="B146" s="8" t="s">
        <v>231</v>
      </c>
      <c r="C146" s="9">
        <f t="shared" si="1"/>
        <v>11148</v>
      </c>
      <c r="D146" s="28"/>
      <c r="E146" s="11"/>
      <c r="F146" s="18"/>
      <c r="G146" s="2"/>
      <c r="H146" s="2"/>
      <c r="I146" s="12"/>
      <c r="J146" s="2"/>
      <c r="K146" s="2"/>
      <c r="L146" s="2"/>
      <c r="M146" s="21"/>
      <c r="N146" s="12"/>
      <c r="O146" s="18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>
      <c r="A147" s="7"/>
      <c r="B147" s="8" t="s">
        <v>232</v>
      </c>
      <c r="C147" s="9">
        <f t="shared" si="1"/>
        <v>11149</v>
      </c>
      <c r="D147" s="28"/>
      <c r="E147" s="11"/>
      <c r="F147" s="18"/>
      <c r="G147" s="2"/>
      <c r="H147" s="2"/>
      <c r="I147" s="12"/>
      <c r="J147" s="2"/>
      <c r="K147" s="2"/>
      <c r="L147" s="2"/>
      <c r="M147" s="21"/>
      <c r="N147" s="12"/>
      <c r="O147" s="18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>
      <c r="A148" s="7"/>
      <c r="B148" s="8" t="s">
        <v>233</v>
      </c>
      <c r="C148" s="9">
        <f t="shared" si="1"/>
        <v>11150</v>
      </c>
      <c r="D148" s="28"/>
      <c r="E148" s="23"/>
      <c r="F148" s="18"/>
      <c r="G148" s="2"/>
      <c r="H148" s="2"/>
      <c r="I148" s="12"/>
      <c r="J148" s="2"/>
      <c r="K148" s="2"/>
      <c r="L148" s="2"/>
      <c r="M148" s="21"/>
      <c r="N148" s="12"/>
      <c r="O148" s="18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>
      <c r="A149" s="7"/>
      <c r="B149" s="8" t="s">
        <v>234</v>
      </c>
      <c r="C149" s="9">
        <f t="shared" si="1"/>
        <v>11151</v>
      </c>
      <c r="D149" s="28"/>
      <c r="E149" s="11"/>
      <c r="F149" s="18"/>
      <c r="G149" s="2"/>
      <c r="H149" s="2"/>
      <c r="I149" s="12"/>
      <c r="J149" s="2"/>
      <c r="K149" s="2"/>
      <c r="L149" s="2"/>
      <c r="M149" s="21"/>
      <c r="N149" s="12"/>
      <c r="O149" s="18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>
      <c r="A150" s="7"/>
      <c r="B150" s="8" t="s">
        <v>235</v>
      </c>
      <c r="C150" s="9">
        <f t="shared" si="1"/>
        <v>11152</v>
      </c>
      <c r="D150" s="28"/>
      <c r="E150" s="11"/>
      <c r="F150" s="18"/>
      <c r="G150" s="2"/>
      <c r="H150" s="2"/>
      <c r="I150" s="12"/>
      <c r="J150" s="2"/>
      <c r="K150" s="2"/>
      <c r="L150" s="2"/>
      <c r="M150" s="21"/>
      <c r="N150" s="12"/>
      <c r="O150" s="18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>
      <c r="A151" s="7"/>
      <c r="B151" s="8" t="s">
        <v>236</v>
      </c>
      <c r="C151" s="9">
        <f t="shared" si="1"/>
        <v>11153</v>
      </c>
      <c r="D151" s="28"/>
      <c r="E151" s="11"/>
      <c r="F151" s="18"/>
      <c r="G151" s="2"/>
      <c r="H151" s="2"/>
      <c r="I151" s="12"/>
      <c r="J151" s="2"/>
      <c r="K151" s="2"/>
      <c r="L151" s="2"/>
      <c r="M151" s="21"/>
      <c r="N151" s="12"/>
      <c r="O151" s="18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>
      <c r="A152" s="7"/>
      <c r="B152" s="8" t="s">
        <v>237</v>
      </c>
      <c r="C152" s="9">
        <f t="shared" si="1"/>
        <v>11154</v>
      </c>
      <c r="D152" s="28"/>
      <c r="E152" s="11"/>
      <c r="F152" s="18"/>
      <c r="G152" s="2"/>
      <c r="H152" s="2"/>
      <c r="I152" s="12"/>
      <c r="J152" s="2"/>
      <c r="K152" s="2"/>
      <c r="L152" s="2"/>
      <c r="M152" s="21"/>
      <c r="N152" s="12"/>
      <c r="O152" s="18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>
      <c r="A153" s="7"/>
      <c r="B153" s="8" t="s">
        <v>238</v>
      </c>
      <c r="C153" s="9">
        <f t="shared" si="1"/>
        <v>11155</v>
      </c>
      <c r="D153" s="28"/>
      <c r="E153" s="11"/>
      <c r="F153" s="18"/>
      <c r="G153" s="2"/>
      <c r="H153" s="2"/>
      <c r="I153" s="12"/>
      <c r="J153" s="2"/>
      <c r="K153" s="2"/>
      <c r="L153" s="2"/>
      <c r="M153" s="21"/>
      <c r="N153" s="12"/>
      <c r="O153" s="18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>
      <c r="A154" s="7"/>
      <c r="B154" s="8" t="s">
        <v>239</v>
      </c>
      <c r="C154" s="9">
        <f t="shared" si="1"/>
        <v>11156</v>
      </c>
      <c r="D154" s="28"/>
      <c r="E154" s="11"/>
      <c r="F154" s="18"/>
      <c r="G154" s="2"/>
      <c r="H154" s="2"/>
      <c r="I154" s="12"/>
      <c r="J154" s="2"/>
      <c r="K154" s="2"/>
      <c r="L154" s="2"/>
      <c r="M154" s="21"/>
      <c r="N154" s="12"/>
      <c r="O154" s="18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>
      <c r="A155" s="7"/>
      <c r="B155" s="8" t="s">
        <v>240</v>
      </c>
      <c r="C155" s="9">
        <f t="shared" si="1"/>
        <v>11157</v>
      </c>
      <c r="D155" s="28"/>
      <c r="E155" s="11"/>
      <c r="F155" s="18"/>
      <c r="G155" s="2"/>
      <c r="H155" s="2"/>
      <c r="I155" s="12"/>
      <c r="J155" s="2"/>
      <c r="K155" s="2"/>
      <c r="L155" s="2"/>
      <c r="M155" s="21"/>
      <c r="N155" s="12"/>
      <c r="O155" s="18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>
      <c r="A156" s="7"/>
      <c r="B156" s="8" t="s">
        <v>241</v>
      </c>
      <c r="C156" s="9">
        <f t="shared" si="1"/>
        <v>11158</v>
      </c>
      <c r="D156" s="28"/>
      <c r="E156" s="11"/>
      <c r="F156" s="18"/>
      <c r="G156" s="2"/>
      <c r="H156" s="2"/>
      <c r="I156" s="12"/>
      <c r="J156" s="2"/>
      <c r="K156" s="2"/>
      <c r="L156" s="2"/>
      <c r="M156" s="21"/>
      <c r="N156" s="12"/>
      <c r="O156" s="18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>
      <c r="A157" s="7"/>
      <c r="B157" s="8" t="s">
        <v>242</v>
      </c>
      <c r="C157" s="9">
        <f t="shared" si="1"/>
        <v>11159</v>
      </c>
      <c r="D157" s="28"/>
      <c r="E157" s="11"/>
      <c r="F157" s="18"/>
      <c r="G157" s="2"/>
      <c r="H157" s="2"/>
      <c r="I157" s="12"/>
      <c r="J157" s="2"/>
      <c r="K157" s="2"/>
      <c r="L157" s="2"/>
      <c r="M157" s="21"/>
      <c r="N157" s="12"/>
      <c r="O157" s="18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>
      <c r="A158" s="7"/>
      <c r="B158" s="8" t="s">
        <v>243</v>
      </c>
      <c r="C158" s="9">
        <f t="shared" si="1"/>
        <v>11160</v>
      </c>
      <c r="D158" s="28"/>
      <c r="E158" s="11"/>
      <c r="F158" s="18"/>
      <c r="G158" s="2"/>
      <c r="H158" s="2"/>
      <c r="I158" s="12"/>
      <c r="J158" s="2"/>
      <c r="K158" s="2"/>
      <c r="L158" s="2"/>
      <c r="M158" s="21"/>
      <c r="N158" s="12"/>
      <c r="O158" s="18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>
      <c r="A159" s="7"/>
      <c r="B159" s="8" t="s">
        <v>244</v>
      </c>
      <c r="C159" s="9">
        <f t="shared" si="1"/>
        <v>11161</v>
      </c>
      <c r="D159" s="28"/>
      <c r="E159" s="11"/>
      <c r="F159" s="18"/>
      <c r="G159" s="2"/>
      <c r="H159" s="2"/>
      <c r="I159" s="12"/>
      <c r="J159" s="2"/>
      <c r="K159" s="2"/>
      <c r="L159" s="2"/>
      <c r="M159" s="21"/>
      <c r="N159" s="12"/>
      <c r="O159" s="18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>
      <c r="A160" s="7"/>
      <c r="B160" s="8" t="s">
        <v>245</v>
      </c>
      <c r="C160" s="9">
        <f t="shared" si="1"/>
        <v>11162</v>
      </c>
      <c r="D160" s="28"/>
      <c r="E160" s="23"/>
      <c r="F160" s="18"/>
      <c r="G160" s="2"/>
      <c r="H160" s="2"/>
      <c r="I160" s="12"/>
      <c r="J160" s="2"/>
      <c r="K160" s="2"/>
      <c r="L160" s="2"/>
      <c r="M160" s="21"/>
      <c r="N160" s="2"/>
      <c r="O160" s="18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>
      <c r="A161" s="7"/>
      <c r="B161" s="8" t="s">
        <v>246</v>
      </c>
      <c r="C161" s="9">
        <f t="shared" si="1"/>
        <v>11163</v>
      </c>
      <c r="D161" s="28"/>
      <c r="E161" s="11"/>
      <c r="F161" s="18"/>
      <c r="G161" s="2"/>
      <c r="H161" s="2"/>
      <c r="I161" s="12"/>
      <c r="J161" s="2"/>
      <c r="K161" s="2"/>
      <c r="L161" s="2"/>
      <c r="M161" s="21"/>
      <c r="N161" s="2"/>
      <c r="O161" s="18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>
      <c r="A162" s="7"/>
      <c r="B162" s="8" t="s">
        <v>247</v>
      </c>
      <c r="C162" s="9">
        <f t="shared" si="1"/>
        <v>11164</v>
      </c>
      <c r="D162" s="28"/>
      <c r="E162" s="11"/>
      <c r="F162" s="18"/>
      <c r="G162" s="2"/>
      <c r="H162" s="2"/>
      <c r="I162" s="12"/>
      <c r="J162" s="2"/>
      <c r="K162" s="2"/>
      <c r="L162" s="2"/>
      <c r="M162" s="21"/>
      <c r="N162" s="2"/>
      <c r="O162" s="18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>
      <c r="A163" s="7"/>
      <c r="B163" s="8" t="s">
        <v>248</v>
      </c>
      <c r="C163" s="9">
        <f t="shared" si="1"/>
        <v>11165</v>
      </c>
      <c r="D163" s="28"/>
      <c r="E163" s="11"/>
      <c r="F163" s="18"/>
      <c r="G163" s="2"/>
      <c r="H163" s="2"/>
      <c r="I163" s="12"/>
      <c r="J163" s="2"/>
      <c r="K163" s="2"/>
      <c r="L163" s="2"/>
      <c r="M163" s="21"/>
      <c r="N163" s="2"/>
      <c r="O163" s="18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>
      <c r="A164" s="7"/>
      <c r="B164" s="8" t="s">
        <v>249</v>
      </c>
      <c r="C164" s="9">
        <f t="shared" si="1"/>
        <v>11166</v>
      </c>
      <c r="D164" s="28"/>
      <c r="E164" s="11"/>
      <c r="F164" s="18"/>
      <c r="G164" s="2"/>
      <c r="H164" s="2"/>
      <c r="I164" s="12"/>
      <c r="J164" s="2"/>
      <c r="K164" s="2"/>
      <c r="L164" s="2"/>
      <c r="M164" s="21"/>
      <c r="N164" s="2"/>
      <c r="O164" s="18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>
      <c r="A165" s="7"/>
      <c r="B165" s="8" t="s">
        <v>250</v>
      </c>
      <c r="C165" s="9">
        <f t="shared" si="1"/>
        <v>11167</v>
      </c>
      <c r="D165" s="28"/>
      <c r="E165" s="11"/>
      <c r="F165" s="18"/>
      <c r="G165" s="18"/>
      <c r="H165" s="18"/>
      <c r="I165" s="25"/>
      <c r="J165" s="18"/>
      <c r="K165" s="18"/>
      <c r="L165" s="18"/>
      <c r="M165" s="18"/>
      <c r="N165" s="18"/>
      <c r="O165" s="18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>
      <c r="A166" s="7"/>
      <c r="B166" s="8" t="s">
        <v>251</v>
      </c>
      <c r="C166" s="9">
        <f t="shared" si="1"/>
        <v>11168</v>
      </c>
      <c r="D166" s="28"/>
      <c r="E166" s="11"/>
      <c r="F166" s="18"/>
      <c r="G166" s="18"/>
      <c r="H166" s="18"/>
      <c r="I166" s="25"/>
      <c r="J166" s="18"/>
      <c r="K166" s="18"/>
      <c r="L166" s="18"/>
      <c r="M166" s="18"/>
      <c r="N166" s="18"/>
      <c r="O166" s="18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>
      <c r="A167" s="7"/>
      <c r="B167" s="8" t="s">
        <v>252</v>
      </c>
      <c r="C167" s="9">
        <f t="shared" si="1"/>
        <v>11169</v>
      </c>
      <c r="D167" s="10"/>
      <c r="E167" s="11"/>
      <c r="F167" s="2"/>
      <c r="G167" s="2"/>
      <c r="H167" s="2"/>
      <c r="I167" s="12"/>
      <c r="J167" s="2"/>
      <c r="K167" s="2"/>
      <c r="L167" s="2"/>
      <c r="M167" s="26"/>
      <c r="N167" s="18"/>
      <c r="O167" s="18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>
      <c r="A168" s="7"/>
      <c r="B168" s="8" t="s">
        <v>253</v>
      </c>
      <c r="C168" s="9">
        <f t="shared" si="1"/>
        <v>11170</v>
      </c>
      <c r="D168" s="28"/>
      <c r="E168" s="29"/>
      <c r="F168" s="18"/>
      <c r="G168" s="18"/>
      <c r="H168" s="18"/>
      <c r="I168" s="25"/>
      <c r="J168" s="18"/>
      <c r="K168" s="18"/>
      <c r="L168" s="18"/>
      <c r="M168" s="18"/>
      <c r="N168" s="18"/>
      <c r="O168" s="18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>
      <c r="A169" s="7"/>
      <c r="B169" s="8" t="s">
        <v>254</v>
      </c>
      <c r="C169" s="9">
        <f t="shared" si="1"/>
        <v>11171</v>
      </c>
      <c r="D169" s="28"/>
      <c r="E169" s="29"/>
      <c r="F169" s="18"/>
      <c r="G169" s="18"/>
      <c r="H169" s="18"/>
      <c r="I169" s="25"/>
      <c r="J169" s="18"/>
      <c r="K169" s="18"/>
      <c r="L169" s="18"/>
      <c r="M169" s="18"/>
      <c r="N169" s="18"/>
      <c r="O169" s="18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>
      <c r="A170" s="7"/>
      <c r="B170" s="8" t="s">
        <v>255</v>
      </c>
      <c r="C170" s="9">
        <f t="shared" si="1"/>
        <v>11172</v>
      </c>
      <c r="D170" s="28"/>
      <c r="E170" s="29"/>
      <c r="F170" s="18"/>
      <c r="G170" s="18"/>
      <c r="H170" s="18"/>
      <c r="I170" s="25"/>
      <c r="J170" s="18"/>
      <c r="K170" s="18"/>
      <c r="L170" s="18"/>
      <c r="M170" s="18"/>
      <c r="N170" s="18"/>
      <c r="O170" s="18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>
      <c r="A171" s="7"/>
      <c r="B171" s="8" t="s">
        <v>256</v>
      </c>
      <c r="C171" s="9">
        <f t="shared" si="1"/>
        <v>11173</v>
      </c>
      <c r="D171" s="28"/>
      <c r="E171" s="29"/>
      <c r="F171" s="18"/>
      <c r="G171" s="18"/>
      <c r="H171" s="18"/>
      <c r="I171" s="25"/>
      <c r="J171" s="18"/>
      <c r="K171" s="18"/>
      <c r="L171" s="18"/>
      <c r="M171" s="18"/>
      <c r="N171" s="18"/>
      <c r="O171" s="18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>
      <c r="A172" s="7"/>
      <c r="B172" s="8" t="s">
        <v>257</v>
      </c>
      <c r="C172" s="9">
        <f t="shared" si="1"/>
        <v>11174</v>
      </c>
      <c r="D172" s="28"/>
      <c r="E172" s="29"/>
      <c r="F172" s="18"/>
      <c r="G172" s="18"/>
      <c r="H172" s="18"/>
      <c r="I172" s="25"/>
      <c r="J172" s="18"/>
      <c r="K172" s="18"/>
      <c r="L172" s="18"/>
      <c r="M172" s="18"/>
      <c r="N172" s="18"/>
      <c r="O172" s="18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>
      <c r="A173" s="7"/>
      <c r="B173" s="8" t="s">
        <v>258</v>
      </c>
      <c r="C173" s="9">
        <f t="shared" si="1"/>
        <v>11175</v>
      </c>
      <c r="D173" s="28"/>
      <c r="E173" s="29"/>
      <c r="F173" s="18"/>
      <c r="G173" s="18"/>
      <c r="H173" s="18"/>
      <c r="I173" s="25"/>
      <c r="J173" s="18"/>
      <c r="K173" s="18"/>
      <c r="L173" s="18"/>
      <c r="M173" s="18"/>
      <c r="N173" s="18"/>
      <c r="O173" s="18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>
      <c r="A174" s="7"/>
      <c r="B174" s="8" t="s">
        <v>259</v>
      </c>
      <c r="C174" s="9">
        <f t="shared" si="1"/>
        <v>11176</v>
      </c>
      <c r="D174" s="28"/>
      <c r="E174" s="29"/>
      <c r="F174" s="18"/>
      <c r="G174" s="18"/>
      <c r="H174" s="18"/>
      <c r="I174" s="25"/>
      <c r="J174" s="18"/>
      <c r="K174" s="18"/>
      <c r="L174" s="18"/>
      <c r="M174" s="18"/>
      <c r="N174" s="18"/>
      <c r="O174" s="18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>
      <c r="A175" s="7"/>
      <c r="B175" s="8" t="s">
        <v>260</v>
      </c>
      <c r="C175" s="9">
        <f t="shared" si="1"/>
        <v>11177</v>
      </c>
      <c r="D175" s="28"/>
      <c r="E175" s="29"/>
      <c r="F175" s="18"/>
      <c r="G175" s="18"/>
      <c r="H175" s="18"/>
      <c r="I175" s="25"/>
      <c r="J175" s="18"/>
      <c r="K175" s="18"/>
      <c r="L175" s="18"/>
      <c r="M175" s="18"/>
      <c r="N175" s="18"/>
      <c r="O175" s="18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>
      <c r="A176" s="7"/>
      <c r="B176" s="8" t="s">
        <v>261</v>
      </c>
      <c r="C176" s="9">
        <f t="shared" si="1"/>
        <v>11178</v>
      </c>
      <c r="D176" s="28"/>
      <c r="E176" s="29"/>
      <c r="F176" s="18"/>
      <c r="G176" s="18"/>
      <c r="H176" s="18"/>
      <c r="I176" s="25"/>
      <c r="J176" s="18"/>
      <c r="K176" s="18"/>
      <c r="L176" s="18"/>
      <c r="M176" s="18"/>
      <c r="N176" s="18"/>
      <c r="O176" s="18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>
      <c r="A177" s="7"/>
      <c r="B177" s="8" t="s">
        <v>262</v>
      </c>
      <c r="C177" s="9">
        <f t="shared" si="1"/>
        <v>11179</v>
      </c>
      <c r="D177" s="28"/>
      <c r="E177" s="29"/>
      <c r="F177" s="18"/>
      <c r="G177" s="18"/>
      <c r="H177" s="18"/>
      <c r="I177" s="25"/>
      <c r="J177" s="18"/>
      <c r="K177" s="18"/>
      <c r="L177" s="18"/>
      <c r="M177" s="18"/>
      <c r="N177" s="18"/>
      <c r="O177" s="18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>
      <c r="A178" s="7"/>
      <c r="B178" s="8" t="s">
        <v>263</v>
      </c>
      <c r="C178" s="9">
        <f t="shared" si="1"/>
        <v>11180</v>
      </c>
      <c r="D178" s="28"/>
      <c r="E178" s="29"/>
      <c r="F178" s="18"/>
      <c r="G178" s="18"/>
      <c r="H178" s="18"/>
      <c r="I178" s="25"/>
      <c r="J178" s="18"/>
      <c r="K178" s="18"/>
      <c r="L178" s="18"/>
      <c r="M178" s="18"/>
      <c r="N178" s="18"/>
      <c r="O178" s="18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>
      <c r="A179" s="7"/>
      <c r="B179" s="8" t="s">
        <v>264</v>
      </c>
      <c r="C179" s="9">
        <f t="shared" si="1"/>
        <v>11181</v>
      </c>
      <c r="D179" s="28"/>
      <c r="E179" s="29"/>
      <c r="F179" s="18"/>
      <c r="G179" s="18"/>
      <c r="H179" s="18"/>
      <c r="I179" s="25"/>
      <c r="J179" s="18"/>
      <c r="K179" s="18"/>
      <c r="L179" s="18"/>
      <c r="M179" s="18"/>
      <c r="N179" s="18"/>
      <c r="O179" s="18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>
      <c r="A180" s="7"/>
      <c r="B180" s="8" t="s">
        <v>265</v>
      </c>
      <c r="C180" s="9">
        <f t="shared" si="1"/>
        <v>11182</v>
      </c>
      <c r="D180" s="28"/>
      <c r="E180" s="29"/>
      <c r="F180" s="18"/>
      <c r="G180" s="18"/>
      <c r="H180" s="18"/>
      <c r="I180" s="25"/>
      <c r="J180" s="18"/>
      <c r="K180" s="18"/>
      <c r="L180" s="18"/>
      <c r="M180" s="18"/>
      <c r="N180" s="18"/>
      <c r="O180" s="18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>
      <c r="A181" s="7"/>
      <c r="B181" s="8" t="s">
        <v>266</v>
      </c>
      <c r="C181" s="9">
        <f t="shared" si="1"/>
        <v>11183</v>
      </c>
      <c r="D181" s="28"/>
      <c r="E181" s="29"/>
      <c r="F181" s="18"/>
      <c r="G181" s="18"/>
      <c r="H181" s="18"/>
      <c r="I181" s="25"/>
      <c r="J181" s="18"/>
      <c r="K181" s="18"/>
      <c r="L181" s="18"/>
      <c r="M181" s="18"/>
      <c r="N181" s="18"/>
      <c r="O181" s="18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>
      <c r="A182" s="7"/>
      <c r="B182" s="8" t="s">
        <v>267</v>
      </c>
      <c r="C182" s="9">
        <f t="shared" si="1"/>
        <v>11184</v>
      </c>
      <c r="D182" s="28"/>
      <c r="E182" s="29"/>
      <c r="F182" s="18"/>
      <c r="G182" s="18"/>
      <c r="H182" s="18"/>
      <c r="I182" s="25"/>
      <c r="J182" s="18"/>
      <c r="K182" s="18"/>
      <c r="L182" s="18"/>
      <c r="M182" s="18"/>
      <c r="N182" s="18"/>
      <c r="O182" s="18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>
      <c r="A183" s="7"/>
      <c r="B183" s="8" t="s">
        <v>268</v>
      </c>
      <c r="C183" s="9">
        <f t="shared" si="1"/>
        <v>11185</v>
      </c>
      <c r="D183" s="28"/>
      <c r="E183" s="29"/>
      <c r="F183" s="18"/>
      <c r="G183" s="18"/>
      <c r="H183" s="18"/>
      <c r="I183" s="25"/>
      <c r="J183" s="18"/>
      <c r="K183" s="18"/>
      <c r="L183" s="18"/>
      <c r="M183" s="18"/>
      <c r="N183" s="18"/>
      <c r="O183" s="18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>
      <c r="A184" s="7"/>
      <c r="B184" s="8" t="s">
        <v>269</v>
      </c>
      <c r="C184" s="9">
        <f t="shared" si="1"/>
        <v>11186</v>
      </c>
      <c r="D184" s="28"/>
      <c r="E184" s="29"/>
      <c r="F184" s="18"/>
      <c r="G184" s="18"/>
      <c r="H184" s="18"/>
      <c r="I184" s="25"/>
      <c r="J184" s="18"/>
      <c r="K184" s="18"/>
      <c r="L184" s="18"/>
      <c r="M184" s="18"/>
      <c r="N184" s="18"/>
      <c r="O184" s="18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>
      <c r="A185" s="7"/>
      <c r="B185" s="8" t="s">
        <v>270</v>
      </c>
      <c r="C185" s="9">
        <f t="shared" si="1"/>
        <v>11187</v>
      </c>
      <c r="D185" s="28"/>
      <c r="E185" s="29"/>
      <c r="F185" s="18"/>
      <c r="G185" s="18"/>
      <c r="H185" s="18"/>
      <c r="I185" s="25"/>
      <c r="J185" s="18"/>
      <c r="K185" s="18"/>
      <c r="L185" s="18"/>
      <c r="M185" s="18"/>
      <c r="N185" s="18"/>
      <c r="O185" s="18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>
      <c r="A186" s="7"/>
      <c r="B186" s="8" t="s">
        <v>271</v>
      </c>
      <c r="C186" s="9">
        <f t="shared" si="1"/>
        <v>11188</v>
      </c>
      <c r="D186" s="28"/>
      <c r="E186" s="29"/>
      <c r="F186" s="18"/>
      <c r="G186" s="18"/>
      <c r="H186" s="18"/>
      <c r="I186" s="25"/>
      <c r="J186" s="18"/>
      <c r="K186" s="18"/>
      <c r="L186" s="18"/>
      <c r="M186" s="18"/>
      <c r="N186" s="18"/>
      <c r="O186" s="18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>
      <c r="A187" s="7"/>
      <c r="B187" s="8" t="s">
        <v>272</v>
      </c>
      <c r="C187" s="9">
        <f t="shared" si="1"/>
        <v>11189</v>
      </c>
      <c r="D187" s="28"/>
      <c r="E187" s="29"/>
      <c r="F187" s="18"/>
      <c r="G187" s="18"/>
      <c r="H187" s="18"/>
      <c r="I187" s="25"/>
      <c r="J187" s="18"/>
      <c r="K187" s="18"/>
      <c r="L187" s="18"/>
      <c r="M187" s="18"/>
      <c r="N187" s="18"/>
      <c r="O187" s="18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>
      <c r="A188" s="7"/>
      <c r="B188" s="8" t="s">
        <v>273</v>
      </c>
      <c r="C188" s="9">
        <f t="shared" si="1"/>
        <v>11190</v>
      </c>
      <c r="D188" s="28"/>
      <c r="E188" s="29"/>
      <c r="F188" s="18"/>
      <c r="G188" s="18"/>
      <c r="H188" s="18"/>
      <c r="I188" s="25"/>
      <c r="J188" s="18"/>
      <c r="K188" s="18"/>
      <c r="L188" s="18"/>
      <c r="M188" s="18"/>
      <c r="N188" s="18"/>
      <c r="O188" s="18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>
      <c r="A189" s="7"/>
      <c r="B189" s="8" t="s">
        <v>274</v>
      </c>
      <c r="C189" s="9">
        <f t="shared" si="1"/>
        <v>11191</v>
      </c>
      <c r="D189" s="28"/>
      <c r="E189" s="29"/>
      <c r="F189" s="18"/>
      <c r="G189" s="18"/>
      <c r="H189" s="18"/>
      <c r="I189" s="25"/>
      <c r="J189" s="18"/>
      <c r="K189" s="18"/>
      <c r="L189" s="18"/>
      <c r="M189" s="18"/>
      <c r="N189" s="18"/>
      <c r="O189" s="18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>
      <c r="A190" s="7"/>
      <c r="B190" s="8" t="s">
        <v>275</v>
      </c>
      <c r="C190" s="9">
        <f t="shared" si="1"/>
        <v>11192</v>
      </c>
      <c r="D190" s="28"/>
      <c r="E190" s="29"/>
      <c r="F190" s="18"/>
      <c r="G190" s="18"/>
      <c r="H190" s="18"/>
      <c r="I190" s="25"/>
      <c r="J190" s="18"/>
      <c r="K190" s="18"/>
      <c r="L190" s="18"/>
      <c r="M190" s="18"/>
      <c r="N190" s="18"/>
      <c r="O190" s="18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>
      <c r="A191" s="7"/>
      <c r="B191" s="8" t="s">
        <v>276</v>
      </c>
      <c r="C191" s="9">
        <f t="shared" si="1"/>
        <v>11193</v>
      </c>
      <c r="D191" s="28"/>
      <c r="E191" s="29"/>
      <c r="F191" s="18"/>
      <c r="G191" s="18"/>
      <c r="H191" s="18"/>
      <c r="I191" s="25"/>
      <c r="J191" s="18"/>
      <c r="K191" s="18"/>
      <c r="L191" s="18"/>
      <c r="M191" s="18"/>
      <c r="N191" s="18"/>
      <c r="O191" s="18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>
      <c r="A192" s="7"/>
      <c r="B192" s="8" t="s">
        <v>277</v>
      </c>
      <c r="C192" s="9">
        <f t="shared" si="1"/>
        <v>11194</v>
      </c>
      <c r="D192" s="28"/>
      <c r="E192" s="29"/>
      <c r="F192" s="18"/>
      <c r="G192" s="18"/>
      <c r="H192" s="18"/>
      <c r="I192" s="25"/>
      <c r="J192" s="18"/>
      <c r="K192" s="18"/>
      <c r="L192" s="18"/>
      <c r="M192" s="18"/>
      <c r="N192" s="18"/>
      <c r="O192" s="18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>
      <c r="A193" s="7"/>
      <c r="B193" s="8" t="s">
        <v>278</v>
      </c>
      <c r="C193" s="9">
        <f t="shared" si="1"/>
        <v>11195</v>
      </c>
      <c r="D193" s="28"/>
      <c r="E193" s="29"/>
      <c r="F193" s="18"/>
      <c r="G193" s="18"/>
      <c r="H193" s="18"/>
      <c r="I193" s="25"/>
      <c r="J193" s="18"/>
      <c r="K193" s="18"/>
      <c r="L193" s="18"/>
      <c r="M193" s="18"/>
      <c r="N193" s="18"/>
      <c r="O193" s="18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>
      <c r="A194" s="7"/>
      <c r="B194" s="8" t="s">
        <v>279</v>
      </c>
      <c r="C194" s="9">
        <f t="shared" si="1"/>
        <v>11196</v>
      </c>
      <c r="D194" s="28"/>
      <c r="E194" s="29"/>
      <c r="F194" s="18"/>
      <c r="G194" s="18"/>
      <c r="H194" s="18"/>
      <c r="I194" s="25"/>
      <c r="J194" s="18"/>
      <c r="K194" s="18"/>
      <c r="L194" s="18"/>
      <c r="M194" s="18"/>
      <c r="N194" s="18"/>
      <c r="O194" s="18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>
      <c r="A195" s="7"/>
      <c r="B195" s="8" t="s">
        <v>280</v>
      </c>
      <c r="C195" s="9">
        <f t="shared" si="1"/>
        <v>11197</v>
      </c>
      <c r="D195" s="28"/>
      <c r="E195" s="29"/>
      <c r="F195" s="18"/>
      <c r="G195" s="18"/>
      <c r="H195" s="18"/>
      <c r="I195" s="25"/>
      <c r="J195" s="18"/>
      <c r="K195" s="18"/>
      <c r="L195" s="18"/>
      <c r="M195" s="18"/>
      <c r="N195" s="18"/>
      <c r="O195" s="18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>
      <c r="A196" s="7"/>
      <c r="B196" s="8" t="s">
        <v>281</v>
      </c>
      <c r="C196" s="9">
        <f t="shared" si="1"/>
        <v>11198</v>
      </c>
      <c r="D196" s="28"/>
      <c r="E196" s="29"/>
      <c r="F196" s="18"/>
      <c r="G196" s="18"/>
      <c r="H196" s="18"/>
      <c r="I196" s="25"/>
      <c r="J196" s="18"/>
      <c r="K196" s="18"/>
      <c r="L196" s="18"/>
      <c r="M196" s="18"/>
      <c r="N196" s="18"/>
      <c r="O196" s="18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>
      <c r="A197" s="7"/>
      <c r="B197" s="8" t="s">
        <v>282</v>
      </c>
      <c r="C197" s="9">
        <f t="shared" si="1"/>
        <v>11199</v>
      </c>
      <c r="D197" s="28"/>
      <c r="E197" s="29"/>
      <c r="F197" s="18"/>
      <c r="G197" s="18"/>
      <c r="H197" s="18"/>
      <c r="I197" s="25"/>
      <c r="J197" s="18"/>
      <c r="K197" s="18"/>
      <c r="L197" s="18"/>
      <c r="M197" s="18"/>
      <c r="N197" s="18"/>
      <c r="O197" s="18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>
      <c r="A198" s="7"/>
      <c r="B198" s="8" t="s">
        <v>283</v>
      </c>
      <c r="C198" s="9">
        <f t="shared" si="1"/>
        <v>11200</v>
      </c>
      <c r="D198" s="10"/>
      <c r="E198" s="11"/>
      <c r="F198" s="2"/>
      <c r="G198" s="2"/>
      <c r="H198" s="2"/>
      <c r="I198" s="25"/>
      <c r="J198" s="2"/>
      <c r="K198" s="2"/>
      <c r="L198" s="2"/>
      <c r="M198" s="26"/>
      <c r="N198" s="18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>
      <c r="A199" s="7"/>
      <c r="B199" s="8" t="s">
        <v>284</v>
      </c>
      <c r="C199" s="9">
        <f t="shared" si="1"/>
        <v>11201</v>
      </c>
      <c r="D199" s="10"/>
      <c r="E199" s="11"/>
      <c r="F199" s="2"/>
      <c r="G199" s="2"/>
      <c r="H199" s="2"/>
      <c r="I199" s="25"/>
      <c r="J199" s="2"/>
      <c r="K199" s="2"/>
      <c r="L199" s="2"/>
      <c r="M199" s="26"/>
      <c r="N199" s="18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>
      <c r="A200" s="7"/>
      <c r="B200" s="8" t="s">
        <v>285</v>
      </c>
      <c r="C200" s="9">
        <f t="shared" si="1"/>
        <v>11202</v>
      </c>
      <c r="D200" s="10"/>
      <c r="E200" s="11"/>
      <c r="F200" s="2"/>
      <c r="G200" s="2"/>
      <c r="H200" s="2"/>
      <c r="I200" s="25"/>
      <c r="J200" s="2"/>
      <c r="K200" s="2"/>
      <c r="L200" s="2"/>
      <c r="M200" s="26"/>
      <c r="N200" s="18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>
      <c r="A201" s="7"/>
      <c r="B201" s="8" t="s">
        <v>286</v>
      </c>
      <c r="C201" s="9">
        <f t="shared" si="1"/>
        <v>11203</v>
      </c>
      <c r="D201" s="10"/>
      <c r="E201" s="11"/>
      <c r="F201" s="2"/>
      <c r="G201" s="2"/>
      <c r="H201" s="2"/>
      <c r="I201" s="25"/>
      <c r="J201" s="2"/>
      <c r="K201" s="2"/>
      <c r="L201" s="2"/>
      <c r="M201" s="26"/>
      <c r="N201" s="18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>
      <c r="A202" s="7"/>
      <c r="B202" s="8" t="s">
        <v>287</v>
      </c>
      <c r="C202" s="9">
        <f t="shared" si="1"/>
        <v>11204</v>
      </c>
      <c r="D202" s="10"/>
      <c r="E202" s="11"/>
      <c r="F202" s="2"/>
      <c r="G202" s="2"/>
      <c r="H202" s="2"/>
      <c r="I202" s="25"/>
      <c r="J202" s="2"/>
      <c r="K202" s="2"/>
      <c r="L202" s="2"/>
      <c r="M202" s="26"/>
      <c r="N202" s="18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>
      <c r="A203" s="7"/>
      <c r="B203" s="8" t="s">
        <v>288</v>
      </c>
      <c r="C203" s="9">
        <f t="shared" si="1"/>
        <v>11205</v>
      </c>
      <c r="D203" s="10"/>
      <c r="E203" s="11"/>
      <c r="F203" s="2"/>
      <c r="G203" s="2"/>
      <c r="H203" s="2"/>
      <c r="I203" s="25"/>
      <c r="J203" s="2"/>
      <c r="K203" s="2"/>
      <c r="L203" s="2"/>
      <c r="M203" s="26"/>
      <c r="N203" s="18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>
      <c r="A204" s="7"/>
      <c r="B204" s="8" t="s">
        <v>289</v>
      </c>
      <c r="C204" s="9">
        <f t="shared" si="1"/>
        <v>11206</v>
      </c>
      <c r="D204" s="10"/>
      <c r="E204" s="11"/>
      <c r="F204" s="2"/>
      <c r="G204" s="2"/>
      <c r="H204" s="2"/>
      <c r="I204" s="25"/>
      <c r="J204" s="2"/>
      <c r="K204" s="2"/>
      <c r="L204" s="2"/>
      <c r="M204" s="26"/>
      <c r="N204" s="18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>
      <c r="A205" s="7"/>
      <c r="B205" s="8" t="s">
        <v>290</v>
      </c>
      <c r="C205" s="9">
        <f t="shared" si="1"/>
        <v>11207</v>
      </c>
      <c r="D205" s="10"/>
      <c r="E205" s="11"/>
      <c r="F205" s="2"/>
      <c r="G205" s="2"/>
      <c r="H205" s="2"/>
      <c r="I205" s="25"/>
      <c r="J205" s="2"/>
      <c r="K205" s="2"/>
      <c r="L205" s="2"/>
      <c r="M205" s="26"/>
      <c r="N205" s="18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>
      <c r="A206" s="7"/>
      <c r="B206" s="8" t="s">
        <v>291</v>
      </c>
      <c r="C206" s="9">
        <f t="shared" si="1"/>
        <v>11208</v>
      </c>
      <c r="D206" s="28"/>
      <c r="E206" s="29"/>
      <c r="F206" s="18"/>
      <c r="G206" s="18"/>
      <c r="H206" s="18"/>
      <c r="I206" s="25"/>
      <c r="J206" s="18"/>
      <c r="K206" s="18"/>
      <c r="L206" s="18"/>
      <c r="M206" s="18"/>
      <c r="N206" s="18"/>
      <c r="O206" s="18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>
      <c r="A207" s="7"/>
      <c r="B207" s="8" t="s">
        <v>292</v>
      </c>
      <c r="C207" s="9">
        <f t="shared" si="1"/>
        <v>11209</v>
      </c>
      <c r="D207" s="28"/>
      <c r="E207" s="29"/>
      <c r="F207" s="18"/>
      <c r="G207" s="18"/>
      <c r="H207" s="18"/>
      <c r="I207" s="25"/>
      <c r="J207" s="18"/>
      <c r="K207" s="18"/>
      <c r="L207" s="18"/>
      <c r="M207" s="18"/>
      <c r="N207" s="18"/>
      <c r="O207" s="18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>
      <c r="A208" s="7"/>
      <c r="B208" s="8" t="s">
        <v>293</v>
      </c>
      <c r="C208" s="9">
        <f t="shared" si="1"/>
        <v>11210</v>
      </c>
      <c r="D208" s="28"/>
      <c r="E208" s="29"/>
      <c r="F208" s="18"/>
      <c r="G208" s="18"/>
      <c r="H208" s="18"/>
      <c r="I208" s="25"/>
      <c r="J208" s="18"/>
      <c r="K208" s="18"/>
      <c r="L208" s="18"/>
      <c r="M208" s="18"/>
      <c r="N208" s="18"/>
      <c r="O208" s="18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>
      <c r="A209" s="7"/>
      <c r="B209" s="8" t="s">
        <v>294</v>
      </c>
      <c r="C209" s="9">
        <f t="shared" si="1"/>
        <v>11211</v>
      </c>
      <c r="D209" s="28"/>
      <c r="E209" s="29"/>
      <c r="F209" s="18"/>
      <c r="G209" s="18"/>
      <c r="H209" s="18"/>
      <c r="I209" s="25"/>
      <c r="J209" s="18"/>
      <c r="K209" s="18"/>
      <c r="L209" s="18"/>
      <c r="M209" s="18"/>
      <c r="N209" s="18"/>
      <c r="O209" s="18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>
      <c r="A210" s="7"/>
      <c r="B210" s="8" t="s">
        <v>295</v>
      </c>
      <c r="C210" s="9">
        <f t="shared" si="1"/>
        <v>11212</v>
      </c>
      <c r="D210" s="28"/>
      <c r="E210" s="29"/>
      <c r="F210" s="18"/>
      <c r="G210" s="18"/>
      <c r="H210" s="18"/>
      <c r="I210" s="25"/>
      <c r="J210" s="18"/>
      <c r="K210" s="18"/>
      <c r="L210" s="18"/>
      <c r="M210" s="18"/>
      <c r="N210" s="18"/>
      <c r="O210" s="18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>
      <c r="A211" s="7"/>
      <c r="B211" s="8" t="s">
        <v>296</v>
      </c>
      <c r="C211" s="9">
        <f t="shared" si="1"/>
        <v>11213</v>
      </c>
      <c r="D211" s="28"/>
      <c r="E211" s="29"/>
      <c r="F211" s="18"/>
      <c r="G211" s="18"/>
      <c r="H211" s="18"/>
      <c r="I211" s="25"/>
      <c r="J211" s="18"/>
      <c r="K211" s="18"/>
      <c r="L211" s="18"/>
      <c r="M211" s="18"/>
      <c r="N211" s="18"/>
      <c r="O211" s="18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>
      <c r="A212" s="7"/>
      <c r="B212" s="8" t="s">
        <v>297</v>
      </c>
      <c r="C212" s="9">
        <f t="shared" si="1"/>
        <v>11214</v>
      </c>
      <c r="D212" s="28"/>
      <c r="E212" s="29"/>
      <c r="F212" s="18"/>
      <c r="G212" s="18"/>
      <c r="H212" s="18"/>
      <c r="I212" s="25"/>
      <c r="J212" s="18"/>
      <c r="K212" s="18"/>
      <c r="L212" s="18"/>
      <c r="M212" s="18"/>
      <c r="N212" s="18"/>
      <c r="O212" s="18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>
      <c r="A213" s="7"/>
      <c r="B213" s="8" t="s">
        <v>298</v>
      </c>
      <c r="C213" s="9">
        <f t="shared" si="1"/>
        <v>11215</v>
      </c>
      <c r="D213" s="28"/>
      <c r="E213" s="29"/>
      <c r="F213" s="18"/>
      <c r="G213" s="18"/>
      <c r="H213" s="18"/>
      <c r="I213" s="25"/>
      <c r="J213" s="18"/>
      <c r="K213" s="18"/>
      <c r="L213" s="18"/>
      <c r="M213" s="18"/>
      <c r="N213" s="18"/>
      <c r="O213" s="18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>
      <c r="A214" s="7"/>
      <c r="B214" s="8" t="s">
        <v>299</v>
      </c>
      <c r="C214" s="9">
        <f t="shared" si="1"/>
        <v>11216</v>
      </c>
      <c r="D214" s="28"/>
      <c r="E214" s="29"/>
      <c r="F214" s="18"/>
      <c r="G214" s="18"/>
      <c r="H214" s="18"/>
      <c r="I214" s="25"/>
      <c r="J214" s="18"/>
      <c r="K214" s="18"/>
      <c r="L214" s="18"/>
      <c r="M214" s="18"/>
      <c r="N214" s="18"/>
      <c r="O214" s="18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>
      <c r="A215" s="7"/>
      <c r="B215" s="8" t="s">
        <v>300</v>
      </c>
      <c r="C215" s="9">
        <f t="shared" si="1"/>
        <v>11217</v>
      </c>
      <c r="D215" s="28"/>
      <c r="E215" s="29"/>
      <c r="F215" s="18"/>
      <c r="G215" s="18"/>
      <c r="H215" s="18"/>
      <c r="I215" s="25"/>
      <c r="J215" s="18"/>
      <c r="K215" s="18"/>
      <c r="L215" s="18"/>
      <c r="M215" s="18"/>
      <c r="N215" s="18"/>
      <c r="O215" s="18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>
      <c r="A216" s="7"/>
      <c r="B216" s="8" t="s">
        <v>301</v>
      </c>
      <c r="C216" s="9">
        <f t="shared" si="1"/>
        <v>11218</v>
      </c>
      <c r="D216" s="28"/>
      <c r="E216" s="29"/>
      <c r="F216" s="18"/>
      <c r="G216" s="18"/>
      <c r="H216" s="18"/>
      <c r="I216" s="25"/>
      <c r="J216" s="18"/>
      <c r="K216" s="18"/>
      <c r="L216" s="18"/>
      <c r="M216" s="18"/>
      <c r="N216" s="18"/>
      <c r="O216" s="18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>
      <c r="A217" s="7"/>
      <c r="B217" s="8" t="s">
        <v>302</v>
      </c>
      <c r="C217" s="9">
        <f t="shared" si="1"/>
        <v>11219</v>
      </c>
      <c r="D217" s="28"/>
      <c r="E217" s="29"/>
      <c r="F217" s="18"/>
      <c r="G217" s="18"/>
      <c r="H217" s="18"/>
      <c r="I217" s="25"/>
      <c r="J217" s="18"/>
      <c r="K217" s="18"/>
      <c r="L217" s="18"/>
      <c r="M217" s="18"/>
      <c r="N217" s="18"/>
      <c r="O217" s="18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>
      <c r="A218" s="7"/>
      <c r="B218" s="8" t="s">
        <v>303</v>
      </c>
      <c r="C218" s="9">
        <f t="shared" si="1"/>
        <v>11220</v>
      </c>
      <c r="D218" s="28"/>
      <c r="E218" s="29"/>
      <c r="F218" s="18"/>
      <c r="G218" s="18"/>
      <c r="H218" s="18"/>
      <c r="I218" s="25"/>
      <c r="J218" s="18"/>
      <c r="K218" s="18"/>
      <c r="L218" s="18"/>
      <c r="M218" s="18"/>
      <c r="N218" s="18"/>
      <c r="O218" s="18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>
      <c r="A219" s="7"/>
      <c r="B219" s="8" t="s">
        <v>304</v>
      </c>
      <c r="C219" s="9">
        <f t="shared" si="1"/>
        <v>11221</v>
      </c>
      <c r="D219" s="28"/>
      <c r="E219" s="29"/>
      <c r="F219" s="18"/>
      <c r="G219" s="18"/>
      <c r="H219" s="18"/>
      <c r="I219" s="25"/>
      <c r="J219" s="18"/>
      <c r="K219" s="18"/>
      <c r="L219" s="18"/>
      <c r="M219" s="18"/>
      <c r="N219" s="18"/>
      <c r="O219" s="18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>
      <c r="A220" s="7"/>
      <c r="B220" s="8" t="s">
        <v>305</v>
      </c>
      <c r="C220" s="9">
        <f t="shared" si="1"/>
        <v>11222</v>
      </c>
      <c r="D220" s="28"/>
      <c r="E220" s="29"/>
      <c r="F220" s="18"/>
      <c r="G220" s="18"/>
      <c r="H220" s="18"/>
      <c r="I220" s="25"/>
      <c r="J220" s="18"/>
      <c r="K220" s="18"/>
      <c r="L220" s="18"/>
      <c r="M220" s="18"/>
      <c r="N220" s="18"/>
      <c r="O220" s="18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>
      <c r="A221" s="7"/>
      <c r="B221" s="8" t="s">
        <v>306</v>
      </c>
      <c r="C221" s="9">
        <f t="shared" si="1"/>
        <v>11223</v>
      </c>
      <c r="D221" s="28"/>
      <c r="E221" s="29"/>
      <c r="F221" s="18"/>
      <c r="G221" s="18"/>
      <c r="H221" s="18"/>
      <c r="I221" s="25"/>
      <c r="J221" s="18"/>
      <c r="K221" s="18"/>
      <c r="L221" s="18"/>
      <c r="M221" s="18"/>
      <c r="N221" s="18"/>
      <c r="O221" s="18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>
      <c r="A222" s="7"/>
      <c r="B222" s="8" t="s">
        <v>307</v>
      </c>
      <c r="C222" s="9">
        <f t="shared" si="1"/>
        <v>11224</v>
      </c>
      <c r="D222" s="28"/>
      <c r="E222" s="29"/>
      <c r="F222" s="18"/>
      <c r="G222" s="18"/>
      <c r="H222" s="18"/>
      <c r="I222" s="25"/>
      <c r="J222" s="18"/>
      <c r="K222" s="18"/>
      <c r="L222" s="18"/>
      <c r="M222" s="18"/>
      <c r="N222" s="18"/>
      <c r="O222" s="18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>
      <c r="A223" s="7"/>
      <c r="B223" s="8" t="s">
        <v>308</v>
      </c>
      <c r="C223" s="9">
        <f t="shared" si="1"/>
        <v>11225</v>
      </c>
      <c r="D223" s="28"/>
      <c r="E223" s="29"/>
      <c r="F223" s="18"/>
      <c r="G223" s="18"/>
      <c r="H223" s="18"/>
      <c r="I223" s="25"/>
      <c r="J223" s="18"/>
      <c r="K223" s="18"/>
      <c r="L223" s="18"/>
      <c r="M223" s="18"/>
      <c r="N223" s="18"/>
      <c r="O223" s="18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>
      <c r="A224" s="7"/>
      <c r="B224" s="8" t="s">
        <v>309</v>
      </c>
      <c r="C224" s="9">
        <f t="shared" si="1"/>
        <v>11226</v>
      </c>
      <c r="D224" s="28"/>
      <c r="E224" s="29"/>
      <c r="F224" s="18"/>
      <c r="G224" s="18"/>
      <c r="H224" s="18"/>
      <c r="I224" s="25"/>
      <c r="J224" s="18"/>
      <c r="K224" s="18"/>
      <c r="L224" s="18"/>
      <c r="M224" s="18"/>
      <c r="N224" s="18"/>
      <c r="O224" s="18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>
      <c r="A225" s="7"/>
      <c r="B225" s="8" t="s">
        <v>310</v>
      </c>
      <c r="C225" s="9">
        <f t="shared" si="1"/>
        <v>11227</v>
      </c>
      <c r="D225" s="28"/>
      <c r="E225" s="29"/>
      <c r="F225" s="18"/>
      <c r="G225" s="18"/>
      <c r="H225" s="18"/>
      <c r="I225" s="25"/>
      <c r="J225" s="18"/>
      <c r="K225" s="18"/>
      <c r="L225" s="18"/>
      <c r="M225" s="18"/>
      <c r="N225" s="18"/>
      <c r="O225" s="18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>
      <c r="A226" s="7"/>
      <c r="B226" s="8" t="s">
        <v>311</v>
      </c>
      <c r="C226" s="9">
        <f t="shared" si="1"/>
        <v>11228</v>
      </c>
      <c r="D226" s="28"/>
      <c r="E226" s="29"/>
      <c r="F226" s="18"/>
      <c r="G226" s="18"/>
      <c r="H226" s="18"/>
      <c r="I226" s="25"/>
      <c r="J226" s="18"/>
      <c r="K226" s="18"/>
      <c r="L226" s="18"/>
      <c r="M226" s="18"/>
      <c r="N226" s="18"/>
      <c r="O226" s="18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>
      <c r="A227" s="7"/>
      <c r="B227" s="8" t="s">
        <v>312</v>
      </c>
      <c r="C227" s="9">
        <f t="shared" si="1"/>
        <v>11229</v>
      </c>
      <c r="D227" s="28"/>
      <c r="E227" s="29"/>
      <c r="F227" s="18"/>
      <c r="G227" s="18"/>
      <c r="H227" s="18"/>
      <c r="I227" s="25"/>
      <c r="J227" s="18"/>
      <c r="K227" s="18"/>
      <c r="L227" s="18"/>
      <c r="M227" s="18"/>
      <c r="N227" s="18"/>
      <c r="O227" s="18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>
      <c r="A228" s="7"/>
      <c r="B228" s="8" t="s">
        <v>313</v>
      </c>
      <c r="C228" s="9">
        <f t="shared" si="1"/>
        <v>11230</v>
      </c>
      <c r="D228" s="28"/>
      <c r="E228" s="29"/>
      <c r="F228" s="18"/>
      <c r="G228" s="18"/>
      <c r="H228" s="18"/>
      <c r="I228" s="25"/>
      <c r="J228" s="18"/>
      <c r="K228" s="18"/>
      <c r="L228" s="18"/>
      <c r="M228" s="18"/>
      <c r="N228" s="18"/>
      <c r="O228" s="18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>
      <c r="A229" s="7"/>
      <c r="B229" s="8" t="s">
        <v>314</v>
      </c>
      <c r="C229" s="9">
        <f t="shared" si="1"/>
        <v>11231</v>
      </c>
      <c r="D229" s="28"/>
      <c r="E229" s="29"/>
      <c r="F229" s="18"/>
      <c r="G229" s="18"/>
      <c r="H229" s="18"/>
      <c r="I229" s="25"/>
      <c r="J229" s="18"/>
      <c r="K229" s="18"/>
      <c r="L229" s="18"/>
      <c r="M229" s="18"/>
      <c r="N229" s="18"/>
      <c r="O229" s="18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>
      <c r="A230" s="7"/>
      <c r="B230" s="8" t="s">
        <v>315</v>
      </c>
      <c r="C230" s="9">
        <f t="shared" si="1"/>
        <v>11232</v>
      </c>
      <c r="D230" s="28"/>
      <c r="E230" s="29"/>
      <c r="F230" s="18"/>
      <c r="G230" s="18"/>
      <c r="H230" s="18"/>
      <c r="I230" s="25"/>
      <c r="J230" s="18"/>
      <c r="K230" s="18"/>
      <c r="L230" s="18"/>
      <c r="M230" s="18"/>
      <c r="N230" s="18"/>
      <c r="O230" s="18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>
      <c r="A231" s="7"/>
      <c r="B231" s="8" t="s">
        <v>316</v>
      </c>
      <c r="C231" s="9">
        <f t="shared" si="1"/>
        <v>11233</v>
      </c>
      <c r="D231" s="28"/>
      <c r="E231" s="29"/>
      <c r="F231" s="18"/>
      <c r="G231" s="18"/>
      <c r="H231" s="18"/>
      <c r="I231" s="25"/>
      <c r="J231" s="18"/>
      <c r="K231" s="18"/>
      <c r="L231" s="18"/>
      <c r="M231" s="18"/>
      <c r="N231" s="18"/>
      <c r="O231" s="18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>
      <c r="A232" s="7"/>
      <c r="B232" s="8" t="s">
        <v>317</v>
      </c>
      <c r="C232" s="9">
        <f t="shared" si="1"/>
        <v>11234</v>
      </c>
      <c r="D232" s="28"/>
      <c r="E232" s="29"/>
      <c r="F232" s="18"/>
      <c r="G232" s="18"/>
      <c r="H232" s="18"/>
      <c r="I232" s="25"/>
      <c r="J232" s="18"/>
      <c r="K232" s="18"/>
      <c r="L232" s="18"/>
      <c r="M232" s="18"/>
      <c r="N232" s="18"/>
      <c r="O232" s="18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>
      <c r="A233" s="7"/>
      <c r="B233" s="8" t="s">
        <v>318</v>
      </c>
      <c r="C233" s="9">
        <f t="shared" si="1"/>
        <v>11235</v>
      </c>
      <c r="D233" s="28"/>
      <c r="E233" s="29"/>
      <c r="F233" s="18"/>
      <c r="G233" s="18"/>
      <c r="H233" s="18"/>
      <c r="I233" s="25"/>
      <c r="J233" s="18"/>
      <c r="K233" s="18"/>
      <c r="L233" s="18"/>
      <c r="M233" s="18"/>
      <c r="N233" s="18"/>
      <c r="O233" s="18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>
      <c r="A234" s="7"/>
      <c r="B234" s="8" t="s">
        <v>319</v>
      </c>
      <c r="C234" s="9">
        <f t="shared" si="1"/>
        <v>11236</v>
      </c>
      <c r="D234" s="28"/>
      <c r="E234" s="29"/>
      <c r="F234" s="18"/>
      <c r="G234" s="18"/>
      <c r="H234" s="18"/>
      <c r="I234" s="25"/>
      <c r="J234" s="18"/>
      <c r="K234" s="18"/>
      <c r="L234" s="18"/>
      <c r="M234" s="18"/>
      <c r="N234" s="18"/>
      <c r="O234" s="18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>
      <c r="A235" s="7"/>
      <c r="B235" s="8" t="s">
        <v>320</v>
      </c>
      <c r="C235" s="9">
        <f t="shared" si="1"/>
        <v>11237</v>
      </c>
      <c r="D235" s="28"/>
      <c r="E235" s="29"/>
      <c r="F235" s="18"/>
      <c r="G235" s="18"/>
      <c r="H235" s="18"/>
      <c r="I235" s="25"/>
      <c r="J235" s="18"/>
      <c r="K235" s="18"/>
      <c r="L235" s="18"/>
      <c r="M235" s="18"/>
      <c r="N235" s="18"/>
      <c r="O235" s="18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>
      <c r="A236" s="7"/>
      <c r="B236" s="8" t="s">
        <v>321</v>
      </c>
      <c r="C236" s="9">
        <f t="shared" si="1"/>
        <v>11238</v>
      </c>
      <c r="D236" s="28"/>
      <c r="E236" s="29"/>
      <c r="F236" s="18"/>
      <c r="G236" s="18"/>
      <c r="H236" s="18"/>
      <c r="I236" s="25"/>
      <c r="J236" s="18"/>
      <c r="K236" s="18"/>
      <c r="L236" s="18"/>
      <c r="M236" s="18"/>
      <c r="N236" s="18"/>
      <c r="O236" s="18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>
      <c r="A237" s="7"/>
      <c r="B237" s="8" t="s">
        <v>322</v>
      </c>
      <c r="C237" s="9">
        <f t="shared" si="1"/>
        <v>11239</v>
      </c>
      <c r="D237" s="28"/>
      <c r="E237" s="29"/>
      <c r="F237" s="18"/>
      <c r="G237" s="18"/>
      <c r="H237" s="18"/>
      <c r="I237" s="25"/>
      <c r="J237" s="18"/>
      <c r="K237" s="18"/>
      <c r="L237" s="18"/>
      <c r="M237" s="18"/>
      <c r="N237" s="18"/>
      <c r="O237" s="18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>
      <c r="A238" s="7"/>
      <c r="B238" s="8" t="s">
        <v>323</v>
      </c>
      <c r="C238" s="9">
        <f t="shared" si="1"/>
        <v>11240</v>
      </c>
      <c r="D238" s="28"/>
      <c r="E238" s="29"/>
      <c r="F238" s="18"/>
      <c r="G238" s="18"/>
      <c r="H238" s="18"/>
      <c r="I238" s="25"/>
      <c r="J238" s="18"/>
      <c r="K238" s="18"/>
      <c r="L238" s="18"/>
      <c r="M238" s="18"/>
      <c r="N238" s="18"/>
      <c r="O238" s="18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>
      <c r="A239" s="7"/>
      <c r="B239" s="8" t="s">
        <v>324</v>
      </c>
      <c r="C239" s="9">
        <f t="shared" si="1"/>
        <v>11241</v>
      </c>
      <c r="D239" s="28"/>
      <c r="E239" s="29"/>
      <c r="F239" s="18"/>
      <c r="G239" s="18"/>
      <c r="H239" s="18"/>
      <c r="I239" s="25"/>
      <c r="J239" s="18"/>
      <c r="K239" s="18"/>
      <c r="L239" s="18"/>
      <c r="M239" s="18"/>
      <c r="N239" s="18"/>
      <c r="O239" s="18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>
      <c r="A240" s="7"/>
      <c r="B240" s="8" t="s">
        <v>325</v>
      </c>
      <c r="C240" s="9">
        <f t="shared" si="1"/>
        <v>11242</v>
      </c>
      <c r="D240" s="28"/>
      <c r="E240" s="29"/>
      <c r="F240" s="18"/>
      <c r="G240" s="18"/>
      <c r="H240" s="18"/>
      <c r="I240" s="25"/>
      <c r="J240" s="18"/>
      <c r="K240" s="18"/>
      <c r="L240" s="18"/>
      <c r="M240" s="18"/>
      <c r="N240" s="18"/>
      <c r="O240" s="18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>
      <c r="A241" s="7"/>
      <c r="B241" s="8" t="s">
        <v>326</v>
      </c>
      <c r="C241" s="9">
        <f t="shared" si="1"/>
        <v>11243</v>
      </c>
      <c r="D241" s="28"/>
      <c r="E241" s="29"/>
      <c r="F241" s="18"/>
      <c r="G241" s="18"/>
      <c r="H241" s="18"/>
      <c r="I241" s="25"/>
      <c r="J241" s="18"/>
      <c r="K241" s="18"/>
      <c r="L241" s="18"/>
      <c r="M241" s="18"/>
      <c r="N241" s="18"/>
      <c r="O241" s="18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>
      <c r="A242" s="7"/>
      <c r="B242" s="8" t="s">
        <v>327</v>
      </c>
      <c r="C242" s="9">
        <f t="shared" si="1"/>
        <v>11244</v>
      </c>
      <c r="D242" s="28"/>
      <c r="E242" s="29"/>
      <c r="F242" s="18"/>
      <c r="G242" s="18"/>
      <c r="H242" s="18"/>
      <c r="I242" s="25"/>
      <c r="J242" s="18"/>
      <c r="K242" s="18"/>
      <c r="L242" s="18"/>
      <c r="M242" s="18"/>
      <c r="N242" s="18"/>
      <c r="O242" s="18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>
      <c r="A243" s="7"/>
      <c r="B243" s="8" t="s">
        <v>328</v>
      </c>
      <c r="C243" s="9">
        <f t="shared" si="1"/>
        <v>11245</v>
      </c>
      <c r="D243" s="28"/>
      <c r="E243" s="29"/>
      <c r="F243" s="18"/>
      <c r="G243" s="18"/>
      <c r="H243" s="18"/>
      <c r="I243" s="25"/>
      <c r="J243" s="18"/>
      <c r="K243" s="18"/>
      <c r="L243" s="18"/>
      <c r="M243" s="18"/>
      <c r="N243" s="18"/>
      <c r="O243" s="18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>
      <c r="A244" s="7"/>
      <c r="B244" s="8" t="s">
        <v>329</v>
      </c>
      <c r="C244" s="9">
        <f t="shared" si="1"/>
        <v>11246</v>
      </c>
      <c r="D244" s="28"/>
      <c r="E244" s="29"/>
      <c r="F244" s="18"/>
      <c r="G244" s="18"/>
      <c r="H244" s="18"/>
      <c r="I244" s="25"/>
      <c r="J244" s="18"/>
      <c r="K244" s="18"/>
      <c r="L244" s="18"/>
      <c r="M244" s="18"/>
      <c r="N244" s="18"/>
      <c r="O244" s="18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>
      <c r="A245" s="7"/>
      <c r="B245" s="8" t="s">
        <v>330</v>
      </c>
      <c r="C245" s="9">
        <f t="shared" si="1"/>
        <v>11247</v>
      </c>
      <c r="D245" s="28"/>
      <c r="E245" s="29"/>
      <c r="F245" s="18"/>
      <c r="G245" s="18"/>
      <c r="H245" s="18"/>
      <c r="I245" s="25"/>
      <c r="J245" s="18"/>
      <c r="K245" s="18"/>
      <c r="L245" s="18"/>
      <c r="M245" s="18"/>
      <c r="N245" s="18"/>
      <c r="O245" s="18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>
      <c r="A246" s="7"/>
      <c r="B246" s="8" t="s">
        <v>331</v>
      </c>
      <c r="C246" s="9">
        <f t="shared" si="1"/>
        <v>11248</v>
      </c>
      <c r="D246" s="28"/>
      <c r="E246" s="29"/>
      <c r="F246" s="18"/>
      <c r="G246" s="18"/>
      <c r="H246" s="18"/>
      <c r="I246" s="25"/>
      <c r="J246" s="18"/>
      <c r="K246" s="18"/>
      <c r="L246" s="18"/>
      <c r="M246" s="18"/>
      <c r="N246" s="18"/>
      <c r="O246" s="18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>
      <c r="A247" s="7"/>
      <c r="B247" s="8" t="s">
        <v>332</v>
      </c>
      <c r="C247" s="9">
        <f t="shared" si="1"/>
        <v>11249</v>
      </c>
      <c r="D247" s="28"/>
      <c r="E247" s="29"/>
      <c r="F247" s="18"/>
      <c r="G247" s="18"/>
      <c r="H247" s="18"/>
      <c r="I247" s="25"/>
      <c r="J247" s="18"/>
      <c r="K247" s="18"/>
      <c r="L247" s="18"/>
      <c r="M247" s="18"/>
      <c r="N247" s="18"/>
      <c r="O247" s="18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>
      <c r="A248" s="7"/>
      <c r="B248" s="8" t="s">
        <v>333</v>
      </c>
      <c r="C248" s="9">
        <f t="shared" si="1"/>
        <v>11250</v>
      </c>
      <c r="D248" s="28"/>
      <c r="E248" s="29"/>
      <c r="F248" s="18"/>
      <c r="G248" s="18"/>
      <c r="H248" s="18"/>
      <c r="I248" s="25"/>
      <c r="J248" s="18"/>
      <c r="K248" s="18"/>
      <c r="L248" s="18"/>
      <c r="M248" s="18"/>
      <c r="N248" s="18"/>
      <c r="O248" s="18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>
      <c r="A249" s="1"/>
      <c r="B249" s="1"/>
      <c r="C249" s="18"/>
      <c r="D249" s="47"/>
      <c r="E249" s="18"/>
      <c r="F249" s="18"/>
      <c r="G249" s="18"/>
      <c r="H249" s="18"/>
      <c r="I249" s="25"/>
      <c r="J249" s="18"/>
      <c r="K249" s="18"/>
      <c r="L249" s="18"/>
      <c r="M249" s="18"/>
      <c r="N249" s="18"/>
      <c r="O249" s="18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>
      <c r="A250" s="1"/>
      <c r="B250" s="1"/>
      <c r="C250" s="18"/>
      <c r="D250" s="47"/>
      <c r="E250" s="18"/>
      <c r="F250" s="18"/>
      <c r="G250" s="18"/>
      <c r="H250" s="18"/>
      <c r="I250" s="25"/>
      <c r="J250" s="18"/>
      <c r="K250" s="18"/>
      <c r="L250" s="18"/>
      <c r="M250" s="18"/>
      <c r="N250" s="18"/>
      <c r="O250" s="18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>
      <c r="A251" s="1"/>
      <c r="B251" s="1"/>
      <c r="C251" s="18"/>
      <c r="D251" s="47"/>
      <c r="E251" s="18"/>
      <c r="F251" s="18"/>
      <c r="G251" s="18"/>
      <c r="H251" s="18"/>
      <c r="I251" s="25"/>
      <c r="J251" s="18"/>
      <c r="K251" s="18"/>
      <c r="L251" s="18"/>
      <c r="M251" s="18"/>
      <c r="N251" s="18"/>
      <c r="O251" s="18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>
      <c r="A252" s="1"/>
      <c r="B252" s="1"/>
      <c r="C252" s="18"/>
      <c r="D252" s="47"/>
      <c r="E252" s="18"/>
      <c r="F252" s="18"/>
      <c r="G252" s="18"/>
      <c r="H252" s="18"/>
      <c r="I252" s="25"/>
      <c r="J252" s="18"/>
      <c r="K252" s="18"/>
      <c r="L252" s="18"/>
      <c r="M252" s="18"/>
      <c r="N252" s="18"/>
      <c r="O252" s="18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>
      <c r="A253" s="1"/>
      <c r="B253" s="1"/>
      <c r="C253" s="18"/>
      <c r="D253" s="47"/>
      <c r="E253" s="18"/>
      <c r="F253" s="18"/>
      <c r="G253" s="18"/>
      <c r="H253" s="18"/>
      <c r="I253" s="25"/>
      <c r="J253" s="18"/>
      <c r="K253" s="18"/>
      <c r="L253" s="18"/>
      <c r="M253" s="18"/>
      <c r="N253" s="18"/>
      <c r="O253" s="18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>
      <c r="A254" s="1"/>
      <c r="B254" s="1"/>
      <c r="C254" s="18"/>
      <c r="D254" s="47"/>
      <c r="E254" s="18"/>
      <c r="F254" s="18"/>
      <c r="G254" s="18"/>
      <c r="H254" s="18"/>
      <c r="I254" s="25"/>
      <c r="J254" s="18"/>
      <c r="K254" s="18"/>
      <c r="L254" s="18"/>
      <c r="M254" s="18"/>
      <c r="N254" s="18"/>
      <c r="O254" s="18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>
      <c r="A255" s="1"/>
      <c r="B255" s="1"/>
      <c r="C255" s="18"/>
      <c r="D255" s="47"/>
      <c r="E255" s="18"/>
      <c r="F255" s="18"/>
      <c r="G255" s="18"/>
      <c r="H255" s="18"/>
      <c r="I255" s="25"/>
      <c r="J255" s="18"/>
      <c r="K255" s="18"/>
      <c r="L255" s="18"/>
      <c r="M255" s="18"/>
      <c r="N255" s="18"/>
      <c r="O255" s="18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>
      <c r="A256" s="1"/>
      <c r="B256" s="1"/>
      <c r="C256" s="18"/>
      <c r="D256" s="47"/>
      <c r="E256" s="18"/>
      <c r="F256" s="18"/>
      <c r="G256" s="18"/>
      <c r="H256" s="18"/>
      <c r="I256" s="25"/>
      <c r="J256" s="18"/>
      <c r="K256" s="18"/>
      <c r="L256" s="18"/>
      <c r="M256" s="18"/>
      <c r="N256" s="18"/>
      <c r="O256" s="18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>
      <c r="A257" s="1"/>
      <c r="B257" s="1"/>
      <c r="C257" s="18"/>
      <c r="D257" s="47"/>
      <c r="E257" s="18"/>
      <c r="F257" s="18"/>
      <c r="G257" s="18"/>
      <c r="H257" s="18"/>
      <c r="I257" s="25"/>
      <c r="J257" s="18"/>
      <c r="K257" s="18"/>
      <c r="L257" s="18"/>
      <c r="M257" s="18"/>
      <c r="N257" s="18"/>
      <c r="O257" s="18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>
      <c r="A258" s="1"/>
      <c r="B258" s="1"/>
      <c r="C258" s="18"/>
      <c r="D258" s="47"/>
      <c r="E258" s="18"/>
      <c r="F258" s="18"/>
      <c r="G258" s="18"/>
      <c r="H258" s="18"/>
      <c r="I258" s="25"/>
      <c r="J258" s="18"/>
      <c r="K258" s="18"/>
      <c r="L258" s="18"/>
      <c r="M258" s="18"/>
      <c r="N258" s="18"/>
      <c r="O258" s="18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>
      <c r="A259" s="1"/>
      <c r="B259" s="1"/>
      <c r="C259" s="18"/>
      <c r="D259" s="47"/>
      <c r="E259" s="18"/>
      <c r="F259" s="18"/>
      <c r="G259" s="18"/>
      <c r="H259" s="18"/>
      <c r="I259" s="25"/>
      <c r="J259" s="18"/>
      <c r="K259" s="18"/>
      <c r="L259" s="18"/>
      <c r="M259" s="18"/>
      <c r="N259" s="18"/>
      <c r="O259" s="18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>
      <c r="A260" s="1"/>
      <c r="B260" s="1"/>
      <c r="C260" s="18"/>
      <c r="D260" s="47"/>
      <c r="E260" s="18"/>
      <c r="F260" s="18"/>
      <c r="G260" s="18"/>
      <c r="H260" s="18"/>
      <c r="I260" s="25"/>
      <c r="J260" s="18"/>
      <c r="K260" s="18"/>
      <c r="L260" s="18"/>
      <c r="M260" s="18"/>
      <c r="N260" s="18"/>
      <c r="O260" s="18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>
      <c r="A261" s="1"/>
      <c r="B261" s="1"/>
      <c r="C261" s="18"/>
      <c r="D261" s="47"/>
      <c r="E261" s="18"/>
      <c r="F261" s="18"/>
      <c r="G261" s="18"/>
      <c r="H261" s="18"/>
      <c r="I261" s="25"/>
      <c r="J261" s="18"/>
      <c r="K261" s="18"/>
      <c r="L261" s="18"/>
      <c r="M261" s="18"/>
      <c r="N261" s="18"/>
      <c r="O261" s="18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>
      <c r="A262" s="1"/>
      <c r="B262" s="1"/>
      <c r="C262" s="18"/>
      <c r="D262" s="47"/>
      <c r="E262" s="18"/>
      <c r="F262" s="18"/>
      <c r="G262" s="18"/>
      <c r="H262" s="18"/>
      <c r="I262" s="25"/>
      <c r="J262" s="18"/>
      <c r="K262" s="18"/>
      <c r="L262" s="18"/>
      <c r="M262" s="18"/>
      <c r="N262" s="18"/>
      <c r="O262" s="18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>
      <c r="A263" s="1"/>
      <c r="B263" s="1"/>
      <c r="C263" s="18"/>
      <c r="D263" s="47"/>
      <c r="E263" s="18"/>
      <c r="F263" s="18"/>
      <c r="G263" s="18"/>
      <c r="H263" s="18"/>
      <c r="I263" s="25"/>
      <c r="J263" s="18"/>
      <c r="K263" s="18"/>
      <c r="L263" s="18"/>
      <c r="M263" s="18"/>
      <c r="N263" s="18"/>
      <c r="O263" s="18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>
      <c r="A264" s="1"/>
      <c r="B264" s="1"/>
      <c r="C264" s="18"/>
      <c r="D264" s="47"/>
      <c r="E264" s="18"/>
      <c r="F264" s="18"/>
      <c r="G264" s="18"/>
      <c r="H264" s="18"/>
      <c r="I264" s="25"/>
      <c r="J264" s="18"/>
      <c r="K264" s="18"/>
      <c r="L264" s="18"/>
      <c r="M264" s="18"/>
      <c r="N264" s="18"/>
      <c r="O264" s="18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>
      <c r="A265" s="1"/>
      <c r="B265" s="1"/>
      <c r="C265" s="18"/>
      <c r="D265" s="47"/>
      <c r="E265" s="18"/>
      <c r="F265" s="18"/>
      <c r="G265" s="18"/>
      <c r="H265" s="18"/>
      <c r="I265" s="25"/>
      <c r="J265" s="18"/>
      <c r="K265" s="18"/>
      <c r="L265" s="18"/>
      <c r="M265" s="18"/>
      <c r="N265" s="18"/>
      <c r="O265" s="18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>
      <c r="A266" s="1"/>
      <c r="B266" s="1"/>
      <c r="C266" s="18"/>
      <c r="D266" s="47"/>
      <c r="E266" s="18"/>
      <c r="F266" s="18"/>
      <c r="G266" s="18"/>
      <c r="H266" s="18"/>
      <c r="I266" s="25"/>
      <c r="J266" s="18"/>
      <c r="K266" s="18"/>
      <c r="L266" s="18"/>
      <c r="M266" s="18"/>
      <c r="N266" s="18"/>
      <c r="O266" s="18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>
      <c r="A267" s="1"/>
      <c r="B267" s="1"/>
      <c r="C267" s="18"/>
      <c r="D267" s="47"/>
      <c r="E267" s="18"/>
      <c r="F267" s="18"/>
      <c r="G267" s="18"/>
      <c r="H267" s="18"/>
      <c r="I267" s="25"/>
      <c r="J267" s="18"/>
      <c r="K267" s="18"/>
      <c r="L267" s="18"/>
      <c r="M267" s="18"/>
      <c r="N267" s="18"/>
      <c r="O267" s="18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>
      <c r="A268" s="1"/>
      <c r="B268" s="1"/>
      <c r="C268" s="18"/>
      <c r="D268" s="47"/>
      <c r="E268" s="18"/>
      <c r="F268" s="18"/>
      <c r="G268" s="18"/>
      <c r="H268" s="18"/>
      <c r="I268" s="25"/>
      <c r="J268" s="18"/>
      <c r="K268" s="18"/>
      <c r="L268" s="18"/>
      <c r="M268" s="18"/>
      <c r="N268" s="18"/>
      <c r="O268" s="18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>
      <c r="A269" s="1"/>
      <c r="B269" s="1"/>
      <c r="C269" s="18"/>
      <c r="D269" s="47"/>
      <c r="E269" s="18"/>
      <c r="F269" s="18"/>
      <c r="G269" s="18"/>
      <c r="H269" s="18"/>
      <c r="I269" s="25"/>
      <c r="J269" s="18"/>
      <c r="K269" s="18"/>
      <c r="L269" s="18"/>
      <c r="M269" s="18"/>
      <c r="N269" s="18"/>
      <c r="O269" s="18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>
      <c r="A270" s="1"/>
      <c r="B270" s="1"/>
      <c r="C270" s="18"/>
      <c r="D270" s="47"/>
      <c r="E270" s="18"/>
      <c r="F270" s="18"/>
      <c r="G270" s="18"/>
      <c r="H270" s="18"/>
      <c r="I270" s="25"/>
      <c r="J270" s="18"/>
      <c r="K270" s="18"/>
      <c r="L270" s="18"/>
      <c r="M270" s="18"/>
      <c r="N270" s="18"/>
      <c r="O270" s="18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>
      <c r="A271" s="1"/>
      <c r="B271" s="1"/>
      <c r="C271" s="18"/>
      <c r="D271" s="47"/>
      <c r="E271" s="18"/>
      <c r="F271" s="18"/>
      <c r="G271" s="18"/>
      <c r="H271" s="18"/>
      <c r="I271" s="25"/>
      <c r="J271" s="18"/>
      <c r="K271" s="18"/>
      <c r="L271" s="18"/>
      <c r="M271" s="18"/>
      <c r="N271" s="18"/>
      <c r="O271" s="18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>
      <c r="A272" s="1"/>
      <c r="B272" s="1"/>
      <c r="C272" s="18"/>
      <c r="D272" s="47"/>
      <c r="E272" s="18"/>
      <c r="F272" s="18"/>
      <c r="G272" s="18"/>
      <c r="H272" s="18"/>
      <c r="I272" s="25"/>
      <c r="J272" s="18"/>
      <c r="K272" s="18"/>
      <c r="L272" s="18"/>
      <c r="M272" s="18"/>
      <c r="N272" s="18"/>
      <c r="O272" s="18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>
      <c r="A273" s="1"/>
      <c r="B273" s="1"/>
      <c r="C273" s="18"/>
      <c r="D273" s="47"/>
      <c r="E273" s="18"/>
      <c r="F273" s="18"/>
      <c r="G273" s="18"/>
      <c r="H273" s="18"/>
      <c r="I273" s="25"/>
      <c r="J273" s="18"/>
      <c r="K273" s="18"/>
      <c r="L273" s="18"/>
      <c r="M273" s="18"/>
      <c r="N273" s="18"/>
      <c r="O273" s="18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>
      <c r="A274" s="1"/>
      <c r="B274" s="1"/>
      <c r="C274" s="18"/>
      <c r="D274" s="47"/>
      <c r="E274" s="18"/>
      <c r="F274" s="18"/>
      <c r="G274" s="18"/>
      <c r="H274" s="18"/>
      <c r="I274" s="25"/>
      <c r="J274" s="18"/>
      <c r="K274" s="18"/>
      <c r="L274" s="18"/>
      <c r="M274" s="18"/>
      <c r="N274" s="18"/>
      <c r="O274" s="18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>
      <c r="A275" s="1"/>
      <c r="B275" s="1"/>
      <c r="C275" s="18"/>
      <c r="D275" s="47"/>
      <c r="E275" s="18"/>
      <c r="F275" s="18"/>
      <c r="G275" s="18"/>
      <c r="H275" s="18"/>
      <c r="I275" s="25"/>
      <c r="J275" s="18"/>
      <c r="K275" s="18"/>
      <c r="L275" s="18"/>
      <c r="M275" s="18"/>
      <c r="N275" s="18"/>
      <c r="O275" s="18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>
      <c r="A276" s="1"/>
      <c r="B276" s="1"/>
      <c r="C276" s="18"/>
      <c r="D276" s="47"/>
      <c r="E276" s="18"/>
      <c r="F276" s="18"/>
      <c r="G276" s="18"/>
      <c r="H276" s="18"/>
      <c r="I276" s="25"/>
      <c r="J276" s="18"/>
      <c r="K276" s="18"/>
      <c r="L276" s="18"/>
      <c r="M276" s="18"/>
      <c r="N276" s="18"/>
      <c r="O276" s="18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>
      <c r="A277" s="1"/>
      <c r="B277" s="1"/>
      <c r="C277" s="18"/>
      <c r="D277" s="47"/>
      <c r="E277" s="18"/>
      <c r="F277" s="18"/>
      <c r="G277" s="18"/>
      <c r="H277" s="18"/>
      <c r="I277" s="25"/>
      <c r="J277" s="18"/>
      <c r="K277" s="18"/>
      <c r="L277" s="18"/>
      <c r="M277" s="18"/>
      <c r="N277" s="18"/>
      <c r="O277" s="18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>
      <c r="A278" s="1"/>
      <c r="B278" s="1"/>
      <c r="C278" s="18"/>
      <c r="D278" s="47"/>
      <c r="E278" s="18"/>
      <c r="F278" s="18"/>
      <c r="G278" s="18"/>
      <c r="H278" s="18"/>
      <c r="I278" s="25"/>
      <c r="J278" s="18"/>
      <c r="K278" s="18"/>
      <c r="L278" s="18"/>
      <c r="M278" s="18"/>
      <c r="N278" s="18"/>
      <c r="O278" s="18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>
      <c r="A279" s="1"/>
      <c r="B279" s="1"/>
      <c r="C279" s="18"/>
      <c r="D279" s="47"/>
      <c r="E279" s="18"/>
      <c r="F279" s="18"/>
      <c r="G279" s="18"/>
      <c r="H279" s="18"/>
      <c r="I279" s="25"/>
      <c r="J279" s="18"/>
      <c r="K279" s="18"/>
      <c r="L279" s="18"/>
      <c r="M279" s="18"/>
      <c r="N279" s="18"/>
      <c r="O279" s="18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>
      <c r="A280" s="1"/>
      <c r="B280" s="1"/>
      <c r="C280" s="18"/>
      <c r="D280" s="47"/>
      <c r="E280" s="18"/>
      <c r="F280" s="18"/>
      <c r="G280" s="18"/>
      <c r="H280" s="18"/>
      <c r="I280" s="25"/>
      <c r="J280" s="18"/>
      <c r="K280" s="18"/>
      <c r="L280" s="18"/>
      <c r="M280" s="18"/>
      <c r="N280" s="18"/>
      <c r="O280" s="18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>
      <c r="A281" s="1"/>
      <c r="B281" s="1"/>
      <c r="C281" s="18"/>
      <c r="D281" s="47"/>
      <c r="E281" s="18"/>
      <c r="F281" s="18"/>
      <c r="G281" s="18"/>
      <c r="H281" s="18"/>
      <c r="I281" s="25"/>
      <c r="J281" s="18"/>
      <c r="K281" s="18"/>
      <c r="L281" s="18"/>
      <c r="M281" s="18"/>
      <c r="N281" s="18"/>
      <c r="O281" s="18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>
      <c r="A282" s="1"/>
      <c r="B282" s="1"/>
      <c r="C282" s="18"/>
      <c r="D282" s="47"/>
      <c r="E282" s="18"/>
      <c r="F282" s="18"/>
      <c r="G282" s="18"/>
      <c r="H282" s="18"/>
      <c r="I282" s="25"/>
      <c r="J282" s="18"/>
      <c r="K282" s="18"/>
      <c r="L282" s="18"/>
      <c r="M282" s="18"/>
      <c r="N282" s="18"/>
      <c r="O282" s="18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>
      <c r="A283" s="1"/>
      <c r="B283" s="1"/>
      <c r="C283" s="18"/>
      <c r="D283" s="47"/>
      <c r="E283" s="18"/>
      <c r="F283" s="18"/>
      <c r="G283" s="18"/>
      <c r="H283" s="18"/>
      <c r="I283" s="25"/>
      <c r="J283" s="18"/>
      <c r="K283" s="18"/>
      <c r="L283" s="18"/>
      <c r="M283" s="18"/>
      <c r="N283" s="18"/>
      <c r="O283" s="18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>
      <c r="A284" s="1"/>
      <c r="B284" s="1"/>
      <c r="C284" s="18"/>
      <c r="D284" s="47"/>
      <c r="E284" s="18"/>
      <c r="F284" s="18"/>
      <c r="G284" s="18"/>
      <c r="H284" s="18"/>
      <c r="I284" s="25"/>
      <c r="J284" s="18"/>
      <c r="K284" s="18"/>
      <c r="L284" s="18"/>
      <c r="M284" s="18"/>
      <c r="N284" s="18"/>
      <c r="O284" s="18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>
      <c r="A285" s="1"/>
      <c r="B285" s="1"/>
      <c r="C285" s="18"/>
      <c r="D285" s="47"/>
      <c r="E285" s="18"/>
      <c r="F285" s="18"/>
      <c r="G285" s="18"/>
      <c r="H285" s="18"/>
      <c r="I285" s="25"/>
      <c r="J285" s="18"/>
      <c r="K285" s="18"/>
      <c r="L285" s="18"/>
      <c r="M285" s="18"/>
      <c r="N285" s="18"/>
      <c r="O285" s="18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>
      <c r="A286" s="1"/>
      <c r="B286" s="1"/>
      <c r="C286" s="18"/>
      <c r="D286" s="47"/>
      <c r="E286" s="18"/>
      <c r="F286" s="18"/>
      <c r="G286" s="18"/>
      <c r="H286" s="18"/>
      <c r="I286" s="25"/>
      <c r="J286" s="18"/>
      <c r="K286" s="18"/>
      <c r="L286" s="18"/>
      <c r="M286" s="18"/>
      <c r="N286" s="18"/>
      <c r="O286" s="18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>
      <c r="A287" s="1"/>
      <c r="B287" s="1"/>
      <c r="C287" s="18"/>
      <c r="D287" s="47"/>
      <c r="E287" s="18"/>
      <c r="F287" s="18"/>
      <c r="G287" s="18"/>
      <c r="H287" s="18"/>
      <c r="I287" s="25"/>
      <c r="J287" s="18"/>
      <c r="K287" s="18"/>
      <c r="L287" s="18"/>
      <c r="M287" s="18"/>
      <c r="N287" s="18"/>
      <c r="O287" s="18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>
      <c r="A288" s="1"/>
      <c r="B288" s="1"/>
      <c r="C288" s="18"/>
      <c r="D288" s="47"/>
      <c r="E288" s="18"/>
      <c r="F288" s="18"/>
      <c r="G288" s="18"/>
      <c r="H288" s="18"/>
      <c r="I288" s="25"/>
      <c r="J288" s="18"/>
      <c r="K288" s="18"/>
      <c r="L288" s="18"/>
      <c r="M288" s="18"/>
      <c r="N288" s="18"/>
      <c r="O288" s="18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>
      <c r="A289" s="1"/>
      <c r="B289" s="1"/>
      <c r="C289" s="18"/>
      <c r="D289" s="47"/>
      <c r="E289" s="18"/>
      <c r="F289" s="18"/>
      <c r="G289" s="18"/>
      <c r="H289" s="18"/>
      <c r="I289" s="25"/>
      <c r="J289" s="18"/>
      <c r="K289" s="18"/>
      <c r="L289" s="18"/>
      <c r="M289" s="18"/>
      <c r="N289" s="18"/>
      <c r="O289" s="18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>
      <c r="A290" s="1"/>
      <c r="B290" s="1"/>
      <c r="C290" s="18"/>
      <c r="D290" s="47"/>
      <c r="E290" s="18"/>
      <c r="F290" s="18"/>
      <c r="G290" s="18"/>
      <c r="H290" s="18"/>
      <c r="I290" s="25"/>
      <c r="J290" s="18"/>
      <c r="K290" s="18"/>
      <c r="L290" s="18"/>
      <c r="M290" s="18"/>
      <c r="N290" s="18"/>
      <c r="O290" s="18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>
      <c r="A291" s="1"/>
      <c r="B291" s="1"/>
      <c r="C291" s="18"/>
      <c r="D291" s="47"/>
      <c r="E291" s="18"/>
      <c r="F291" s="18"/>
      <c r="G291" s="18"/>
      <c r="H291" s="18"/>
      <c r="I291" s="25"/>
      <c r="J291" s="18"/>
      <c r="K291" s="18"/>
      <c r="L291" s="18"/>
      <c r="M291" s="18"/>
      <c r="N291" s="18"/>
      <c r="O291" s="18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>
      <c r="A292" s="1"/>
      <c r="B292" s="1"/>
      <c r="C292" s="18"/>
      <c r="D292" s="47"/>
      <c r="E292" s="18"/>
      <c r="F292" s="18"/>
      <c r="G292" s="18"/>
      <c r="H292" s="18"/>
      <c r="I292" s="25"/>
      <c r="J292" s="18"/>
      <c r="K292" s="18"/>
      <c r="L292" s="18"/>
      <c r="M292" s="18"/>
      <c r="N292" s="18"/>
      <c r="O292" s="18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>
      <c r="A293" s="1"/>
      <c r="B293" s="1"/>
      <c r="C293" s="18"/>
      <c r="D293" s="47"/>
      <c r="E293" s="18"/>
      <c r="F293" s="18"/>
      <c r="G293" s="18"/>
      <c r="H293" s="18"/>
      <c r="I293" s="25"/>
      <c r="J293" s="18"/>
      <c r="K293" s="18"/>
      <c r="L293" s="18"/>
      <c r="M293" s="18"/>
      <c r="N293" s="18"/>
      <c r="O293" s="18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>
      <c r="A294" s="1"/>
      <c r="B294" s="1"/>
      <c r="C294" s="18"/>
      <c r="D294" s="47"/>
      <c r="E294" s="18"/>
      <c r="F294" s="18"/>
      <c r="G294" s="18"/>
      <c r="H294" s="18"/>
      <c r="I294" s="25"/>
      <c r="J294" s="18"/>
      <c r="K294" s="18"/>
      <c r="L294" s="18"/>
      <c r="M294" s="18"/>
      <c r="N294" s="18"/>
      <c r="O294" s="18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>
      <c r="A295" s="1"/>
      <c r="B295" s="1"/>
      <c r="C295" s="18"/>
      <c r="D295" s="47"/>
      <c r="E295" s="18"/>
      <c r="F295" s="18"/>
      <c r="G295" s="18"/>
      <c r="H295" s="18"/>
      <c r="I295" s="25"/>
      <c r="J295" s="18"/>
      <c r="K295" s="18"/>
      <c r="L295" s="18"/>
      <c r="M295" s="18"/>
      <c r="N295" s="18"/>
      <c r="O295" s="18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>
      <c r="A296" s="1"/>
      <c r="B296" s="1"/>
      <c r="C296" s="18"/>
      <c r="D296" s="47"/>
      <c r="E296" s="18"/>
      <c r="F296" s="18"/>
      <c r="G296" s="18"/>
      <c r="H296" s="18"/>
      <c r="I296" s="25"/>
      <c r="J296" s="18"/>
      <c r="K296" s="18"/>
      <c r="L296" s="18"/>
      <c r="M296" s="18"/>
      <c r="N296" s="18"/>
      <c r="O296" s="18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>
      <c r="A297" s="1"/>
      <c r="B297" s="1"/>
      <c r="C297" s="18"/>
      <c r="D297" s="47"/>
      <c r="E297" s="18"/>
      <c r="F297" s="18"/>
      <c r="G297" s="18"/>
      <c r="H297" s="18"/>
      <c r="I297" s="25"/>
      <c r="J297" s="18"/>
      <c r="K297" s="18"/>
      <c r="L297" s="18"/>
      <c r="M297" s="18"/>
      <c r="N297" s="18"/>
      <c r="O297" s="18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>
      <c r="A298" s="1"/>
      <c r="B298" s="1"/>
      <c r="C298" s="18"/>
      <c r="D298" s="47"/>
      <c r="E298" s="18"/>
      <c r="F298" s="18"/>
      <c r="G298" s="18"/>
      <c r="H298" s="18"/>
      <c r="I298" s="25"/>
      <c r="J298" s="18"/>
      <c r="K298" s="18"/>
      <c r="L298" s="18"/>
      <c r="M298" s="18"/>
      <c r="N298" s="18"/>
      <c r="O298" s="18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>
      <c r="A299" s="1"/>
      <c r="B299" s="1"/>
      <c r="C299" s="18"/>
      <c r="D299" s="47"/>
      <c r="E299" s="18"/>
      <c r="F299" s="18"/>
      <c r="G299" s="18"/>
      <c r="H299" s="18"/>
      <c r="I299" s="25"/>
      <c r="J299" s="18"/>
      <c r="K299" s="18"/>
      <c r="L299" s="18"/>
      <c r="M299" s="18"/>
      <c r="N299" s="18"/>
      <c r="O299" s="18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>
      <c r="A300" s="1"/>
      <c r="B300" s="1"/>
      <c r="C300" s="18"/>
      <c r="D300" s="47"/>
      <c r="E300" s="18"/>
      <c r="F300" s="18"/>
      <c r="G300" s="18"/>
      <c r="H300" s="18"/>
      <c r="I300" s="25"/>
      <c r="J300" s="18"/>
      <c r="K300" s="18"/>
      <c r="L300" s="18"/>
      <c r="M300" s="18"/>
      <c r="N300" s="18"/>
      <c r="O300" s="18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>
      <c r="A301" s="1"/>
      <c r="B301" s="1"/>
      <c r="C301" s="18"/>
      <c r="D301" s="47"/>
      <c r="E301" s="18"/>
      <c r="F301" s="18"/>
      <c r="G301" s="18"/>
      <c r="H301" s="18"/>
      <c r="I301" s="25"/>
      <c r="J301" s="18"/>
      <c r="K301" s="18"/>
      <c r="L301" s="18"/>
      <c r="M301" s="18"/>
      <c r="N301" s="18"/>
      <c r="O301" s="18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>
      <c r="A302" s="1"/>
      <c r="B302" s="1"/>
      <c r="C302" s="18"/>
      <c r="D302" s="47"/>
      <c r="E302" s="18"/>
      <c r="F302" s="18"/>
      <c r="G302" s="18"/>
      <c r="H302" s="18"/>
      <c r="I302" s="25"/>
      <c r="J302" s="18"/>
      <c r="K302" s="18"/>
      <c r="L302" s="18"/>
      <c r="M302" s="18"/>
      <c r="N302" s="18"/>
      <c r="O302" s="18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>
      <c r="A303" s="1"/>
      <c r="B303" s="1"/>
      <c r="C303" s="18"/>
      <c r="D303" s="47"/>
      <c r="E303" s="18"/>
      <c r="F303" s="18"/>
      <c r="G303" s="18"/>
      <c r="H303" s="18"/>
      <c r="I303" s="25"/>
      <c r="J303" s="18"/>
      <c r="K303" s="18"/>
      <c r="L303" s="18"/>
      <c r="M303" s="18"/>
      <c r="N303" s="18"/>
      <c r="O303" s="18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>
      <c r="A304" s="1"/>
      <c r="B304" s="1"/>
      <c r="C304" s="18"/>
      <c r="D304" s="47"/>
      <c r="E304" s="18"/>
      <c r="F304" s="18"/>
      <c r="G304" s="18"/>
      <c r="H304" s="18"/>
      <c r="I304" s="25"/>
      <c r="J304" s="18"/>
      <c r="K304" s="18"/>
      <c r="L304" s="18"/>
      <c r="M304" s="18"/>
      <c r="N304" s="18"/>
      <c r="O304" s="18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>
      <c r="A305" s="1"/>
      <c r="B305" s="1"/>
      <c r="C305" s="18"/>
      <c r="D305" s="47"/>
      <c r="E305" s="18"/>
      <c r="F305" s="18"/>
      <c r="G305" s="18"/>
      <c r="H305" s="18"/>
      <c r="I305" s="25"/>
      <c r="J305" s="18"/>
      <c r="K305" s="18"/>
      <c r="L305" s="18"/>
      <c r="M305" s="18"/>
      <c r="N305" s="18"/>
      <c r="O305" s="18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>
      <c r="A306" s="1"/>
      <c r="B306" s="1"/>
      <c r="C306" s="18"/>
      <c r="D306" s="47"/>
      <c r="E306" s="18"/>
      <c r="F306" s="18"/>
      <c r="G306" s="18"/>
      <c r="H306" s="18"/>
      <c r="I306" s="25"/>
      <c r="J306" s="18"/>
      <c r="K306" s="18"/>
      <c r="L306" s="18"/>
      <c r="M306" s="18"/>
      <c r="N306" s="18"/>
      <c r="O306" s="18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>
      <c r="A307" s="1"/>
      <c r="B307" s="1"/>
      <c r="C307" s="18"/>
      <c r="D307" s="47"/>
      <c r="E307" s="18"/>
      <c r="F307" s="18"/>
      <c r="G307" s="18"/>
      <c r="H307" s="18"/>
      <c r="I307" s="25"/>
      <c r="J307" s="18"/>
      <c r="K307" s="18"/>
      <c r="L307" s="18"/>
      <c r="M307" s="18"/>
      <c r="N307" s="18"/>
      <c r="O307" s="18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>
      <c r="A308" s="1"/>
      <c r="B308" s="1"/>
      <c r="C308" s="18"/>
      <c r="D308" s="47"/>
      <c r="E308" s="18"/>
      <c r="F308" s="18"/>
      <c r="G308" s="18"/>
      <c r="H308" s="18"/>
      <c r="I308" s="25"/>
      <c r="J308" s="18"/>
      <c r="K308" s="18"/>
      <c r="L308" s="18"/>
      <c r="M308" s="18"/>
      <c r="N308" s="18"/>
      <c r="O308" s="18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>
      <c r="A309" s="1"/>
      <c r="B309" s="1"/>
      <c r="C309" s="18"/>
      <c r="D309" s="47"/>
      <c r="E309" s="18"/>
      <c r="F309" s="18"/>
      <c r="G309" s="18"/>
      <c r="H309" s="18"/>
      <c r="I309" s="25"/>
      <c r="J309" s="18"/>
      <c r="K309" s="18"/>
      <c r="L309" s="18"/>
      <c r="M309" s="18"/>
      <c r="N309" s="18"/>
      <c r="O309" s="18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>
      <c r="A310" s="1"/>
      <c r="B310" s="1"/>
      <c r="C310" s="18"/>
      <c r="D310" s="47"/>
      <c r="E310" s="18"/>
      <c r="F310" s="18"/>
      <c r="G310" s="18"/>
      <c r="H310" s="18"/>
      <c r="I310" s="25"/>
      <c r="J310" s="18"/>
      <c r="K310" s="18"/>
      <c r="L310" s="18"/>
      <c r="M310" s="18"/>
      <c r="N310" s="18"/>
      <c r="O310" s="18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>
      <c r="A311" s="1"/>
      <c r="B311" s="1"/>
      <c r="C311" s="18"/>
      <c r="D311" s="47"/>
      <c r="E311" s="18"/>
      <c r="F311" s="18"/>
      <c r="G311" s="18"/>
      <c r="H311" s="18"/>
      <c r="I311" s="25"/>
      <c r="J311" s="18"/>
      <c r="K311" s="18"/>
      <c r="L311" s="18"/>
      <c r="M311" s="18"/>
      <c r="N311" s="18"/>
      <c r="O311" s="18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>
      <c r="A312" s="1"/>
      <c r="B312" s="1"/>
      <c r="C312" s="18"/>
      <c r="D312" s="47"/>
      <c r="E312" s="18"/>
      <c r="F312" s="18"/>
      <c r="G312" s="18"/>
      <c r="H312" s="18"/>
      <c r="I312" s="25"/>
      <c r="J312" s="18"/>
      <c r="K312" s="18"/>
      <c r="L312" s="18"/>
      <c r="M312" s="18"/>
      <c r="N312" s="18"/>
      <c r="O312" s="18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>
      <c r="A313" s="1"/>
      <c r="B313" s="1"/>
      <c r="C313" s="18"/>
      <c r="D313" s="47"/>
      <c r="E313" s="18"/>
      <c r="F313" s="18"/>
      <c r="G313" s="18"/>
      <c r="H313" s="18"/>
      <c r="I313" s="25"/>
      <c r="J313" s="18"/>
      <c r="K313" s="18"/>
      <c r="L313" s="18"/>
      <c r="M313" s="18"/>
      <c r="N313" s="18"/>
      <c r="O313" s="18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>
      <c r="A314" s="1"/>
      <c r="B314" s="1"/>
      <c r="C314" s="18"/>
      <c r="D314" s="47"/>
      <c r="E314" s="18"/>
      <c r="F314" s="18"/>
      <c r="G314" s="18"/>
      <c r="H314" s="18"/>
      <c r="I314" s="25"/>
      <c r="J314" s="18"/>
      <c r="K314" s="18"/>
      <c r="L314" s="18"/>
      <c r="M314" s="18"/>
      <c r="N314" s="18"/>
      <c r="O314" s="18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>
      <c r="A315" s="1"/>
      <c r="B315" s="1"/>
      <c r="C315" s="18"/>
      <c r="D315" s="47"/>
      <c r="E315" s="18"/>
      <c r="F315" s="18"/>
      <c r="G315" s="18"/>
      <c r="H315" s="18"/>
      <c r="I315" s="25"/>
      <c r="J315" s="18"/>
      <c r="K315" s="18"/>
      <c r="L315" s="18"/>
      <c r="M315" s="18"/>
      <c r="N315" s="18"/>
      <c r="O315" s="18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>
      <c r="A316" s="1"/>
      <c r="B316" s="1"/>
      <c r="C316" s="18"/>
      <c r="D316" s="47"/>
      <c r="E316" s="18"/>
      <c r="F316" s="18"/>
      <c r="G316" s="18"/>
      <c r="H316" s="18"/>
      <c r="I316" s="25"/>
      <c r="J316" s="18"/>
      <c r="K316" s="18"/>
      <c r="L316" s="18"/>
      <c r="M316" s="18"/>
      <c r="N316" s="18"/>
      <c r="O316" s="18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>
      <c r="A317" s="1"/>
      <c r="B317" s="1"/>
      <c r="C317" s="18"/>
      <c r="D317" s="47"/>
      <c r="E317" s="18"/>
      <c r="F317" s="18"/>
      <c r="G317" s="18"/>
      <c r="H317" s="18"/>
      <c r="I317" s="25"/>
      <c r="J317" s="18"/>
      <c r="K317" s="18"/>
      <c r="L317" s="18"/>
      <c r="M317" s="18"/>
      <c r="N317" s="18"/>
      <c r="O317" s="18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>
      <c r="A318" s="1"/>
      <c r="B318" s="1"/>
      <c r="C318" s="18"/>
      <c r="D318" s="47"/>
      <c r="E318" s="18"/>
      <c r="F318" s="18"/>
      <c r="G318" s="18"/>
      <c r="H318" s="18"/>
      <c r="I318" s="25"/>
      <c r="J318" s="18"/>
      <c r="K318" s="18"/>
      <c r="L318" s="18"/>
      <c r="M318" s="18"/>
      <c r="N318" s="18"/>
      <c r="O318" s="18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>
      <c r="A319" s="1"/>
      <c r="B319" s="1"/>
      <c r="C319" s="18"/>
      <c r="D319" s="47"/>
      <c r="E319" s="18"/>
      <c r="F319" s="18"/>
      <c r="G319" s="18"/>
      <c r="H319" s="18"/>
      <c r="I319" s="25"/>
      <c r="J319" s="18"/>
      <c r="K319" s="18"/>
      <c r="L319" s="18"/>
      <c r="M319" s="18"/>
      <c r="N319" s="18"/>
      <c r="O319" s="18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>
      <c r="A320" s="1"/>
      <c r="B320" s="1"/>
      <c r="C320" s="18"/>
      <c r="D320" s="47"/>
      <c r="E320" s="18"/>
      <c r="F320" s="18"/>
      <c r="G320" s="18"/>
      <c r="H320" s="18"/>
      <c r="I320" s="25"/>
      <c r="J320" s="18"/>
      <c r="K320" s="18"/>
      <c r="L320" s="18"/>
      <c r="M320" s="18"/>
      <c r="N320" s="18"/>
      <c r="O320" s="18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>
      <c r="A321" s="1"/>
      <c r="B321" s="1"/>
      <c r="C321" s="18"/>
      <c r="D321" s="47"/>
      <c r="E321" s="18"/>
      <c r="F321" s="18"/>
      <c r="G321" s="18"/>
      <c r="H321" s="18"/>
      <c r="I321" s="25"/>
      <c r="J321" s="18"/>
      <c r="K321" s="18"/>
      <c r="L321" s="18"/>
      <c r="M321" s="18"/>
      <c r="N321" s="18"/>
      <c r="O321" s="18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>
      <c r="A322" s="1"/>
      <c r="B322" s="1"/>
      <c r="C322" s="18"/>
      <c r="D322" s="47"/>
      <c r="E322" s="18"/>
      <c r="F322" s="18"/>
      <c r="G322" s="18"/>
      <c r="H322" s="18"/>
      <c r="I322" s="25"/>
      <c r="J322" s="18"/>
      <c r="K322" s="18"/>
      <c r="L322" s="18"/>
      <c r="M322" s="18"/>
      <c r="N322" s="18"/>
      <c r="O322" s="18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>
      <c r="A323" s="1"/>
      <c r="B323" s="1"/>
      <c r="C323" s="18"/>
      <c r="D323" s="47"/>
      <c r="E323" s="18"/>
      <c r="F323" s="18"/>
      <c r="G323" s="18"/>
      <c r="H323" s="18"/>
      <c r="I323" s="25"/>
      <c r="J323" s="18"/>
      <c r="K323" s="18"/>
      <c r="L323" s="18"/>
      <c r="M323" s="18"/>
      <c r="N323" s="18"/>
      <c r="O323" s="18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>
      <c r="A324" s="1"/>
      <c r="B324" s="1"/>
      <c r="C324" s="18"/>
      <c r="D324" s="47"/>
      <c r="E324" s="18"/>
      <c r="F324" s="18"/>
      <c r="G324" s="18"/>
      <c r="H324" s="18"/>
      <c r="I324" s="25"/>
      <c r="J324" s="18"/>
      <c r="K324" s="18"/>
      <c r="L324" s="18"/>
      <c r="M324" s="18"/>
      <c r="N324" s="18"/>
      <c r="O324" s="18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>
      <c r="A325" s="1"/>
      <c r="B325" s="1"/>
      <c r="C325" s="18"/>
      <c r="D325" s="47"/>
      <c r="E325" s="18"/>
      <c r="F325" s="18"/>
      <c r="G325" s="18"/>
      <c r="H325" s="18"/>
      <c r="I325" s="25"/>
      <c r="J325" s="18"/>
      <c r="K325" s="18"/>
      <c r="L325" s="18"/>
      <c r="M325" s="18"/>
      <c r="N325" s="18"/>
      <c r="O325" s="18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>
      <c r="A326" s="1"/>
      <c r="B326" s="1"/>
      <c r="C326" s="18"/>
      <c r="D326" s="47"/>
      <c r="E326" s="18"/>
      <c r="F326" s="18"/>
      <c r="G326" s="18"/>
      <c r="H326" s="18"/>
      <c r="I326" s="25"/>
      <c r="J326" s="18"/>
      <c r="K326" s="18"/>
      <c r="L326" s="18"/>
      <c r="M326" s="18"/>
      <c r="N326" s="18"/>
      <c r="O326" s="18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>
      <c r="A327" s="1"/>
      <c r="B327" s="1"/>
      <c r="C327" s="18"/>
      <c r="D327" s="47"/>
      <c r="E327" s="18"/>
      <c r="F327" s="18"/>
      <c r="G327" s="18"/>
      <c r="H327" s="18"/>
      <c r="I327" s="25"/>
      <c r="J327" s="18"/>
      <c r="K327" s="18"/>
      <c r="L327" s="18"/>
      <c r="M327" s="18"/>
      <c r="N327" s="18"/>
      <c r="O327" s="18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>
      <c r="A328" s="1"/>
      <c r="B328" s="1"/>
      <c r="C328" s="18"/>
      <c r="D328" s="47"/>
      <c r="E328" s="18"/>
      <c r="F328" s="18"/>
      <c r="G328" s="18"/>
      <c r="H328" s="18"/>
      <c r="I328" s="25"/>
      <c r="J328" s="18"/>
      <c r="K328" s="18"/>
      <c r="L328" s="18"/>
      <c r="M328" s="18"/>
      <c r="N328" s="18"/>
      <c r="O328" s="18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>
      <c r="A329" s="1"/>
      <c r="B329" s="1"/>
      <c r="C329" s="18"/>
      <c r="D329" s="47"/>
      <c r="E329" s="18"/>
      <c r="F329" s="18"/>
      <c r="G329" s="18"/>
      <c r="H329" s="18"/>
      <c r="I329" s="25"/>
      <c r="J329" s="18"/>
      <c r="K329" s="18"/>
      <c r="L329" s="18"/>
      <c r="M329" s="18"/>
      <c r="N329" s="18"/>
      <c r="O329" s="18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>
      <c r="A330" s="1"/>
      <c r="B330" s="1"/>
      <c r="C330" s="18"/>
      <c r="D330" s="47"/>
      <c r="E330" s="18"/>
      <c r="F330" s="18"/>
      <c r="G330" s="18"/>
      <c r="H330" s="18"/>
      <c r="I330" s="25"/>
      <c r="J330" s="18"/>
      <c r="K330" s="18"/>
      <c r="L330" s="18"/>
      <c r="M330" s="18"/>
      <c r="N330" s="18"/>
      <c r="O330" s="18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>
      <c r="A331" s="1"/>
      <c r="B331" s="1"/>
      <c r="C331" s="18"/>
      <c r="D331" s="47"/>
      <c r="E331" s="18"/>
      <c r="F331" s="18"/>
      <c r="G331" s="18"/>
      <c r="H331" s="18"/>
      <c r="I331" s="25"/>
      <c r="J331" s="18"/>
      <c r="K331" s="18"/>
      <c r="L331" s="18"/>
      <c r="M331" s="18"/>
      <c r="N331" s="18"/>
      <c r="O331" s="18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>
      <c r="A332" s="1"/>
      <c r="B332" s="1"/>
      <c r="C332" s="18"/>
      <c r="D332" s="47"/>
      <c r="E332" s="18"/>
      <c r="F332" s="18"/>
      <c r="G332" s="18"/>
      <c r="H332" s="18"/>
      <c r="I332" s="25"/>
      <c r="J332" s="18"/>
      <c r="K332" s="18"/>
      <c r="L332" s="18"/>
      <c r="M332" s="18"/>
      <c r="N332" s="18"/>
      <c r="O332" s="18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>
      <c r="A333" s="1"/>
      <c r="B333" s="1"/>
      <c r="C333" s="18"/>
      <c r="D333" s="47"/>
      <c r="E333" s="18"/>
      <c r="F333" s="18"/>
      <c r="G333" s="18"/>
      <c r="H333" s="18"/>
      <c r="I333" s="25"/>
      <c r="J333" s="18"/>
      <c r="K333" s="18"/>
      <c r="L333" s="18"/>
      <c r="M333" s="18"/>
      <c r="N333" s="18"/>
      <c r="O333" s="18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>
      <c r="A334" s="1"/>
      <c r="B334" s="1"/>
      <c r="C334" s="18"/>
      <c r="D334" s="47"/>
      <c r="E334" s="18"/>
      <c r="F334" s="18"/>
      <c r="G334" s="18"/>
      <c r="H334" s="18"/>
      <c r="I334" s="25"/>
      <c r="J334" s="18"/>
      <c r="K334" s="18"/>
      <c r="L334" s="18"/>
      <c r="M334" s="18"/>
      <c r="N334" s="18"/>
      <c r="O334" s="18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>
      <c r="A335" s="1"/>
      <c r="B335" s="1"/>
      <c r="C335" s="18"/>
      <c r="D335" s="47"/>
      <c r="E335" s="18"/>
      <c r="F335" s="18"/>
      <c r="G335" s="18"/>
      <c r="H335" s="18"/>
      <c r="I335" s="25"/>
      <c r="J335" s="18"/>
      <c r="K335" s="18"/>
      <c r="L335" s="18"/>
      <c r="M335" s="18"/>
      <c r="N335" s="18"/>
      <c r="O335" s="18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>
      <c r="A336" s="1"/>
      <c r="B336" s="1"/>
      <c r="C336" s="18"/>
      <c r="D336" s="47"/>
      <c r="E336" s="18"/>
      <c r="F336" s="18"/>
      <c r="G336" s="18"/>
      <c r="H336" s="18"/>
      <c r="I336" s="25"/>
      <c r="J336" s="18"/>
      <c r="K336" s="18"/>
      <c r="L336" s="18"/>
      <c r="M336" s="18"/>
      <c r="N336" s="18"/>
      <c r="O336" s="18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>
      <c r="A337" s="1"/>
      <c r="B337" s="1"/>
      <c r="C337" s="18"/>
      <c r="D337" s="47"/>
      <c r="E337" s="18"/>
      <c r="F337" s="18"/>
      <c r="G337" s="18"/>
      <c r="H337" s="18"/>
      <c r="I337" s="25"/>
      <c r="J337" s="18"/>
      <c r="K337" s="18"/>
      <c r="L337" s="18"/>
      <c r="M337" s="18"/>
      <c r="N337" s="18"/>
      <c r="O337" s="18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>
      <c r="A338" s="1"/>
      <c r="B338" s="1"/>
      <c r="C338" s="18"/>
      <c r="D338" s="47"/>
      <c r="E338" s="18"/>
      <c r="F338" s="18"/>
      <c r="G338" s="18"/>
      <c r="H338" s="18"/>
      <c r="I338" s="25"/>
      <c r="J338" s="18"/>
      <c r="K338" s="18"/>
      <c r="L338" s="18"/>
      <c r="M338" s="18"/>
      <c r="N338" s="18"/>
      <c r="O338" s="18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>
      <c r="A339" s="1"/>
      <c r="B339" s="1"/>
      <c r="C339" s="18"/>
      <c r="D339" s="47"/>
      <c r="E339" s="18"/>
      <c r="F339" s="18"/>
      <c r="G339" s="18"/>
      <c r="H339" s="18"/>
      <c r="I339" s="25"/>
      <c r="J339" s="18"/>
      <c r="K339" s="18"/>
      <c r="L339" s="18"/>
      <c r="M339" s="18"/>
      <c r="N339" s="18"/>
      <c r="O339" s="18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>
      <c r="A340" s="1"/>
      <c r="B340" s="1"/>
      <c r="C340" s="18"/>
      <c r="D340" s="47"/>
      <c r="E340" s="18"/>
      <c r="F340" s="18"/>
      <c r="G340" s="18"/>
      <c r="H340" s="18"/>
      <c r="I340" s="25"/>
      <c r="J340" s="18"/>
      <c r="K340" s="18"/>
      <c r="L340" s="18"/>
      <c r="M340" s="18"/>
      <c r="N340" s="18"/>
      <c r="O340" s="18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>
      <c r="A341" s="1"/>
      <c r="B341" s="1"/>
      <c r="C341" s="18"/>
      <c r="D341" s="47"/>
      <c r="E341" s="18"/>
      <c r="F341" s="18"/>
      <c r="G341" s="18"/>
      <c r="H341" s="18"/>
      <c r="I341" s="25"/>
      <c r="J341" s="18"/>
      <c r="K341" s="18"/>
      <c r="L341" s="18"/>
      <c r="M341" s="18"/>
      <c r="N341" s="18"/>
      <c r="O341" s="18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>
      <c r="A342" s="1"/>
      <c r="B342" s="1"/>
      <c r="C342" s="18"/>
      <c r="D342" s="47"/>
      <c r="E342" s="18"/>
      <c r="F342" s="18"/>
      <c r="G342" s="18"/>
      <c r="H342" s="18"/>
      <c r="I342" s="25"/>
      <c r="J342" s="18"/>
      <c r="K342" s="18"/>
      <c r="L342" s="18"/>
      <c r="M342" s="18"/>
      <c r="N342" s="18"/>
      <c r="O342" s="18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>
      <c r="A343" s="1"/>
      <c r="B343" s="1"/>
      <c r="C343" s="18"/>
      <c r="D343" s="47"/>
      <c r="E343" s="18"/>
      <c r="F343" s="18"/>
      <c r="G343" s="18"/>
      <c r="H343" s="18"/>
      <c r="I343" s="25"/>
      <c r="J343" s="18"/>
      <c r="K343" s="18"/>
      <c r="L343" s="18"/>
      <c r="M343" s="18"/>
      <c r="N343" s="18"/>
      <c r="O343" s="18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>
      <c r="A344" s="1"/>
      <c r="B344" s="1"/>
      <c r="C344" s="18"/>
      <c r="D344" s="47"/>
      <c r="E344" s="18"/>
      <c r="F344" s="18"/>
      <c r="G344" s="18"/>
      <c r="H344" s="18"/>
      <c r="I344" s="25"/>
      <c r="J344" s="18"/>
      <c r="K344" s="18"/>
      <c r="L344" s="18"/>
      <c r="M344" s="18"/>
      <c r="N344" s="18"/>
      <c r="O344" s="18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>
      <c r="A345" s="1"/>
      <c r="B345" s="1"/>
      <c r="C345" s="18"/>
      <c r="D345" s="47"/>
      <c r="E345" s="18"/>
      <c r="F345" s="18"/>
      <c r="G345" s="18"/>
      <c r="H345" s="18"/>
      <c r="I345" s="25"/>
      <c r="J345" s="18"/>
      <c r="K345" s="18"/>
      <c r="L345" s="18"/>
      <c r="M345" s="18"/>
      <c r="N345" s="18"/>
      <c r="O345" s="18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>
      <c r="A346" s="1"/>
      <c r="B346" s="1"/>
      <c r="C346" s="18"/>
      <c r="D346" s="47"/>
      <c r="E346" s="18"/>
      <c r="F346" s="18"/>
      <c r="G346" s="18"/>
      <c r="H346" s="18"/>
      <c r="I346" s="25"/>
      <c r="J346" s="18"/>
      <c r="K346" s="18"/>
      <c r="L346" s="18"/>
      <c r="M346" s="18"/>
      <c r="N346" s="18"/>
      <c r="O346" s="18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>
      <c r="A347" s="1"/>
      <c r="B347" s="1"/>
      <c r="C347" s="18"/>
      <c r="D347" s="47"/>
      <c r="E347" s="18"/>
      <c r="F347" s="18"/>
      <c r="G347" s="18"/>
      <c r="H347" s="18"/>
      <c r="I347" s="25"/>
      <c r="J347" s="18"/>
      <c r="K347" s="18"/>
      <c r="L347" s="18"/>
      <c r="M347" s="18"/>
      <c r="N347" s="18"/>
      <c r="O347" s="18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>
      <c r="A348" s="1"/>
      <c r="B348" s="1"/>
      <c r="C348" s="18"/>
      <c r="D348" s="47"/>
      <c r="E348" s="18"/>
      <c r="F348" s="18"/>
      <c r="G348" s="18"/>
      <c r="H348" s="18"/>
      <c r="I348" s="25"/>
      <c r="J348" s="18"/>
      <c r="K348" s="18"/>
      <c r="L348" s="18"/>
      <c r="M348" s="18"/>
      <c r="N348" s="18"/>
      <c r="O348" s="18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>
      <c r="A349" s="1"/>
      <c r="B349" s="1"/>
      <c r="C349" s="18"/>
      <c r="D349" s="47"/>
      <c r="E349" s="18"/>
      <c r="F349" s="18"/>
      <c r="G349" s="18"/>
      <c r="H349" s="18"/>
      <c r="I349" s="25"/>
      <c r="J349" s="18"/>
      <c r="K349" s="18"/>
      <c r="L349" s="18"/>
      <c r="M349" s="18"/>
      <c r="N349" s="18"/>
      <c r="O349" s="18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>
      <c r="A350" s="1"/>
      <c r="B350" s="1"/>
      <c r="C350" s="18"/>
      <c r="D350" s="47"/>
      <c r="E350" s="18"/>
      <c r="F350" s="18"/>
      <c r="G350" s="18"/>
      <c r="H350" s="18"/>
      <c r="I350" s="25"/>
      <c r="J350" s="18"/>
      <c r="K350" s="18"/>
      <c r="L350" s="18"/>
      <c r="M350" s="18"/>
      <c r="N350" s="18"/>
      <c r="O350" s="18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>
      <c r="A351" s="1"/>
      <c r="B351" s="1"/>
      <c r="C351" s="18"/>
      <c r="D351" s="47"/>
      <c r="E351" s="18"/>
      <c r="F351" s="18"/>
      <c r="G351" s="18"/>
      <c r="H351" s="18"/>
      <c r="I351" s="25"/>
      <c r="J351" s="18"/>
      <c r="K351" s="18"/>
      <c r="L351" s="18"/>
      <c r="M351" s="18"/>
      <c r="N351" s="18"/>
      <c r="O351" s="18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>
      <c r="A352" s="1"/>
      <c r="B352" s="1"/>
      <c r="C352" s="18"/>
      <c r="D352" s="47"/>
      <c r="E352" s="18"/>
      <c r="F352" s="18"/>
      <c r="G352" s="18"/>
      <c r="H352" s="18"/>
      <c r="I352" s="25"/>
      <c r="J352" s="18"/>
      <c r="K352" s="18"/>
      <c r="L352" s="18"/>
      <c r="M352" s="18"/>
      <c r="N352" s="18"/>
      <c r="O352" s="18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>
      <c r="A353" s="1"/>
      <c r="B353" s="1"/>
      <c r="C353" s="18"/>
      <c r="D353" s="47"/>
      <c r="E353" s="18"/>
      <c r="F353" s="18"/>
      <c r="G353" s="18"/>
      <c r="H353" s="18"/>
      <c r="I353" s="25"/>
      <c r="J353" s="18"/>
      <c r="K353" s="18"/>
      <c r="L353" s="18"/>
      <c r="M353" s="18"/>
      <c r="N353" s="18"/>
      <c r="O353" s="18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>
      <c r="A354" s="1"/>
      <c r="B354" s="1"/>
      <c r="C354" s="18"/>
      <c r="D354" s="47"/>
      <c r="E354" s="18"/>
      <c r="F354" s="18"/>
      <c r="G354" s="18"/>
      <c r="H354" s="18"/>
      <c r="I354" s="25"/>
      <c r="J354" s="18"/>
      <c r="K354" s="18"/>
      <c r="L354" s="18"/>
      <c r="M354" s="18"/>
      <c r="N354" s="18"/>
      <c r="O354" s="18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>
      <c r="A355" s="1"/>
      <c r="B355" s="1"/>
      <c r="C355" s="18"/>
      <c r="D355" s="47"/>
      <c r="E355" s="18"/>
      <c r="F355" s="18"/>
      <c r="G355" s="18"/>
      <c r="H355" s="18"/>
      <c r="I355" s="25"/>
      <c r="J355" s="18"/>
      <c r="K355" s="18"/>
      <c r="L355" s="18"/>
      <c r="M355" s="18"/>
      <c r="N355" s="18"/>
      <c r="O355" s="18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>
      <c r="A356" s="1"/>
      <c r="B356" s="1"/>
      <c r="C356" s="18"/>
      <c r="D356" s="47"/>
      <c r="E356" s="18"/>
      <c r="F356" s="18"/>
      <c r="G356" s="18"/>
      <c r="H356" s="18"/>
      <c r="I356" s="25"/>
      <c r="J356" s="18"/>
      <c r="K356" s="18"/>
      <c r="L356" s="18"/>
      <c r="M356" s="18"/>
      <c r="N356" s="18"/>
      <c r="O356" s="18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>
      <c r="A357" s="1"/>
      <c r="B357" s="1"/>
      <c r="C357" s="18"/>
      <c r="D357" s="47"/>
      <c r="E357" s="18"/>
      <c r="F357" s="18"/>
      <c r="G357" s="18"/>
      <c r="H357" s="18"/>
      <c r="I357" s="25"/>
      <c r="J357" s="18"/>
      <c r="K357" s="18"/>
      <c r="L357" s="18"/>
      <c r="M357" s="18"/>
      <c r="N357" s="18"/>
      <c r="O357" s="18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>
      <c r="A358" s="1"/>
      <c r="B358" s="1"/>
      <c r="C358" s="18"/>
      <c r="D358" s="47"/>
      <c r="E358" s="18"/>
      <c r="F358" s="18"/>
      <c r="G358" s="18"/>
      <c r="H358" s="18"/>
      <c r="I358" s="25"/>
      <c r="J358" s="18"/>
      <c r="K358" s="18"/>
      <c r="L358" s="18"/>
      <c r="M358" s="18"/>
      <c r="N358" s="18"/>
      <c r="O358" s="18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>
      <c r="A359" s="1"/>
      <c r="B359" s="1"/>
      <c r="C359" s="18"/>
      <c r="D359" s="47"/>
      <c r="E359" s="18"/>
      <c r="F359" s="18"/>
      <c r="G359" s="18"/>
      <c r="H359" s="18"/>
      <c r="I359" s="25"/>
      <c r="J359" s="18"/>
      <c r="K359" s="18"/>
      <c r="L359" s="18"/>
      <c r="M359" s="18"/>
      <c r="N359" s="18"/>
      <c r="O359" s="18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>
      <c r="A360" s="1"/>
      <c r="B360" s="1"/>
      <c r="C360" s="18"/>
      <c r="D360" s="47"/>
      <c r="E360" s="18"/>
      <c r="F360" s="18"/>
      <c r="G360" s="18"/>
      <c r="H360" s="18"/>
      <c r="I360" s="25"/>
      <c r="J360" s="18"/>
      <c r="K360" s="18"/>
      <c r="L360" s="18"/>
      <c r="M360" s="18"/>
      <c r="N360" s="18"/>
      <c r="O360" s="18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>
      <c r="A361" s="1"/>
      <c r="B361" s="1"/>
      <c r="C361" s="18"/>
      <c r="D361" s="47"/>
      <c r="E361" s="18"/>
      <c r="F361" s="18"/>
      <c r="G361" s="18"/>
      <c r="H361" s="18"/>
      <c r="I361" s="25"/>
      <c r="J361" s="18"/>
      <c r="K361" s="18"/>
      <c r="L361" s="18"/>
      <c r="M361" s="18"/>
      <c r="N361" s="18"/>
      <c r="O361" s="18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>
      <c r="A362" s="1"/>
      <c r="B362" s="1"/>
      <c r="C362" s="18"/>
      <c r="D362" s="47"/>
      <c r="E362" s="18"/>
      <c r="F362" s="18"/>
      <c r="G362" s="18"/>
      <c r="H362" s="18"/>
      <c r="I362" s="25"/>
      <c r="J362" s="18"/>
      <c r="K362" s="18"/>
      <c r="L362" s="18"/>
      <c r="M362" s="18"/>
      <c r="N362" s="18"/>
      <c r="O362" s="18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>
      <c r="A363" s="1"/>
      <c r="B363" s="1"/>
      <c r="C363" s="18"/>
      <c r="D363" s="47"/>
      <c r="E363" s="18"/>
      <c r="F363" s="18"/>
      <c r="G363" s="18"/>
      <c r="H363" s="18"/>
      <c r="I363" s="25"/>
      <c r="J363" s="18"/>
      <c r="K363" s="18"/>
      <c r="L363" s="18"/>
      <c r="M363" s="18"/>
      <c r="N363" s="18"/>
      <c r="O363" s="18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>
      <c r="A364" s="1"/>
      <c r="B364" s="1"/>
      <c r="C364" s="18"/>
      <c r="D364" s="47"/>
      <c r="E364" s="18"/>
      <c r="F364" s="18"/>
      <c r="G364" s="18"/>
      <c r="H364" s="18"/>
      <c r="I364" s="25"/>
      <c r="J364" s="18"/>
      <c r="K364" s="18"/>
      <c r="L364" s="18"/>
      <c r="M364" s="18"/>
      <c r="N364" s="18"/>
      <c r="O364" s="18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>
      <c r="A365" s="1"/>
      <c r="B365" s="1"/>
      <c r="C365" s="18"/>
      <c r="D365" s="47"/>
      <c r="E365" s="18"/>
      <c r="F365" s="18"/>
      <c r="G365" s="18"/>
      <c r="H365" s="18"/>
      <c r="I365" s="25"/>
      <c r="J365" s="18"/>
      <c r="K365" s="18"/>
      <c r="L365" s="18"/>
      <c r="M365" s="18"/>
      <c r="N365" s="18"/>
      <c r="O365" s="18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>
      <c r="A366" s="1"/>
      <c r="B366" s="1"/>
      <c r="C366" s="18"/>
      <c r="D366" s="47"/>
      <c r="E366" s="18"/>
      <c r="F366" s="18"/>
      <c r="G366" s="18"/>
      <c r="H366" s="18"/>
      <c r="I366" s="25"/>
      <c r="J366" s="18"/>
      <c r="K366" s="18"/>
      <c r="L366" s="18"/>
      <c r="M366" s="18"/>
      <c r="N366" s="18"/>
      <c r="O366" s="18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>
      <c r="A367" s="1"/>
      <c r="B367" s="1"/>
      <c r="C367" s="18"/>
      <c r="D367" s="47"/>
      <c r="E367" s="18"/>
      <c r="F367" s="18"/>
      <c r="G367" s="18"/>
      <c r="H367" s="18"/>
      <c r="I367" s="25"/>
      <c r="J367" s="18"/>
      <c r="K367" s="18"/>
      <c r="L367" s="18"/>
      <c r="M367" s="18"/>
      <c r="N367" s="18"/>
      <c r="O367" s="18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>
      <c r="A368" s="1"/>
      <c r="B368" s="1"/>
      <c r="C368" s="18"/>
      <c r="D368" s="47"/>
      <c r="E368" s="18"/>
      <c r="F368" s="18"/>
      <c r="G368" s="18"/>
      <c r="H368" s="18"/>
      <c r="I368" s="25"/>
      <c r="J368" s="18"/>
      <c r="K368" s="18"/>
      <c r="L368" s="18"/>
      <c r="M368" s="18"/>
      <c r="N368" s="18"/>
      <c r="O368" s="18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>
      <c r="A369" s="1"/>
      <c r="B369" s="1"/>
      <c r="C369" s="18"/>
      <c r="D369" s="47"/>
      <c r="E369" s="18"/>
      <c r="F369" s="18"/>
      <c r="G369" s="18"/>
      <c r="H369" s="18"/>
      <c r="I369" s="25"/>
      <c r="J369" s="18"/>
      <c r="K369" s="18"/>
      <c r="L369" s="18"/>
      <c r="M369" s="18"/>
      <c r="N369" s="18"/>
      <c r="O369" s="18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>
      <c r="A370" s="1"/>
      <c r="B370" s="1"/>
      <c r="C370" s="18"/>
      <c r="D370" s="47"/>
      <c r="E370" s="18"/>
      <c r="F370" s="18"/>
      <c r="G370" s="18"/>
      <c r="H370" s="18"/>
      <c r="I370" s="25"/>
      <c r="J370" s="18"/>
      <c r="K370" s="18"/>
      <c r="L370" s="18"/>
      <c r="M370" s="18"/>
      <c r="N370" s="18"/>
      <c r="O370" s="18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>
      <c r="A371" s="1"/>
      <c r="B371" s="1"/>
      <c r="C371" s="18"/>
      <c r="D371" s="47"/>
      <c r="E371" s="18"/>
      <c r="F371" s="18"/>
      <c r="G371" s="18"/>
      <c r="H371" s="18"/>
      <c r="I371" s="25"/>
      <c r="J371" s="18"/>
      <c r="K371" s="18"/>
      <c r="L371" s="18"/>
      <c r="M371" s="18"/>
      <c r="N371" s="18"/>
      <c r="O371" s="18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>
      <c r="A372" s="1"/>
      <c r="B372" s="1"/>
      <c r="C372" s="18"/>
      <c r="D372" s="47"/>
      <c r="E372" s="18"/>
      <c r="F372" s="18"/>
      <c r="G372" s="18"/>
      <c r="H372" s="18"/>
      <c r="I372" s="25"/>
      <c r="J372" s="18"/>
      <c r="K372" s="18"/>
      <c r="L372" s="18"/>
      <c r="M372" s="18"/>
      <c r="N372" s="18"/>
      <c r="O372" s="18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>
      <c r="A373" s="1"/>
      <c r="B373" s="1"/>
      <c r="C373" s="18"/>
      <c r="D373" s="47"/>
      <c r="E373" s="18"/>
      <c r="F373" s="18"/>
      <c r="G373" s="18"/>
      <c r="H373" s="18"/>
      <c r="I373" s="25"/>
      <c r="J373" s="18"/>
      <c r="K373" s="18"/>
      <c r="L373" s="18"/>
      <c r="M373" s="18"/>
      <c r="N373" s="18"/>
      <c r="O373" s="18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>
      <c r="A374" s="1"/>
      <c r="B374" s="1"/>
      <c r="C374" s="18"/>
      <c r="D374" s="47"/>
      <c r="E374" s="18"/>
      <c r="F374" s="18"/>
      <c r="G374" s="18"/>
      <c r="H374" s="18"/>
      <c r="I374" s="25"/>
      <c r="J374" s="18"/>
      <c r="K374" s="18"/>
      <c r="L374" s="18"/>
      <c r="M374" s="18"/>
      <c r="N374" s="18"/>
      <c r="O374" s="18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>
      <c r="A375" s="1"/>
      <c r="B375" s="1"/>
      <c r="C375" s="18"/>
      <c r="D375" s="47"/>
      <c r="E375" s="18"/>
      <c r="F375" s="18"/>
      <c r="G375" s="18"/>
      <c r="H375" s="18"/>
      <c r="I375" s="25"/>
      <c r="J375" s="18"/>
      <c r="K375" s="18"/>
      <c r="L375" s="18"/>
      <c r="M375" s="18"/>
      <c r="N375" s="18"/>
      <c r="O375" s="18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>
      <c r="A376" s="1"/>
      <c r="B376" s="1"/>
      <c r="C376" s="18"/>
      <c r="D376" s="47"/>
      <c r="E376" s="18"/>
      <c r="F376" s="18"/>
      <c r="G376" s="18"/>
      <c r="H376" s="18"/>
      <c r="I376" s="25"/>
      <c r="J376" s="18"/>
      <c r="K376" s="18"/>
      <c r="L376" s="18"/>
      <c r="M376" s="18"/>
      <c r="N376" s="18"/>
      <c r="O376" s="18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>
      <c r="A377" s="1"/>
      <c r="B377" s="1"/>
      <c r="C377" s="18"/>
      <c r="D377" s="47"/>
      <c r="E377" s="18"/>
      <c r="F377" s="18"/>
      <c r="G377" s="18"/>
      <c r="H377" s="18"/>
      <c r="I377" s="25"/>
      <c r="J377" s="18"/>
      <c r="K377" s="18"/>
      <c r="L377" s="18"/>
      <c r="M377" s="18"/>
      <c r="N377" s="18"/>
      <c r="O377" s="18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>
      <c r="A378" s="1"/>
      <c r="B378" s="1"/>
      <c r="C378" s="18"/>
      <c r="D378" s="47"/>
      <c r="E378" s="18"/>
      <c r="F378" s="18"/>
      <c r="G378" s="18"/>
      <c r="H378" s="18"/>
      <c r="I378" s="25"/>
      <c r="J378" s="18"/>
      <c r="K378" s="18"/>
      <c r="L378" s="18"/>
      <c r="M378" s="18"/>
      <c r="N378" s="18"/>
      <c r="O378" s="18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>
      <c r="A379" s="1"/>
      <c r="B379" s="1"/>
      <c r="C379" s="18"/>
      <c r="D379" s="47"/>
      <c r="E379" s="18"/>
      <c r="F379" s="18"/>
      <c r="G379" s="18"/>
      <c r="H379" s="18"/>
      <c r="I379" s="25"/>
      <c r="J379" s="18"/>
      <c r="K379" s="18"/>
      <c r="L379" s="18"/>
      <c r="M379" s="18"/>
      <c r="N379" s="18"/>
      <c r="O379" s="18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>
      <c r="A380" s="1"/>
      <c r="B380" s="1"/>
      <c r="C380" s="18"/>
      <c r="D380" s="47"/>
      <c r="E380" s="18"/>
      <c r="F380" s="18"/>
      <c r="G380" s="18"/>
      <c r="H380" s="18"/>
      <c r="I380" s="25"/>
      <c r="J380" s="18"/>
      <c r="K380" s="18"/>
      <c r="L380" s="18"/>
      <c r="M380" s="18"/>
      <c r="N380" s="18"/>
      <c r="O380" s="18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>
      <c r="A381" s="1"/>
      <c r="B381" s="1"/>
      <c r="C381" s="18"/>
      <c r="D381" s="47"/>
      <c r="E381" s="18"/>
      <c r="F381" s="18"/>
      <c r="G381" s="18"/>
      <c r="H381" s="18"/>
      <c r="I381" s="25"/>
      <c r="J381" s="18"/>
      <c r="K381" s="18"/>
      <c r="L381" s="18"/>
      <c r="M381" s="18"/>
      <c r="N381" s="18"/>
      <c r="O381" s="18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>
      <c r="A382" s="1"/>
      <c r="B382" s="1"/>
      <c r="C382" s="18"/>
      <c r="D382" s="47"/>
      <c r="E382" s="18"/>
      <c r="F382" s="18"/>
      <c r="G382" s="18"/>
      <c r="H382" s="18"/>
      <c r="I382" s="25"/>
      <c r="J382" s="18"/>
      <c r="K382" s="18"/>
      <c r="L382" s="18"/>
      <c r="M382" s="18"/>
      <c r="N382" s="18"/>
      <c r="O382" s="18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>
      <c r="A383" s="1"/>
      <c r="B383" s="1"/>
      <c r="C383" s="18"/>
      <c r="D383" s="47"/>
      <c r="E383" s="18"/>
      <c r="F383" s="18"/>
      <c r="G383" s="18"/>
      <c r="H383" s="18"/>
      <c r="I383" s="25"/>
      <c r="J383" s="18"/>
      <c r="K383" s="18"/>
      <c r="L383" s="18"/>
      <c r="M383" s="18"/>
      <c r="N383" s="18"/>
      <c r="O383" s="18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>
      <c r="A384" s="1"/>
      <c r="B384" s="1"/>
      <c r="C384" s="18"/>
      <c r="D384" s="47"/>
      <c r="E384" s="18"/>
      <c r="F384" s="18"/>
      <c r="G384" s="18"/>
      <c r="H384" s="18"/>
      <c r="I384" s="25"/>
      <c r="J384" s="18"/>
      <c r="K384" s="18"/>
      <c r="L384" s="18"/>
      <c r="M384" s="18"/>
      <c r="N384" s="18"/>
      <c r="O384" s="18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>
      <c r="A385" s="1"/>
      <c r="B385" s="1"/>
      <c r="C385" s="18"/>
      <c r="D385" s="47"/>
      <c r="E385" s="18"/>
      <c r="F385" s="18"/>
      <c r="G385" s="18"/>
      <c r="H385" s="18"/>
      <c r="I385" s="25"/>
      <c r="J385" s="18"/>
      <c r="K385" s="18"/>
      <c r="L385" s="18"/>
      <c r="M385" s="18"/>
      <c r="N385" s="18"/>
      <c r="O385" s="18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>
      <c r="A386" s="1"/>
      <c r="B386" s="1"/>
      <c r="C386" s="18"/>
      <c r="D386" s="47"/>
      <c r="E386" s="18"/>
      <c r="F386" s="18"/>
      <c r="G386" s="18"/>
      <c r="H386" s="18"/>
      <c r="I386" s="25"/>
      <c r="J386" s="18"/>
      <c r="K386" s="18"/>
      <c r="L386" s="18"/>
      <c r="M386" s="18"/>
      <c r="N386" s="18"/>
      <c r="O386" s="18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>
      <c r="A387" s="1"/>
      <c r="B387" s="1"/>
      <c r="C387" s="18"/>
      <c r="D387" s="47"/>
      <c r="E387" s="18"/>
      <c r="F387" s="18"/>
      <c r="G387" s="18"/>
      <c r="H387" s="18"/>
      <c r="I387" s="25"/>
      <c r="J387" s="18"/>
      <c r="K387" s="18"/>
      <c r="L387" s="18"/>
      <c r="M387" s="18"/>
      <c r="N387" s="18"/>
      <c r="O387" s="18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>
      <c r="A388" s="1"/>
      <c r="B388" s="1"/>
      <c r="C388" s="18"/>
      <c r="D388" s="47"/>
      <c r="E388" s="18"/>
      <c r="F388" s="18"/>
      <c r="G388" s="18"/>
      <c r="H388" s="18"/>
      <c r="I388" s="25"/>
      <c r="J388" s="18"/>
      <c r="K388" s="18"/>
      <c r="L388" s="18"/>
      <c r="M388" s="18"/>
      <c r="N388" s="18"/>
      <c r="O388" s="18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>
      <c r="A389" s="1"/>
      <c r="B389" s="1"/>
      <c r="C389" s="18"/>
      <c r="D389" s="47"/>
      <c r="E389" s="18"/>
      <c r="F389" s="18"/>
      <c r="G389" s="18"/>
      <c r="H389" s="18"/>
      <c r="I389" s="25"/>
      <c r="J389" s="18"/>
      <c r="K389" s="18"/>
      <c r="L389" s="18"/>
      <c r="M389" s="18"/>
      <c r="N389" s="18"/>
      <c r="O389" s="18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>
      <c r="A390" s="1"/>
      <c r="B390" s="1"/>
      <c r="C390" s="18"/>
      <c r="D390" s="47"/>
      <c r="E390" s="18"/>
      <c r="F390" s="18"/>
      <c r="G390" s="18"/>
      <c r="H390" s="18"/>
      <c r="I390" s="25"/>
      <c r="J390" s="18"/>
      <c r="K390" s="18"/>
      <c r="L390" s="18"/>
      <c r="M390" s="18"/>
      <c r="N390" s="18"/>
      <c r="O390" s="18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>
      <c r="A391" s="1"/>
      <c r="B391" s="1"/>
      <c r="C391" s="18"/>
      <c r="D391" s="47"/>
      <c r="E391" s="18"/>
      <c r="F391" s="18"/>
      <c r="G391" s="18"/>
      <c r="H391" s="18"/>
      <c r="I391" s="25"/>
      <c r="J391" s="18"/>
      <c r="K391" s="18"/>
      <c r="L391" s="18"/>
      <c r="M391" s="18"/>
      <c r="N391" s="18"/>
      <c r="O391" s="18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>
      <c r="A392" s="1"/>
      <c r="B392" s="1"/>
      <c r="C392" s="18"/>
      <c r="D392" s="47"/>
      <c r="E392" s="18"/>
      <c r="F392" s="18"/>
      <c r="G392" s="18"/>
      <c r="H392" s="18"/>
      <c r="I392" s="25"/>
      <c r="J392" s="18"/>
      <c r="K392" s="18"/>
      <c r="L392" s="18"/>
      <c r="M392" s="18"/>
      <c r="N392" s="18"/>
      <c r="O392" s="18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>
      <c r="A393" s="1"/>
      <c r="B393" s="1"/>
      <c r="C393" s="18"/>
      <c r="D393" s="47"/>
      <c r="E393" s="18"/>
      <c r="F393" s="18"/>
      <c r="G393" s="18"/>
      <c r="H393" s="18"/>
      <c r="I393" s="25"/>
      <c r="J393" s="18"/>
      <c r="K393" s="18"/>
      <c r="L393" s="18"/>
      <c r="M393" s="18"/>
      <c r="N393" s="18"/>
      <c r="O393" s="18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>
      <c r="A394" s="1"/>
      <c r="B394" s="1"/>
      <c r="C394" s="18"/>
      <c r="D394" s="47"/>
      <c r="E394" s="18"/>
      <c r="F394" s="18"/>
      <c r="G394" s="18"/>
      <c r="H394" s="18"/>
      <c r="I394" s="25"/>
      <c r="J394" s="18"/>
      <c r="K394" s="18"/>
      <c r="L394" s="18"/>
      <c r="M394" s="18"/>
      <c r="N394" s="18"/>
      <c r="O394" s="18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>
      <c r="A395" s="1"/>
      <c r="B395" s="1"/>
      <c r="C395" s="18"/>
      <c r="D395" s="47"/>
      <c r="E395" s="18"/>
      <c r="F395" s="18"/>
      <c r="G395" s="18"/>
      <c r="H395" s="18"/>
      <c r="I395" s="25"/>
      <c r="J395" s="18"/>
      <c r="K395" s="18"/>
      <c r="L395" s="18"/>
      <c r="M395" s="18"/>
      <c r="N395" s="18"/>
      <c r="O395" s="18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>
      <c r="A396" s="1"/>
      <c r="B396" s="1"/>
      <c r="C396" s="18"/>
      <c r="D396" s="47"/>
      <c r="E396" s="18"/>
      <c r="F396" s="18"/>
      <c r="G396" s="18"/>
      <c r="H396" s="18"/>
      <c r="I396" s="25"/>
      <c r="J396" s="18"/>
      <c r="K396" s="18"/>
      <c r="L396" s="18"/>
      <c r="M396" s="18"/>
      <c r="N396" s="18"/>
      <c r="O396" s="18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>
      <c r="A397" s="1"/>
      <c r="B397" s="1"/>
      <c r="C397" s="18"/>
      <c r="D397" s="47"/>
      <c r="E397" s="18"/>
      <c r="F397" s="18"/>
      <c r="G397" s="18"/>
      <c r="H397" s="18"/>
      <c r="I397" s="25"/>
      <c r="J397" s="18"/>
      <c r="K397" s="18"/>
      <c r="L397" s="18"/>
      <c r="M397" s="18"/>
      <c r="N397" s="18"/>
      <c r="O397" s="18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>
      <c r="A398" s="1"/>
      <c r="B398" s="1"/>
      <c r="C398" s="18"/>
      <c r="D398" s="47"/>
      <c r="E398" s="18"/>
      <c r="F398" s="18"/>
      <c r="G398" s="18"/>
      <c r="H398" s="18"/>
      <c r="I398" s="25"/>
      <c r="J398" s="18"/>
      <c r="K398" s="18"/>
      <c r="L398" s="18"/>
      <c r="M398" s="18"/>
      <c r="N398" s="18"/>
      <c r="O398" s="18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>
      <c r="A399" s="1"/>
      <c r="B399" s="1"/>
      <c r="C399" s="18"/>
      <c r="D399" s="47"/>
      <c r="E399" s="18"/>
      <c r="F399" s="18"/>
      <c r="G399" s="18"/>
      <c r="H399" s="18"/>
      <c r="I399" s="25"/>
      <c r="J399" s="18"/>
      <c r="K399" s="18"/>
      <c r="L399" s="18"/>
      <c r="M399" s="18"/>
      <c r="N399" s="18"/>
      <c r="O399" s="18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>
      <c r="A400" s="1"/>
      <c r="B400" s="1"/>
      <c r="C400" s="18"/>
      <c r="D400" s="47"/>
      <c r="E400" s="18"/>
      <c r="F400" s="18"/>
      <c r="G400" s="18"/>
      <c r="H400" s="18"/>
      <c r="I400" s="25"/>
      <c r="J400" s="18"/>
      <c r="K400" s="18"/>
      <c r="L400" s="18"/>
      <c r="M400" s="18"/>
      <c r="N400" s="18"/>
      <c r="O400" s="18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>
      <c r="A401" s="1"/>
      <c r="B401" s="1"/>
      <c r="C401" s="18"/>
      <c r="D401" s="47"/>
      <c r="E401" s="18"/>
      <c r="F401" s="18"/>
      <c r="G401" s="18"/>
      <c r="H401" s="18"/>
      <c r="I401" s="25"/>
      <c r="J401" s="18"/>
      <c r="K401" s="18"/>
      <c r="L401" s="18"/>
      <c r="M401" s="18"/>
      <c r="N401" s="18"/>
      <c r="O401" s="18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>
      <c r="A402" s="1"/>
      <c r="B402" s="1"/>
      <c r="C402" s="18"/>
      <c r="D402" s="47"/>
      <c r="E402" s="18"/>
      <c r="F402" s="18"/>
      <c r="G402" s="18"/>
      <c r="H402" s="18"/>
      <c r="I402" s="25"/>
      <c r="J402" s="18"/>
      <c r="K402" s="18"/>
      <c r="L402" s="18"/>
      <c r="M402" s="18"/>
      <c r="N402" s="18"/>
      <c r="O402" s="18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>
      <c r="A403" s="1"/>
      <c r="B403" s="1"/>
      <c r="C403" s="18"/>
      <c r="D403" s="47"/>
      <c r="E403" s="18"/>
      <c r="F403" s="18"/>
      <c r="G403" s="18"/>
      <c r="H403" s="18"/>
      <c r="I403" s="25"/>
      <c r="J403" s="18"/>
      <c r="K403" s="18"/>
      <c r="L403" s="18"/>
      <c r="M403" s="18"/>
      <c r="N403" s="18"/>
      <c r="O403" s="18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>
      <c r="A404" s="1"/>
      <c r="B404" s="1"/>
      <c r="C404" s="18"/>
      <c r="D404" s="47"/>
      <c r="E404" s="18"/>
      <c r="F404" s="18"/>
      <c r="G404" s="18"/>
      <c r="H404" s="18"/>
      <c r="I404" s="25"/>
      <c r="J404" s="18"/>
      <c r="K404" s="18"/>
      <c r="L404" s="18"/>
      <c r="M404" s="18"/>
      <c r="N404" s="18"/>
      <c r="O404" s="18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>
      <c r="A405" s="1"/>
      <c r="B405" s="1"/>
      <c r="C405" s="18"/>
      <c r="D405" s="47"/>
      <c r="E405" s="18"/>
      <c r="F405" s="18"/>
      <c r="G405" s="18"/>
      <c r="H405" s="18"/>
      <c r="I405" s="25"/>
      <c r="J405" s="18"/>
      <c r="K405" s="18"/>
      <c r="L405" s="18"/>
      <c r="M405" s="18"/>
      <c r="N405" s="18"/>
      <c r="O405" s="18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>
      <c r="A406" s="1"/>
      <c r="B406" s="1"/>
      <c r="C406" s="18"/>
      <c r="D406" s="47"/>
      <c r="E406" s="18"/>
      <c r="F406" s="18"/>
      <c r="G406" s="18"/>
      <c r="H406" s="18"/>
      <c r="I406" s="25"/>
      <c r="J406" s="18"/>
      <c r="K406" s="18"/>
      <c r="L406" s="18"/>
      <c r="M406" s="18"/>
      <c r="N406" s="18"/>
      <c r="O406" s="18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>
      <c r="A407" s="1"/>
      <c r="B407" s="1"/>
      <c r="C407" s="18"/>
      <c r="D407" s="47"/>
      <c r="E407" s="18"/>
      <c r="F407" s="18"/>
      <c r="G407" s="18"/>
      <c r="H407" s="18"/>
      <c r="I407" s="25"/>
      <c r="J407" s="18"/>
      <c r="K407" s="18"/>
      <c r="L407" s="18"/>
      <c r="M407" s="18"/>
      <c r="N407" s="18"/>
      <c r="O407" s="18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>
      <c r="A408" s="1"/>
      <c r="B408" s="1"/>
      <c r="C408" s="18"/>
      <c r="D408" s="47"/>
      <c r="E408" s="18"/>
      <c r="F408" s="18"/>
      <c r="G408" s="18"/>
      <c r="H408" s="18"/>
      <c r="I408" s="25"/>
      <c r="J408" s="18"/>
      <c r="K408" s="18"/>
      <c r="L408" s="18"/>
      <c r="M408" s="18"/>
      <c r="N408" s="18"/>
      <c r="O408" s="18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>
      <c r="A409" s="1"/>
      <c r="B409" s="1"/>
      <c r="C409" s="18"/>
      <c r="D409" s="47"/>
      <c r="E409" s="18"/>
      <c r="F409" s="18"/>
      <c r="G409" s="18"/>
      <c r="H409" s="18"/>
      <c r="I409" s="25"/>
      <c r="J409" s="18"/>
      <c r="K409" s="18"/>
      <c r="L409" s="18"/>
      <c r="M409" s="18"/>
      <c r="N409" s="18"/>
      <c r="O409" s="18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>
      <c r="A410" s="1"/>
      <c r="B410" s="1"/>
      <c r="C410" s="18"/>
      <c r="D410" s="47"/>
      <c r="E410" s="18"/>
      <c r="F410" s="18"/>
      <c r="G410" s="18"/>
      <c r="H410" s="18"/>
      <c r="I410" s="25"/>
      <c r="J410" s="18"/>
      <c r="K410" s="18"/>
      <c r="L410" s="18"/>
      <c r="M410" s="18"/>
      <c r="N410" s="18"/>
      <c r="O410" s="18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>
      <c r="A411" s="1"/>
      <c r="B411" s="1"/>
      <c r="C411" s="18"/>
      <c r="D411" s="47"/>
      <c r="E411" s="18"/>
      <c r="F411" s="18"/>
      <c r="G411" s="18"/>
      <c r="H411" s="18"/>
      <c r="I411" s="25"/>
      <c r="J411" s="18"/>
      <c r="K411" s="18"/>
      <c r="L411" s="18"/>
      <c r="M411" s="18"/>
      <c r="N411" s="18"/>
      <c r="O411" s="18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>
      <c r="A412" s="1"/>
      <c r="B412" s="1"/>
      <c r="C412" s="18"/>
      <c r="D412" s="47"/>
      <c r="E412" s="18"/>
      <c r="F412" s="18"/>
      <c r="G412" s="18"/>
      <c r="H412" s="18"/>
      <c r="I412" s="25"/>
      <c r="J412" s="18"/>
      <c r="K412" s="18"/>
      <c r="L412" s="18"/>
      <c r="M412" s="18"/>
      <c r="N412" s="18"/>
      <c r="O412" s="18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>
      <c r="A413" s="1"/>
      <c r="B413" s="1"/>
      <c r="C413" s="18"/>
      <c r="D413" s="47"/>
      <c r="E413" s="18"/>
      <c r="F413" s="18"/>
      <c r="G413" s="18"/>
      <c r="H413" s="18"/>
      <c r="I413" s="25"/>
      <c r="J413" s="18"/>
      <c r="K413" s="18"/>
      <c r="L413" s="18"/>
      <c r="M413" s="18"/>
      <c r="N413" s="18"/>
      <c r="O413" s="18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>
      <c r="A414" s="1"/>
      <c r="B414" s="1"/>
      <c r="C414" s="18"/>
      <c r="D414" s="47"/>
      <c r="E414" s="18"/>
      <c r="F414" s="18"/>
      <c r="G414" s="18"/>
      <c r="H414" s="18"/>
      <c r="I414" s="25"/>
      <c r="J414" s="18"/>
      <c r="K414" s="18"/>
      <c r="L414" s="18"/>
      <c r="M414" s="18"/>
      <c r="N414" s="18"/>
      <c r="O414" s="18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>
      <c r="A415" s="1"/>
      <c r="B415" s="1"/>
      <c r="C415" s="18"/>
      <c r="D415" s="47"/>
      <c r="E415" s="18"/>
      <c r="F415" s="18"/>
      <c r="G415" s="18"/>
      <c r="H415" s="18"/>
      <c r="I415" s="25"/>
      <c r="J415" s="18"/>
      <c r="K415" s="18"/>
      <c r="L415" s="18"/>
      <c r="M415" s="18"/>
      <c r="N415" s="18"/>
      <c r="O415" s="18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>
      <c r="A416" s="1"/>
      <c r="B416" s="1"/>
      <c r="C416" s="18"/>
      <c r="D416" s="47"/>
      <c r="E416" s="18"/>
      <c r="F416" s="18"/>
      <c r="G416" s="18"/>
      <c r="H416" s="18"/>
      <c r="I416" s="25"/>
      <c r="J416" s="18"/>
      <c r="K416" s="18"/>
      <c r="L416" s="18"/>
      <c r="M416" s="18"/>
      <c r="N416" s="18"/>
      <c r="O416" s="18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>
      <c r="A417" s="1"/>
      <c r="B417" s="1"/>
      <c r="C417" s="18"/>
      <c r="D417" s="47"/>
      <c r="E417" s="18"/>
      <c r="F417" s="18"/>
      <c r="G417" s="18"/>
      <c r="H417" s="18"/>
      <c r="I417" s="25"/>
      <c r="J417" s="18"/>
      <c r="K417" s="18"/>
      <c r="L417" s="18"/>
      <c r="M417" s="18"/>
      <c r="N417" s="18"/>
      <c r="O417" s="18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>
      <c r="A418" s="1"/>
      <c r="B418" s="1"/>
      <c r="C418" s="18"/>
      <c r="D418" s="47"/>
      <c r="E418" s="18"/>
      <c r="F418" s="18"/>
      <c r="G418" s="18"/>
      <c r="H418" s="18"/>
      <c r="I418" s="25"/>
      <c r="J418" s="18"/>
      <c r="K418" s="18"/>
      <c r="L418" s="18"/>
      <c r="M418" s="18"/>
      <c r="N418" s="18"/>
      <c r="O418" s="18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>
      <c r="A419" s="1"/>
      <c r="B419" s="1"/>
      <c r="C419" s="18"/>
      <c r="D419" s="47"/>
      <c r="E419" s="18"/>
      <c r="F419" s="18"/>
      <c r="G419" s="18"/>
      <c r="H419" s="18"/>
      <c r="I419" s="25"/>
      <c r="J419" s="18"/>
      <c r="K419" s="18"/>
      <c r="L419" s="18"/>
      <c r="M419" s="18"/>
      <c r="N419" s="18"/>
      <c r="O419" s="18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>
      <c r="A420" s="1"/>
      <c r="B420" s="1"/>
      <c r="C420" s="18"/>
      <c r="D420" s="47"/>
      <c r="E420" s="18"/>
      <c r="F420" s="18"/>
      <c r="G420" s="18"/>
      <c r="H420" s="18"/>
      <c r="I420" s="25"/>
      <c r="J420" s="18"/>
      <c r="K420" s="18"/>
      <c r="L420" s="18"/>
      <c r="M420" s="18"/>
      <c r="N420" s="18"/>
      <c r="O420" s="18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>
      <c r="A421" s="1"/>
      <c r="B421" s="1"/>
      <c r="C421" s="18"/>
      <c r="D421" s="47"/>
      <c r="E421" s="18"/>
      <c r="F421" s="18"/>
      <c r="G421" s="18"/>
      <c r="H421" s="18"/>
      <c r="I421" s="25"/>
      <c r="J421" s="18"/>
      <c r="K421" s="18"/>
      <c r="L421" s="18"/>
      <c r="M421" s="18"/>
      <c r="N421" s="18"/>
      <c r="O421" s="18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>
      <c r="A422" s="1"/>
      <c r="B422" s="1"/>
      <c r="C422" s="18"/>
      <c r="D422" s="47"/>
      <c r="E422" s="18"/>
      <c r="F422" s="18"/>
      <c r="G422" s="18"/>
      <c r="H422" s="18"/>
      <c r="I422" s="25"/>
      <c r="J422" s="18"/>
      <c r="K422" s="18"/>
      <c r="L422" s="18"/>
      <c r="M422" s="18"/>
      <c r="N422" s="18"/>
      <c r="O422" s="18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>
      <c r="A423" s="1"/>
      <c r="B423" s="1"/>
      <c r="C423" s="18"/>
      <c r="D423" s="47"/>
      <c r="E423" s="18"/>
      <c r="F423" s="18"/>
      <c r="G423" s="18"/>
      <c r="H423" s="18"/>
      <c r="I423" s="25"/>
      <c r="J423" s="18"/>
      <c r="K423" s="18"/>
      <c r="L423" s="18"/>
      <c r="M423" s="18"/>
      <c r="N423" s="18"/>
      <c r="O423" s="18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>
      <c r="A424" s="1"/>
      <c r="B424" s="1"/>
      <c r="C424" s="18"/>
      <c r="D424" s="47"/>
      <c r="E424" s="18"/>
      <c r="F424" s="18"/>
      <c r="G424" s="18"/>
      <c r="H424" s="18"/>
      <c r="I424" s="25"/>
      <c r="J424" s="18"/>
      <c r="K424" s="18"/>
      <c r="L424" s="18"/>
      <c r="M424" s="18"/>
      <c r="N424" s="18"/>
      <c r="O424" s="18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>
      <c r="A425" s="1"/>
      <c r="B425" s="1"/>
      <c r="C425" s="18"/>
      <c r="D425" s="47"/>
      <c r="E425" s="18"/>
      <c r="F425" s="18"/>
      <c r="G425" s="18"/>
      <c r="H425" s="18"/>
      <c r="I425" s="25"/>
      <c r="J425" s="18"/>
      <c r="K425" s="18"/>
      <c r="L425" s="18"/>
      <c r="M425" s="18"/>
      <c r="N425" s="18"/>
      <c r="O425" s="18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>
      <c r="A426" s="1"/>
      <c r="B426" s="1"/>
      <c r="C426" s="18"/>
      <c r="D426" s="47"/>
      <c r="E426" s="18"/>
      <c r="F426" s="18"/>
      <c r="G426" s="18"/>
      <c r="H426" s="18"/>
      <c r="I426" s="25"/>
      <c r="J426" s="18"/>
      <c r="K426" s="18"/>
      <c r="L426" s="18"/>
      <c r="M426" s="18"/>
      <c r="N426" s="18"/>
      <c r="O426" s="18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>
      <c r="A427" s="1"/>
      <c r="B427" s="1"/>
      <c r="C427" s="18"/>
      <c r="D427" s="47"/>
      <c r="E427" s="18"/>
      <c r="F427" s="18"/>
      <c r="G427" s="18"/>
      <c r="H427" s="18"/>
      <c r="I427" s="25"/>
      <c r="J427" s="18"/>
      <c r="K427" s="18"/>
      <c r="L427" s="18"/>
      <c r="M427" s="18"/>
      <c r="N427" s="18"/>
      <c r="O427" s="18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>
      <c r="A428" s="1"/>
      <c r="B428" s="1"/>
      <c r="C428" s="18"/>
      <c r="D428" s="47"/>
      <c r="E428" s="18"/>
      <c r="F428" s="18"/>
      <c r="G428" s="18"/>
      <c r="H428" s="18"/>
      <c r="I428" s="25"/>
      <c r="J428" s="18"/>
      <c r="K428" s="18"/>
      <c r="L428" s="18"/>
      <c r="M428" s="18"/>
      <c r="N428" s="18"/>
      <c r="O428" s="18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>
      <c r="A429" s="1"/>
      <c r="B429" s="1"/>
      <c r="C429" s="18"/>
      <c r="D429" s="47"/>
      <c r="E429" s="18"/>
      <c r="F429" s="18"/>
      <c r="G429" s="18"/>
      <c r="H429" s="18"/>
      <c r="I429" s="25"/>
      <c r="J429" s="18"/>
      <c r="K429" s="18"/>
      <c r="L429" s="18"/>
      <c r="M429" s="18"/>
      <c r="N429" s="18"/>
      <c r="O429" s="18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>
      <c r="A430" s="1"/>
      <c r="B430" s="1"/>
      <c r="C430" s="18"/>
      <c r="D430" s="47"/>
      <c r="E430" s="18"/>
      <c r="F430" s="18"/>
      <c r="G430" s="18"/>
      <c r="H430" s="18"/>
      <c r="I430" s="25"/>
      <c r="J430" s="18"/>
      <c r="K430" s="18"/>
      <c r="L430" s="18"/>
      <c r="M430" s="18"/>
      <c r="N430" s="18"/>
      <c r="O430" s="18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>
      <c r="A431" s="1"/>
      <c r="B431" s="1"/>
      <c r="C431" s="18"/>
      <c r="D431" s="47"/>
      <c r="E431" s="18"/>
      <c r="F431" s="18"/>
      <c r="G431" s="18"/>
      <c r="H431" s="18"/>
      <c r="I431" s="25"/>
      <c r="J431" s="18"/>
      <c r="K431" s="18"/>
      <c r="L431" s="18"/>
      <c r="M431" s="18"/>
      <c r="N431" s="18"/>
      <c r="O431" s="18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>
      <c r="A432" s="1"/>
      <c r="B432" s="1"/>
      <c r="C432" s="18"/>
      <c r="D432" s="47"/>
      <c r="E432" s="18"/>
      <c r="F432" s="18"/>
      <c r="G432" s="18"/>
      <c r="H432" s="18"/>
      <c r="I432" s="25"/>
      <c r="J432" s="18"/>
      <c r="K432" s="18"/>
      <c r="L432" s="18"/>
      <c r="M432" s="18"/>
      <c r="N432" s="18"/>
      <c r="O432" s="18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>
      <c r="A433" s="1"/>
      <c r="B433" s="1"/>
      <c r="C433" s="18"/>
      <c r="D433" s="47"/>
      <c r="E433" s="18"/>
      <c r="F433" s="18"/>
      <c r="G433" s="18"/>
      <c r="H433" s="18"/>
      <c r="I433" s="25"/>
      <c r="J433" s="18"/>
      <c r="K433" s="18"/>
      <c r="L433" s="18"/>
      <c r="M433" s="18"/>
      <c r="N433" s="18"/>
      <c r="O433" s="18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>
      <c r="A434" s="1"/>
      <c r="B434" s="1"/>
      <c r="C434" s="18"/>
      <c r="D434" s="47"/>
      <c r="E434" s="18"/>
      <c r="F434" s="18"/>
      <c r="G434" s="18"/>
      <c r="H434" s="18"/>
      <c r="I434" s="25"/>
      <c r="J434" s="18"/>
      <c r="K434" s="18"/>
      <c r="L434" s="18"/>
      <c r="M434" s="18"/>
      <c r="N434" s="18"/>
      <c r="O434" s="18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>
      <c r="A435" s="1"/>
      <c r="B435" s="1"/>
      <c r="C435" s="18"/>
      <c r="D435" s="47"/>
      <c r="E435" s="18"/>
      <c r="F435" s="18"/>
      <c r="G435" s="18"/>
      <c r="H435" s="18"/>
      <c r="I435" s="25"/>
      <c r="J435" s="18"/>
      <c r="K435" s="18"/>
      <c r="L435" s="18"/>
      <c r="M435" s="18"/>
      <c r="N435" s="18"/>
      <c r="O435" s="18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>
      <c r="A436" s="1"/>
      <c r="B436" s="1"/>
      <c r="C436" s="18"/>
      <c r="D436" s="47"/>
      <c r="E436" s="18"/>
      <c r="F436" s="18"/>
      <c r="G436" s="18"/>
      <c r="H436" s="18"/>
      <c r="I436" s="25"/>
      <c r="J436" s="18"/>
      <c r="K436" s="18"/>
      <c r="L436" s="18"/>
      <c r="M436" s="18"/>
      <c r="N436" s="18"/>
      <c r="O436" s="18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>
      <c r="A437" s="1"/>
      <c r="B437" s="1"/>
      <c r="C437" s="18"/>
      <c r="D437" s="47"/>
      <c r="E437" s="18"/>
      <c r="F437" s="18"/>
      <c r="G437" s="18"/>
      <c r="H437" s="18"/>
      <c r="I437" s="25"/>
      <c r="J437" s="18"/>
      <c r="K437" s="18"/>
      <c r="L437" s="18"/>
      <c r="M437" s="18"/>
      <c r="N437" s="18"/>
      <c r="O437" s="18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>
      <c r="A438" s="1"/>
      <c r="B438" s="1"/>
      <c r="C438" s="18"/>
      <c r="D438" s="47"/>
      <c r="E438" s="18"/>
      <c r="F438" s="18"/>
      <c r="G438" s="18"/>
      <c r="H438" s="18"/>
      <c r="I438" s="25"/>
      <c r="J438" s="18"/>
      <c r="K438" s="18"/>
      <c r="L438" s="18"/>
      <c r="M438" s="18"/>
      <c r="N438" s="18"/>
      <c r="O438" s="18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>
      <c r="A439" s="1"/>
      <c r="B439" s="1"/>
      <c r="C439" s="18"/>
      <c r="D439" s="47"/>
      <c r="E439" s="18"/>
      <c r="F439" s="18"/>
      <c r="G439" s="18"/>
      <c r="H439" s="18"/>
      <c r="I439" s="25"/>
      <c r="J439" s="18"/>
      <c r="K439" s="18"/>
      <c r="L439" s="18"/>
      <c r="M439" s="18"/>
      <c r="N439" s="18"/>
      <c r="O439" s="18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>
      <c r="A440" s="1"/>
      <c r="B440" s="1"/>
      <c r="C440" s="18"/>
      <c r="D440" s="47"/>
      <c r="E440" s="18"/>
      <c r="F440" s="18"/>
      <c r="G440" s="18"/>
      <c r="H440" s="18"/>
      <c r="I440" s="25"/>
      <c r="J440" s="18"/>
      <c r="K440" s="18"/>
      <c r="L440" s="18"/>
      <c r="M440" s="18"/>
      <c r="N440" s="18"/>
      <c r="O440" s="18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>
      <c r="A441" s="1"/>
      <c r="B441" s="1"/>
      <c r="C441" s="18"/>
      <c r="D441" s="47"/>
      <c r="E441" s="18"/>
      <c r="F441" s="18"/>
      <c r="G441" s="18"/>
      <c r="H441" s="18"/>
      <c r="I441" s="25"/>
      <c r="J441" s="18"/>
      <c r="K441" s="18"/>
      <c r="L441" s="18"/>
      <c r="M441" s="18"/>
      <c r="N441" s="18"/>
      <c r="O441" s="18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>
      <c r="A442" s="1"/>
      <c r="B442" s="1"/>
      <c r="C442" s="18"/>
      <c r="D442" s="47"/>
      <c r="E442" s="18"/>
      <c r="F442" s="18"/>
      <c r="G442" s="18"/>
      <c r="H442" s="18"/>
      <c r="I442" s="25"/>
      <c r="J442" s="18"/>
      <c r="K442" s="18"/>
      <c r="L442" s="18"/>
      <c r="M442" s="18"/>
      <c r="N442" s="18"/>
      <c r="O442" s="18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>
      <c r="A443" s="1"/>
      <c r="B443" s="1"/>
      <c r="C443" s="18"/>
      <c r="D443" s="47"/>
      <c r="E443" s="18"/>
      <c r="F443" s="18"/>
      <c r="G443" s="18"/>
      <c r="H443" s="18"/>
      <c r="I443" s="25"/>
      <c r="J443" s="18"/>
      <c r="K443" s="18"/>
      <c r="L443" s="18"/>
      <c r="M443" s="18"/>
      <c r="N443" s="18"/>
      <c r="O443" s="18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>
      <c r="A444" s="1"/>
      <c r="B444" s="1"/>
      <c r="C444" s="18"/>
      <c r="D444" s="47"/>
      <c r="E444" s="18"/>
      <c r="F444" s="18"/>
      <c r="G444" s="18"/>
      <c r="H444" s="18"/>
      <c r="I444" s="25"/>
      <c r="J444" s="18"/>
      <c r="K444" s="18"/>
      <c r="L444" s="18"/>
      <c r="M444" s="18"/>
      <c r="N444" s="18"/>
      <c r="O444" s="18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>
      <c r="A445" s="1"/>
      <c r="B445" s="1"/>
      <c r="C445" s="18"/>
      <c r="D445" s="47"/>
      <c r="E445" s="18"/>
      <c r="F445" s="18"/>
      <c r="G445" s="18"/>
      <c r="H445" s="18"/>
      <c r="I445" s="25"/>
      <c r="J445" s="18"/>
      <c r="K445" s="18"/>
      <c r="L445" s="18"/>
      <c r="M445" s="18"/>
      <c r="N445" s="18"/>
      <c r="O445" s="18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>
      <c r="A446" s="1"/>
      <c r="B446" s="1"/>
      <c r="C446" s="18"/>
      <c r="D446" s="47"/>
      <c r="E446" s="18"/>
      <c r="F446" s="18"/>
      <c r="G446" s="18"/>
      <c r="H446" s="18"/>
      <c r="I446" s="25"/>
      <c r="J446" s="18"/>
      <c r="K446" s="18"/>
      <c r="L446" s="18"/>
      <c r="M446" s="18"/>
      <c r="N446" s="18"/>
      <c r="O446" s="18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>
      <c r="A447" s="1"/>
      <c r="B447" s="1"/>
      <c r="C447" s="18"/>
      <c r="D447" s="47"/>
      <c r="E447" s="18"/>
      <c r="F447" s="18"/>
      <c r="G447" s="18"/>
      <c r="H447" s="18"/>
      <c r="I447" s="25"/>
      <c r="J447" s="18"/>
      <c r="K447" s="18"/>
      <c r="L447" s="18"/>
      <c r="M447" s="18"/>
      <c r="N447" s="18"/>
      <c r="O447" s="18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>
      <c r="A448" s="1"/>
      <c r="B448" s="1"/>
      <c r="C448" s="18"/>
      <c r="D448" s="47"/>
      <c r="E448" s="18"/>
      <c r="F448" s="18"/>
      <c r="G448" s="18"/>
      <c r="H448" s="18"/>
      <c r="I448" s="25"/>
      <c r="J448" s="18"/>
      <c r="K448" s="18"/>
      <c r="L448" s="18"/>
      <c r="M448" s="18"/>
      <c r="N448" s="18"/>
      <c r="O448" s="18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>
      <c r="A449" s="1"/>
      <c r="B449" s="1"/>
      <c r="C449" s="18"/>
      <c r="D449" s="47"/>
      <c r="E449" s="18"/>
      <c r="F449" s="18"/>
      <c r="G449" s="18"/>
      <c r="H449" s="18"/>
      <c r="I449" s="25"/>
      <c r="J449" s="18"/>
      <c r="K449" s="18"/>
      <c r="L449" s="18"/>
      <c r="M449" s="18"/>
      <c r="N449" s="18"/>
      <c r="O449" s="18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>
      <c r="A450" s="1"/>
      <c r="B450" s="1"/>
      <c r="C450" s="18"/>
      <c r="D450" s="47"/>
      <c r="E450" s="18"/>
      <c r="F450" s="18"/>
      <c r="G450" s="18"/>
      <c r="H450" s="18"/>
      <c r="I450" s="25"/>
      <c r="J450" s="18"/>
      <c r="K450" s="18"/>
      <c r="L450" s="18"/>
      <c r="M450" s="18"/>
      <c r="N450" s="18"/>
      <c r="O450" s="18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>
      <c r="A451" s="1"/>
      <c r="B451" s="1"/>
      <c r="C451" s="18"/>
      <c r="D451" s="47"/>
      <c r="E451" s="18"/>
      <c r="F451" s="18"/>
      <c r="G451" s="18"/>
      <c r="H451" s="18"/>
      <c r="I451" s="25"/>
      <c r="J451" s="18"/>
      <c r="K451" s="18"/>
      <c r="L451" s="18"/>
      <c r="M451" s="18"/>
      <c r="N451" s="18"/>
      <c r="O451" s="18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>
      <c r="A452" s="1"/>
      <c r="B452" s="1"/>
      <c r="C452" s="18"/>
      <c r="D452" s="47"/>
      <c r="E452" s="18"/>
      <c r="F452" s="18"/>
      <c r="G452" s="18"/>
      <c r="H452" s="18"/>
      <c r="I452" s="25"/>
      <c r="J452" s="18"/>
      <c r="K452" s="18"/>
      <c r="L452" s="18"/>
      <c r="M452" s="18"/>
      <c r="N452" s="18"/>
      <c r="O452" s="18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>
      <c r="A453" s="1"/>
      <c r="B453" s="1"/>
      <c r="C453" s="18"/>
      <c r="D453" s="47"/>
      <c r="E453" s="18"/>
      <c r="F453" s="18"/>
      <c r="G453" s="18"/>
      <c r="H453" s="18"/>
      <c r="I453" s="25"/>
      <c r="J453" s="18"/>
      <c r="K453" s="18"/>
      <c r="L453" s="18"/>
      <c r="M453" s="18"/>
      <c r="N453" s="18"/>
      <c r="O453" s="18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>
      <c r="A454" s="1"/>
      <c r="B454" s="1"/>
      <c r="C454" s="18"/>
      <c r="D454" s="47"/>
      <c r="E454" s="18"/>
      <c r="F454" s="18"/>
      <c r="G454" s="18"/>
      <c r="H454" s="18"/>
      <c r="I454" s="25"/>
      <c r="J454" s="18"/>
      <c r="K454" s="18"/>
      <c r="L454" s="18"/>
      <c r="M454" s="18"/>
      <c r="N454" s="18"/>
      <c r="O454" s="18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>
      <c r="A455" s="1"/>
      <c r="B455" s="1"/>
      <c r="C455" s="18"/>
      <c r="D455" s="47"/>
      <c r="E455" s="18"/>
      <c r="F455" s="18"/>
      <c r="G455" s="18"/>
      <c r="H455" s="18"/>
      <c r="I455" s="25"/>
      <c r="J455" s="18"/>
      <c r="K455" s="18"/>
      <c r="L455" s="18"/>
      <c r="M455" s="18"/>
      <c r="N455" s="18"/>
      <c r="O455" s="18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>
      <c r="A456" s="1"/>
      <c r="B456" s="1"/>
      <c r="C456" s="18"/>
      <c r="D456" s="47"/>
      <c r="E456" s="18"/>
      <c r="F456" s="18"/>
      <c r="G456" s="18"/>
      <c r="H456" s="18"/>
      <c r="I456" s="25"/>
      <c r="J456" s="18"/>
      <c r="K456" s="18"/>
      <c r="L456" s="18"/>
      <c r="M456" s="18"/>
      <c r="N456" s="18"/>
      <c r="O456" s="18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>
      <c r="A457" s="1"/>
      <c r="B457" s="1"/>
      <c r="C457" s="18"/>
      <c r="D457" s="47"/>
      <c r="E457" s="18"/>
      <c r="F457" s="18"/>
      <c r="G457" s="18"/>
      <c r="H457" s="18"/>
      <c r="I457" s="25"/>
      <c r="J457" s="18"/>
      <c r="K457" s="18"/>
      <c r="L457" s="18"/>
      <c r="M457" s="18"/>
      <c r="N457" s="18"/>
      <c r="O457" s="18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>
      <c r="A458" s="1"/>
      <c r="B458" s="1"/>
      <c r="C458" s="18"/>
      <c r="D458" s="47"/>
      <c r="E458" s="18"/>
      <c r="F458" s="18"/>
      <c r="G458" s="18"/>
      <c r="H458" s="18"/>
      <c r="I458" s="25"/>
      <c r="J458" s="18"/>
      <c r="K458" s="18"/>
      <c r="L458" s="18"/>
      <c r="M458" s="18"/>
      <c r="N458" s="18"/>
      <c r="O458" s="18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>
      <c r="A459" s="1"/>
      <c r="B459" s="1"/>
      <c r="C459" s="18"/>
      <c r="D459" s="47"/>
      <c r="E459" s="18"/>
      <c r="F459" s="18"/>
      <c r="G459" s="18"/>
      <c r="H459" s="18"/>
      <c r="I459" s="25"/>
      <c r="J459" s="18"/>
      <c r="K459" s="18"/>
      <c r="L459" s="18"/>
      <c r="M459" s="18"/>
      <c r="N459" s="18"/>
      <c r="O459" s="18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>
      <c r="A460" s="1"/>
      <c r="B460" s="1"/>
      <c r="C460" s="18"/>
      <c r="D460" s="47"/>
      <c r="E460" s="18"/>
      <c r="F460" s="18"/>
      <c r="G460" s="18"/>
      <c r="H460" s="18"/>
      <c r="I460" s="25"/>
      <c r="J460" s="18"/>
      <c r="K460" s="18"/>
      <c r="L460" s="18"/>
      <c r="M460" s="18"/>
      <c r="N460" s="18"/>
      <c r="O460" s="18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>
      <c r="A461" s="1"/>
      <c r="B461" s="1"/>
      <c r="C461" s="18"/>
      <c r="D461" s="47"/>
      <c r="E461" s="18"/>
      <c r="F461" s="18"/>
      <c r="G461" s="18"/>
      <c r="H461" s="18"/>
      <c r="I461" s="25"/>
      <c r="J461" s="18"/>
      <c r="K461" s="18"/>
      <c r="L461" s="18"/>
      <c r="M461" s="18"/>
      <c r="N461" s="18"/>
      <c r="O461" s="18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>
      <c r="A462" s="1"/>
      <c r="B462" s="1"/>
      <c r="C462" s="18"/>
      <c r="D462" s="47"/>
      <c r="E462" s="18"/>
      <c r="F462" s="18"/>
      <c r="G462" s="18"/>
      <c r="H462" s="18"/>
      <c r="I462" s="25"/>
      <c r="J462" s="18"/>
      <c r="K462" s="18"/>
      <c r="L462" s="18"/>
      <c r="M462" s="18"/>
      <c r="N462" s="18"/>
      <c r="O462" s="18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>
      <c r="A463" s="1"/>
      <c r="B463" s="1"/>
      <c r="C463" s="18"/>
      <c r="D463" s="47"/>
      <c r="E463" s="18"/>
      <c r="F463" s="18"/>
      <c r="G463" s="18"/>
      <c r="H463" s="18"/>
      <c r="I463" s="25"/>
      <c r="J463" s="18"/>
      <c r="K463" s="18"/>
      <c r="L463" s="18"/>
      <c r="M463" s="18"/>
      <c r="N463" s="18"/>
      <c r="O463" s="18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>
      <c r="A464" s="1"/>
      <c r="B464" s="1"/>
      <c r="C464" s="18"/>
      <c r="D464" s="47"/>
      <c r="E464" s="18"/>
      <c r="F464" s="18"/>
      <c r="G464" s="18"/>
      <c r="H464" s="18"/>
      <c r="I464" s="25"/>
      <c r="J464" s="18"/>
      <c r="K464" s="18"/>
      <c r="L464" s="18"/>
      <c r="M464" s="18"/>
      <c r="N464" s="18"/>
      <c r="O464" s="18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>
      <c r="A465" s="1"/>
      <c r="B465" s="1"/>
      <c r="C465" s="18"/>
      <c r="D465" s="47"/>
      <c r="E465" s="18"/>
      <c r="F465" s="18"/>
      <c r="G465" s="18"/>
      <c r="H465" s="18"/>
      <c r="I465" s="25"/>
      <c r="J465" s="18"/>
      <c r="K465" s="18"/>
      <c r="L465" s="18"/>
      <c r="M465" s="18"/>
      <c r="N465" s="18"/>
      <c r="O465" s="18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>
      <c r="A466" s="1"/>
      <c r="B466" s="1"/>
      <c r="C466" s="18"/>
      <c r="D466" s="47"/>
      <c r="E466" s="18"/>
      <c r="F466" s="18"/>
      <c r="G466" s="18"/>
      <c r="H466" s="18"/>
      <c r="I466" s="25"/>
      <c r="J466" s="18"/>
      <c r="K466" s="18"/>
      <c r="L466" s="18"/>
      <c r="M466" s="18"/>
      <c r="N466" s="18"/>
      <c r="O466" s="18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>
      <c r="A467" s="1"/>
      <c r="B467" s="1"/>
      <c r="C467" s="18"/>
      <c r="D467" s="47"/>
      <c r="E467" s="18"/>
      <c r="F467" s="18"/>
      <c r="G467" s="18"/>
      <c r="H467" s="18"/>
      <c r="I467" s="25"/>
      <c r="J467" s="18"/>
      <c r="K467" s="18"/>
      <c r="L467" s="18"/>
      <c r="M467" s="18"/>
      <c r="N467" s="18"/>
      <c r="O467" s="18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>
      <c r="A468" s="1"/>
      <c r="B468" s="1"/>
      <c r="C468" s="18"/>
      <c r="D468" s="47"/>
      <c r="E468" s="18"/>
      <c r="F468" s="18"/>
      <c r="G468" s="18"/>
      <c r="H468" s="18"/>
      <c r="I468" s="25"/>
      <c r="J468" s="18"/>
      <c r="K468" s="18"/>
      <c r="L468" s="18"/>
      <c r="M468" s="18"/>
      <c r="N468" s="18"/>
      <c r="O468" s="18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>
      <c r="A469" s="1"/>
      <c r="B469" s="1"/>
      <c r="C469" s="18"/>
      <c r="D469" s="47"/>
      <c r="E469" s="18"/>
      <c r="F469" s="18"/>
      <c r="G469" s="18"/>
      <c r="H469" s="18"/>
      <c r="I469" s="25"/>
      <c r="J469" s="18"/>
      <c r="K469" s="18"/>
      <c r="L469" s="18"/>
      <c r="M469" s="18"/>
      <c r="N469" s="18"/>
      <c r="O469" s="18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>
      <c r="A470" s="1"/>
      <c r="B470" s="1"/>
      <c r="C470" s="18"/>
      <c r="D470" s="47"/>
      <c r="E470" s="18"/>
      <c r="F470" s="18"/>
      <c r="G470" s="18"/>
      <c r="H470" s="18"/>
      <c r="I470" s="25"/>
      <c r="J470" s="18"/>
      <c r="K470" s="18"/>
      <c r="L470" s="18"/>
      <c r="M470" s="18"/>
      <c r="N470" s="18"/>
      <c r="O470" s="18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>
      <c r="A471" s="1"/>
      <c r="B471" s="1"/>
      <c r="C471" s="18"/>
      <c r="D471" s="47"/>
      <c r="E471" s="18"/>
      <c r="F471" s="18"/>
      <c r="G471" s="18"/>
      <c r="H471" s="18"/>
      <c r="I471" s="25"/>
      <c r="J471" s="18"/>
      <c r="K471" s="18"/>
      <c r="L471" s="18"/>
      <c r="M471" s="18"/>
      <c r="N471" s="18"/>
      <c r="O471" s="18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>
      <c r="A472" s="1"/>
      <c r="B472" s="1"/>
      <c r="C472" s="18"/>
      <c r="D472" s="47"/>
      <c r="E472" s="18"/>
      <c r="F472" s="18"/>
      <c r="G472" s="18"/>
      <c r="H472" s="18"/>
      <c r="I472" s="25"/>
      <c r="J472" s="18"/>
      <c r="K472" s="18"/>
      <c r="L472" s="18"/>
      <c r="M472" s="18"/>
      <c r="N472" s="18"/>
      <c r="O472" s="18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>
      <c r="A473" s="1"/>
      <c r="B473" s="1"/>
      <c r="C473" s="18"/>
      <c r="D473" s="47"/>
      <c r="E473" s="18"/>
      <c r="F473" s="18"/>
      <c r="G473" s="18"/>
      <c r="H473" s="18"/>
      <c r="I473" s="25"/>
      <c r="J473" s="18"/>
      <c r="K473" s="18"/>
      <c r="L473" s="18"/>
      <c r="M473" s="18"/>
      <c r="N473" s="18"/>
      <c r="O473" s="18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>
      <c r="A474" s="1"/>
      <c r="B474" s="1"/>
      <c r="C474" s="18"/>
      <c r="D474" s="47"/>
      <c r="E474" s="18"/>
      <c r="F474" s="18"/>
      <c r="G474" s="18"/>
      <c r="H474" s="18"/>
      <c r="I474" s="25"/>
      <c r="J474" s="18"/>
      <c r="K474" s="18"/>
      <c r="L474" s="18"/>
      <c r="M474" s="18"/>
      <c r="N474" s="18"/>
      <c r="O474" s="18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>
      <c r="A475" s="1"/>
      <c r="B475" s="1"/>
      <c r="C475" s="18"/>
      <c r="D475" s="47"/>
      <c r="E475" s="18"/>
      <c r="F475" s="18"/>
      <c r="G475" s="18"/>
      <c r="H475" s="18"/>
      <c r="I475" s="25"/>
      <c r="J475" s="18"/>
      <c r="K475" s="18"/>
      <c r="L475" s="18"/>
      <c r="M475" s="18"/>
      <c r="N475" s="18"/>
      <c r="O475" s="18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>
      <c r="A476" s="1"/>
      <c r="B476" s="1"/>
      <c r="C476" s="18"/>
      <c r="D476" s="47"/>
      <c r="E476" s="18"/>
      <c r="F476" s="18"/>
      <c r="G476" s="18"/>
      <c r="H476" s="18"/>
      <c r="I476" s="25"/>
      <c r="J476" s="18"/>
      <c r="K476" s="18"/>
      <c r="L476" s="18"/>
      <c r="M476" s="18"/>
      <c r="N476" s="18"/>
      <c r="O476" s="18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>
      <c r="A477" s="1"/>
      <c r="B477" s="1"/>
      <c r="C477" s="18"/>
      <c r="D477" s="47"/>
      <c r="E477" s="18"/>
      <c r="F477" s="18"/>
      <c r="G477" s="18"/>
      <c r="H477" s="18"/>
      <c r="I477" s="25"/>
      <c r="J477" s="18"/>
      <c r="K477" s="18"/>
      <c r="L477" s="18"/>
      <c r="M477" s="18"/>
      <c r="N477" s="18"/>
      <c r="O477" s="18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>
      <c r="A478" s="1"/>
      <c r="B478" s="1"/>
      <c r="C478" s="18"/>
      <c r="D478" s="47"/>
      <c r="E478" s="18"/>
      <c r="F478" s="18"/>
      <c r="G478" s="18"/>
      <c r="H478" s="18"/>
      <c r="I478" s="25"/>
      <c r="J478" s="18"/>
      <c r="K478" s="18"/>
      <c r="L478" s="18"/>
      <c r="M478" s="18"/>
      <c r="N478" s="18"/>
      <c r="O478" s="18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>
      <c r="A479" s="1"/>
      <c r="B479" s="1"/>
      <c r="C479" s="18"/>
      <c r="D479" s="47"/>
      <c r="E479" s="18"/>
      <c r="F479" s="18"/>
      <c r="G479" s="18"/>
      <c r="H479" s="18"/>
      <c r="I479" s="25"/>
      <c r="J479" s="18"/>
      <c r="K479" s="18"/>
      <c r="L479" s="18"/>
      <c r="M479" s="18"/>
      <c r="N479" s="18"/>
      <c r="O479" s="18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>
      <c r="A480" s="1"/>
      <c r="B480" s="1"/>
      <c r="C480" s="18"/>
      <c r="D480" s="47"/>
      <c r="E480" s="18"/>
      <c r="F480" s="18"/>
      <c r="G480" s="18"/>
      <c r="H480" s="18"/>
      <c r="I480" s="25"/>
      <c r="J480" s="18"/>
      <c r="K480" s="18"/>
      <c r="L480" s="18"/>
      <c r="M480" s="18"/>
      <c r="N480" s="18"/>
      <c r="O480" s="18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>
      <c r="A481" s="1"/>
      <c r="B481" s="1"/>
      <c r="C481" s="18"/>
      <c r="D481" s="47"/>
      <c r="E481" s="18"/>
      <c r="F481" s="18"/>
      <c r="G481" s="18"/>
      <c r="H481" s="18"/>
      <c r="I481" s="25"/>
      <c r="J481" s="18"/>
      <c r="K481" s="18"/>
      <c r="L481" s="18"/>
      <c r="M481" s="18"/>
      <c r="N481" s="18"/>
      <c r="O481" s="18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>
      <c r="A482" s="1"/>
      <c r="B482" s="1"/>
      <c r="C482" s="18"/>
      <c r="D482" s="47"/>
      <c r="E482" s="18"/>
      <c r="F482" s="18"/>
      <c r="G482" s="18"/>
      <c r="H482" s="18"/>
      <c r="I482" s="25"/>
      <c r="J482" s="18"/>
      <c r="K482" s="18"/>
      <c r="L482" s="18"/>
      <c r="M482" s="18"/>
      <c r="N482" s="18"/>
      <c r="O482" s="18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>
      <c r="A483" s="1"/>
      <c r="B483" s="1"/>
      <c r="C483" s="18"/>
      <c r="D483" s="47"/>
      <c r="E483" s="18"/>
      <c r="F483" s="18"/>
      <c r="G483" s="18"/>
      <c r="H483" s="18"/>
      <c r="I483" s="25"/>
      <c r="J483" s="18"/>
      <c r="K483" s="18"/>
      <c r="L483" s="18"/>
      <c r="M483" s="18"/>
      <c r="N483" s="18"/>
      <c r="O483" s="18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>
      <c r="A484" s="1"/>
      <c r="B484" s="1"/>
      <c r="C484" s="18"/>
      <c r="D484" s="47"/>
      <c r="E484" s="18"/>
      <c r="F484" s="18"/>
      <c r="G484" s="18"/>
      <c r="H484" s="18"/>
      <c r="I484" s="25"/>
      <c r="J484" s="18"/>
      <c r="K484" s="18"/>
      <c r="L484" s="18"/>
      <c r="M484" s="18"/>
      <c r="N484" s="18"/>
      <c r="O484" s="18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>
      <c r="A485" s="1"/>
      <c r="B485" s="1"/>
      <c r="C485" s="18"/>
      <c r="D485" s="47"/>
      <c r="E485" s="18"/>
      <c r="F485" s="18"/>
      <c r="G485" s="18"/>
      <c r="H485" s="18"/>
      <c r="I485" s="25"/>
      <c r="J485" s="18"/>
      <c r="K485" s="18"/>
      <c r="L485" s="18"/>
      <c r="M485" s="18"/>
      <c r="N485" s="18"/>
      <c r="O485" s="18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>
      <c r="A486" s="1"/>
      <c r="B486" s="1"/>
      <c r="C486" s="18"/>
      <c r="D486" s="47"/>
      <c r="E486" s="18"/>
      <c r="F486" s="18"/>
      <c r="G486" s="18"/>
      <c r="H486" s="18"/>
      <c r="I486" s="25"/>
      <c r="J486" s="18"/>
      <c r="K486" s="18"/>
      <c r="L486" s="18"/>
      <c r="M486" s="18"/>
      <c r="N486" s="18"/>
      <c r="O486" s="18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>
      <c r="A487" s="1"/>
      <c r="B487" s="1"/>
      <c r="C487" s="18"/>
      <c r="D487" s="47"/>
      <c r="E487" s="18"/>
      <c r="F487" s="18"/>
      <c r="G487" s="18"/>
      <c r="H487" s="18"/>
      <c r="I487" s="25"/>
      <c r="J487" s="18"/>
      <c r="K487" s="18"/>
      <c r="L487" s="18"/>
      <c r="M487" s="18"/>
      <c r="N487" s="18"/>
      <c r="O487" s="18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>
      <c r="A488" s="1"/>
      <c r="B488" s="1"/>
      <c r="C488" s="18"/>
      <c r="D488" s="47"/>
      <c r="E488" s="18"/>
      <c r="F488" s="18"/>
      <c r="G488" s="18"/>
      <c r="H488" s="18"/>
      <c r="I488" s="25"/>
      <c r="J488" s="18"/>
      <c r="K488" s="18"/>
      <c r="L488" s="18"/>
      <c r="M488" s="18"/>
      <c r="N488" s="18"/>
      <c r="O488" s="18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>
      <c r="A489" s="1"/>
      <c r="B489" s="1"/>
      <c r="C489" s="18"/>
      <c r="D489" s="47"/>
      <c r="E489" s="18"/>
      <c r="F489" s="18"/>
      <c r="G489" s="18"/>
      <c r="H489" s="18"/>
      <c r="I489" s="25"/>
      <c r="J489" s="18"/>
      <c r="K489" s="18"/>
      <c r="L489" s="18"/>
      <c r="M489" s="18"/>
      <c r="N489" s="18"/>
      <c r="O489" s="18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>
      <c r="A490" s="1"/>
      <c r="B490" s="1"/>
      <c r="C490" s="18"/>
      <c r="D490" s="47"/>
      <c r="E490" s="18"/>
      <c r="F490" s="18"/>
      <c r="G490" s="18"/>
      <c r="H490" s="18"/>
      <c r="I490" s="25"/>
      <c r="J490" s="18"/>
      <c r="K490" s="18"/>
      <c r="L490" s="18"/>
      <c r="M490" s="18"/>
      <c r="N490" s="18"/>
      <c r="O490" s="18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>
      <c r="A491" s="1"/>
      <c r="B491" s="1"/>
      <c r="C491" s="18"/>
      <c r="D491" s="47"/>
      <c r="E491" s="18"/>
      <c r="F491" s="18"/>
      <c r="G491" s="18"/>
      <c r="H491" s="18"/>
      <c r="I491" s="25"/>
      <c r="J491" s="18"/>
      <c r="K491" s="18"/>
      <c r="L491" s="18"/>
      <c r="M491" s="18"/>
      <c r="N491" s="18"/>
      <c r="O491" s="18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>
      <c r="A492" s="1"/>
      <c r="B492" s="1"/>
      <c r="C492" s="18"/>
      <c r="D492" s="47"/>
      <c r="E492" s="18"/>
      <c r="F492" s="18"/>
      <c r="G492" s="18"/>
      <c r="H492" s="18"/>
      <c r="I492" s="25"/>
      <c r="J492" s="18"/>
      <c r="K492" s="18"/>
      <c r="L492" s="18"/>
      <c r="M492" s="18"/>
      <c r="N492" s="18"/>
      <c r="O492" s="18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>
      <c r="A493" s="1"/>
      <c r="B493" s="1"/>
      <c r="C493" s="18"/>
      <c r="D493" s="47"/>
      <c r="E493" s="18"/>
      <c r="F493" s="18"/>
      <c r="G493" s="18"/>
      <c r="H493" s="18"/>
      <c r="I493" s="25"/>
      <c r="J493" s="18"/>
      <c r="K493" s="18"/>
      <c r="L493" s="18"/>
      <c r="M493" s="18"/>
      <c r="N493" s="18"/>
      <c r="O493" s="18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>
      <c r="A494" s="1"/>
      <c r="B494" s="1"/>
      <c r="C494" s="18"/>
      <c r="D494" s="47"/>
      <c r="E494" s="18"/>
      <c r="F494" s="18"/>
      <c r="G494" s="18"/>
      <c r="H494" s="18"/>
      <c r="I494" s="25"/>
      <c r="J494" s="18"/>
      <c r="K494" s="18"/>
      <c r="L494" s="18"/>
      <c r="M494" s="18"/>
      <c r="N494" s="18"/>
      <c r="O494" s="18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>
      <c r="A495" s="1"/>
      <c r="B495" s="1"/>
      <c r="C495" s="18"/>
      <c r="D495" s="47"/>
      <c r="E495" s="18"/>
      <c r="F495" s="18"/>
      <c r="G495" s="18"/>
      <c r="H495" s="18"/>
      <c r="I495" s="25"/>
      <c r="J495" s="18"/>
      <c r="K495" s="18"/>
      <c r="L495" s="18"/>
      <c r="M495" s="18"/>
      <c r="N495" s="18"/>
      <c r="O495" s="18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>
      <c r="A496" s="1"/>
      <c r="B496" s="1"/>
      <c r="C496" s="18"/>
      <c r="D496" s="47"/>
      <c r="E496" s="18"/>
      <c r="F496" s="18"/>
      <c r="G496" s="18"/>
      <c r="H496" s="18"/>
      <c r="I496" s="25"/>
      <c r="J496" s="18"/>
      <c r="K496" s="18"/>
      <c r="L496" s="18"/>
      <c r="M496" s="18"/>
      <c r="N496" s="18"/>
      <c r="O496" s="18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>
      <c r="A497" s="1"/>
      <c r="B497" s="1"/>
      <c r="C497" s="18"/>
      <c r="D497" s="47"/>
      <c r="E497" s="18"/>
      <c r="F497" s="18"/>
      <c r="G497" s="18"/>
      <c r="H497" s="18"/>
      <c r="I497" s="25"/>
      <c r="J497" s="18"/>
      <c r="K497" s="18"/>
      <c r="L497" s="18"/>
      <c r="M497" s="18"/>
      <c r="N497" s="18"/>
      <c r="O497" s="18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>
      <c r="A498" s="1"/>
      <c r="B498" s="1"/>
      <c r="C498" s="18"/>
      <c r="D498" s="47"/>
      <c r="E498" s="18"/>
      <c r="F498" s="18"/>
      <c r="G498" s="18"/>
      <c r="H498" s="18"/>
      <c r="I498" s="25"/>
      <c r="J498" s="18"/>
      <c r="K498" s="18"/>
      <c r="L498" s="18"/>
      <c r="M498" s="18"/>
      <c r="N498" s="18"/>
      <c r="O498" s="18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>
      <c r="A499" s="1"/>
      <c r="B499" s="1"/>
      <c r="C499" s="18"/>
      <c r="D499" s="47"/>
      <c r="E499" s="18"/>
      <c r="F499" s="18"/>
      <c r="G499" s="18"/>
      <c r="H499" s="18"/>
      <c r="I499" s="25"/>
      <c r="J499" s="18"/>
      <c r="K499" s="18"/>
      <c r="L499" s="18"/>
      <c r="M499" s="18"/>
      <c r="N499" s="18"/>
      <c r="O499" s="18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>
      <c r="A500" s="1"/>
      <c r="B500" s="1"/>
      <c r="C500" s="18"/>
      <c r="D500" s="47"/>
      <c r="E500" s="18"/>
      <c r="F500" s="18"/>
      <c r="G500" s="18"/>
      <c r="H500" s="18"/>
      <c r="I500" s="25"/>
      <c r="J500" s="18"/>
      <c r="K500" s="18"/>
      <c r="L500" s="18"/>
      <c r="M500" s="18"/>
      <c r="N500" s="18"/>
      <c r="O500" s="18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>
      <c r="A501" s="1"/>
      <c r="B501" s="1"/>
      <c r="C501" s="18"/>
      <c r="D501" s="47"/>
      <c r="E501" s="18"/>
      <c r="F501" s="18"/>
      <c r="G501" s="18"/>
      <c r="H501" s="18"/>
      <c r="I501" s="25"/>
      <c r="J501" s="18"/>
      <c r="K501" s="18"/>
      <c r="L501" s="18"/>
      <c r="M501" s="18"/>
      <c r="N501" s="18"/>
      <c r="O501" s="18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>
      <c r="A502" s="1"/>
      <c r="B502" s="1"/>
      <c r="C502" s="18"/>
      <c r="D502" s="47"/>
      <c r="E502" s="18"/>
      <c r="F502" s="18"/>
      <c r="G502" s="18"/>
      <c r="H502" s="18"/>
      <c r="I502" s="25"/>
      <c r="J502" s="18"/>
      <c r="K502" s="18"/>
      <c r="L502" s="18"/>
      <c r="M502" s="18"/>
      <c r="N502" s="18"/>
      <c r="O502" s="18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>
      <c r="A503" s="1"/>
      <c r="B503" s="1"/>
      <c r="C503" s="18"/>
      <c r="D503" s="47"/>
      <c r="E503" s="18"/>
      <c r="F503" s="18"/>
      <c r="G503" s="18"/>
      <c r="H503" s="18"/>
      <c r="I503" s="25"/>
      <c r="J503" s="18"/>
      <c r="K503" s="18"/>
      <c r="L503" s="18"/>
      <c r="M503" s="18"/>
      <c r="N503" s="18"/>
      <c r="O503" s="18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>
      <c r="A504" s="1"/>
      <c r="B504" s="1"/>
      <c r="C504" s="18"/>
      <c r="D504" s="47"/>
      <c r="E504" s="18"/>
      <c r="F504" s="18"/>
      <c r="G504" s="18"/>
      <c r="H504" s="18"/>
      <c r="I504" s="25"/>
      <c r="J504" s="18"/>
      <c r="K504" s="18"/>
      <c r="L504" s="18"/>
      <c r="M504" s="18"/>
      <c r="N504" s="18"/>
      <c r="O504" s="18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>
      <c r="A505" s="1"/>
      <c r="B505" s="1"/>
      <c r="C505" s="18"/>
      <c r="D505" s="47"/>
      <c r="E505" s="18"/>
      <c r="F505" s="18"/>
      <c r="G505" s="18"/>
      <c r="H505" s="18"/>
      <c r="I505" s="25"/>
      <c r="J505" s="18"/>
      <c r="K505" s="18"/>
      <c r="L505" s="18"/>
      <c r="M505" s="18"/>
      <c r="N505" s="18"/>
      <c r="O505" s="18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>
      <c r="A506" s="1"/>
      <c r="B506" s="1"/>
      <c r="C506" s="18"/>
      <c r="D506" s="47"/>
      <c r="E506" s="18"/>
      <c r="F506" s="18"/>
      <c r="G506" s="18"/>
      <c r="H506" s="18"/>
      <c r="I506" s="25"/>
      <c r="J506" s="18"/>
      <c r="K506" s="18"/>
      <c r="L506" s="18"/>
      <c r="M506" s="18"/>
      <c r="N506" s="18"/>
      <c r="O506" s="18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>
      <c r="A507" s="1"/>
      <c r="B507" s="1"/>
      <c r="C507" s="18"/>
      <c r="D507" s="47"/>
      <c r="E507" s="18"/>
      <c r="F507" s="18"/>
      <c r="G507" s="18"/>
      <c r="H507" s="18"/>
      <c r="I507" s="25"/>
      <c r="J507" s="18"/>
      <c r="K507" s="18"/>
      <c r="L507" s="18"/>
      <c r="M507" s="18"/>
      <c r="N507" s="18"/>
      <c r="O507" s="18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>
      <c r="A508" s="1"/>
      <c r="B508" s="1"/>
      <c r="C508" s="18"/>
      <c r="D508" s="47"/>
      <c r="E508" s="18"/>
      <c r="F508" s="18"/>
      <c r="G508" s="18"/>
      <c r="H508" s="18"/>
      <c r="I508" s="25"/>
      <c r="J508" s="18"/>
      <c r="K508" s="18"/>
      <c r="L508" s="18"/>
      <c r="M508" s="18"/>
      <c r="N508" s="18"/>
      <c r="O508" s="18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>
      <c r="A509" s="1"/>
      <c r="B509" s="1"/>
      <c r="C509" s="18"/>
      <c r="D509" s="47"/>
      <c r="E509" s="18"/>
      <c r="F509" s="18"/>
      <c r="G509" s="18"/>
      <c r="H509" s="18"/>
      <c r="I509" s="25"/>
      <c r="J509" s="18"/>
      <c r="K509" s="18"/>
      <c r="L509" s="18"/>
      <c r="M509" s="18"/>
      <c r="N509" s="18"/>
      <c r="O509" s="18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>
      <c r="A510" s="1"/>
      <c r="B510" s="1"/>
      <c r="C510" s="18"/>
      <c r="D510" s="47"/>
      <c r="E510" s="18"/>
      <c r="F510" s="18"/>
      <c r="G510" s="18"/>
      <c r="H510" s="18"/>
      <c r="I510" s="25"/>
      <c r="J510" s="18"/>
      <c r="K510" s="18"/>
      <c r="L510" s="18"/>
      <c r="M510" s="18"/>
      <c r="N510" s="18"/>
      <c r="O510" s="18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>
      <c r="A511" s="1"/>
      <c r="B511" s="1"/>
      <c r="C511" s="18"/>
      <c r="D511" s="47"/>
      <c r="E511" s="18"/>
      <c r="F511" s="18"/>
      <c r="G511" s="18"/>
      <c r="H511" s="18"/>
      <c r="I511" s="25"/>
      <c r="J511" s="18"/>
      <c r="K511" s="18"/>
      <c r="L511" s="18"/>
      <c r="M511" s="18"/>
      <c r="N511" s="18"/>
      <c r="O511" s="18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>
      <c r="A512" s="1"/>
      <c r="B512" s="1"/>
      <c r="C512" s="18"/>
      <c r="D512" s="47"/>
      <c r="E512" s="18"/>
      <c r="F512" s="18"/>
      <c r="G512" s="18"/>
      <c r="H512" s="18"/>
      <c r="I512" s="25"/>
      <c r="J512" s="18"/>
      <c r="K512" s="18"/>
      <c r="L512" s="18"/>
      <c r="M512" s="18"/>
      <c r="N512" s="18"/>
      <c r="O512" s="18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>
      <c r="A513" s="1"/>
      <c r="B513" s="1"/>
      <c r="C513" s="18"/>
      <c r="D513" s="47"/>
      <c r="E513" s="18"/>
      <c r="F513" s="18"/>
      <c r="G513" s="18"/>
      <c r="H513" s="18"/>
      <c r="I513" s="25"/>
      <c r="J513" s="18"/>
      <c r="K513" s="18"/>
      <c r="L513" s="18"/>
      <c r="M513" s="18"/>
      <c r="N513" s="18"/>
      <c r="O513" s="18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>
      <c r="A514" s="1"/>
      <c r="B514" s="1"/>
      <c r="C514" s="18"/>
      <c r="D514" s="47"/>
      <c r="E514" s="18"/>
      <c r="F514" s="18"/>
      <c r="G514" s="18"/>
      <c r="H514" s="18"/>
      <c r="I514" s="25"/>
      <c r="J514" s="18"/>
      <c r="K514" s="18"/>
      <c r="L514" s="18"/>
      <c r="M514" s="18"/>
      <c r="N514" s="18"/>
      <c r="O514" s="18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>
      <c r="A515" s="1"/>
      <c r="B515" s="1"/>
      <c r="C515" s="18"/>
      <c r="D515" s="47"/>
      <c r="E515" s="18"/>
      <c r="F515" s="18"/>
      <c r="G515" s="18"/>
      <c r="H515" s="18"/>
      <c r="I515" s="25"/>
      <c r="J515" s="18"/>
      <c r="K515" s="18"/>
      <c r="L515" s="18"/>
      <c r="M515" s="18"/>
      <c r="N515" s="18"/>
      <c r="O515" s="18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>
      <c r="A516" s="1"/>
      <c r="B516" s="1"/>
      <c r="C516" s="18"/>
      <c r="D516" s="47"/>
      <c r="E516" s="18"/>
      <c r="F516" s="18"/>
      <c r="G516" s="18"/>
      <c r="H516" s="18"/>
      <c r="I516" s="25"/>
      <c r="J516" s="18"/>
      <c r="K516" s="18"/>
      <c r="L516" s="18"/>
      <c r="M516" s="18"/>
      <c r="N516" s="18"/>
      <c r="O516" s="18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>
      <c r="A517" s="1"/>
      <c r="B517" s="1"/>
      <c r="C517" s="18"/>
      <c r="D517" s="47"/>
      <c r="E517" s="18"/>
      <c r="F517" s="18"/>
      <c r="G517" s="18"/>
      <c r="H517" s="18"/>
      <c r="I517" s="25"/>
      <c r="J517" s="18"/>
      <c r="K517" s="18"/>
      <c r="L517" s="18"/>
      <c r="M517" s="18"/>
      <c r="N517" s="18"/>
      <c r="O517" s="18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>
      <c r="A518" s="1"/>
      <c r="B518" s="1"/>
      <c r="C518" s="18"/>
      <c r="D518" s="47"/>
      <c r="E518" s="18"/>
      <c r="F518" s="18"/>
      <c r="G518" s="18"/>
      <c r="H518" s="18"/>
      <c r="I518" s="25"/>
      <c r="J518" s="18"/>
      <c r="K518" s="18"/>
      <c r="L518" s="18"/>
      <c r="M518" s="18"/>
      <c r="N518" s="18"/>
      <c r="O518" s="18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>
      <c r="A519" s="1"/>
      <c r="B519" s="1"/>
      <c r="C519" s="18"/>
      <c r="D519" s="47"/>
      <c r="E519" s="18"/>
      <c r="F519" s="18"/>
      <c r="G519" s="18"/>
      <c r="H519" s="18"/>
      <c r="I519" s="25"/>
      <c r="J519" s="18"/>
      <c r="K519" s="18"/>
      <c r="L519" s="18"/>
      <c r="M519" s="18"/>
      <c r="N519" s="18"/>
      <c r="O519" s="18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>
      <c r="A520" s="1"/>
      <c r="B520" s="1"/>
      <c r="C520" s="18"/>
      <c r="D520" s="47"/>
      <c r="E520" s="18"/>
      <c r="F520" s="18"/>
      <c r="G520" s="18"/>
      <c r="H520" s="18"/>
      <c r="I520" s="25"/>
      <c r="J520" s="18"/>
      <c r="K520" s="18"/>
      <c r="L520" s="18"/>
      <c r="M520" s="18"/>
      <c r="N520" s="18"/>
      <c r="O520" s="18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>
      <c r="A521" s="1"/>
      <c r="B521" s="1"/>
      <c r="C521" s="18"/>
      <c r="D521" s="47"/>
      <c r="E521" s="18"/>
      <c r="F521" s="18"/>
      <c r="G521" s="18"/>
      <c r="H521" s="18"/>
      <c r="I521" s="25"/>
      <c r="J521" s="18"/>
      <c r="K521" s="18"/>
      <c r="L521" s="18"/>
      <c r="M521" s="18"/>
      <c r="N521" s="18"/>
      <c r="O521" s="18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>
      <c r="A522" s="1"/>
      <c r="B522" s="1"/>
      <c r="C522" s="18"/>
      <c r="D522" s="47"/>
      <c r="E522" s="18"/>
      <c r="F522" s="18"/>
      <c r="G522" s="18"/>
      <c r="H522" s="18"/>
      <c r="I522" s="25"/>
      <c r="J522" s="18"/>
      <c r="K522" s="18"/>
      <c r="L522" s="18"/>
      <c r="M522" s="18"/>
      <c r="N522" s="18"/>
      <c r="O522" s="18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>
      <c r="A523" s="1"/>
      <c r="B523" s="1"/>
      <c r="C523" s="18"/>
      <c r="D523" s="47"/>
      <c r="E523" s="18"/>
      <c r="F523" s="18"/>
      <c r="G523" s="18"/>
      <c r="H523" s="18"/>
      <c r="I523" s="25"/>
      <c r="J523" s="18"/>
      <c r="K523" s="18"/>
      <c r="L523" s="18"/>
      <c r="M523" s="18"/>
      <c r="N523" s="18"/>
      <c r="O523" s="18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>
      <c r="A524" s="1"/>
      <c r="B524" s="1"/>
      <c r="C524" s="18"/>
      <c r="D524" s="47"/>
      <c r="E524" s="18"/>
      <c r="F524" s="18"/>
      <c r="G524" s="18"/>
      <c r="H524" s="18"/>
      <c r="I524" s="25"/>
      <c r="J524" s="18"/>
      <c r="K524" s="18"/>
      <c r="L524" s="18"/>
      <c r="M524" s="18"/>
      <c r="N524" s="18"/>
      <c r="O524" s="18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>
      <c r="A525" s="1"/>
      <c r="B525" s="1"/>
      <c r="C525" s="18"/>
      <c r="D525" s="47"/>
      <c r="E525" s="18"/>
      <c r="F525" s="18"/>
      <c r="G525" s="18"/>
      <c r="H525" s="18"/>
      <c r="I525" s="25"/>
      <c r="J525" s="18"/>
      <c r="K525" s="18"/>
      <c r="L525" s="18"/>
      <c r="M525" s="18"/>
      <c r="N525" s="18"/>
      <c r="O525" s="18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>
      <c r="A526" s="1"/>
      <c r="B526" s="1"/>
      <c r="C526" s="18"/>
      <c r="D526" s="47"/>
      <c r="E526" s="18"/>
      <c r="F526" s="18"/>
      <c r="G526" s="18"/>
      <c r="H526" s="18"/>
      <c r="I526" s="25"/>
      <c r="J526" s="18"/>
      <c r="K526" s="18"/>
      <c r="L526" s="18"/>
      <c r="M526" s="18"/>
      <c r="N526" s="18"/>
      <c r="O526" s="18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>
      <c r="A527" s="1"/>
      <c r="B527" s="1"/>
      <c r="C527" s="18"/>
      <c r="D527" s="47"/>
      <c r="E527" s="18"/>
      <c r="F527" s="18"/>
      <c r="G527" s="18"/>
      <c r="H527" s="18"/>
      <c r="I527" s="25"/>
      <c r="J527" s="18"/>
      <c r="K527" s="18"/>
      <c r="L527" s="18"/>
      <c r="M527" s="18"/>
      <c r="N527" s="18"/>
      <c r="O527" s="18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>
      <c r="A528" s="1"/>
      <c r="B528" s="1"/>
      <c r="C528" s="18"/>
      <c r="D528" s="47"/>
      <c r="E528" s="18"/>
      <c r="F528" s="18"/>
      <c r="G528" s="18"/>
      <c r="H528" s="18"/>
      <c r="I528" s="25"/>
      <c r="J528" s="18"/>
      <c r="K528" s="18"/>
      <c r="L528" s="18"/>
      <c r="M528" s="18"/>
      <c r="N528" s="18"/>
      <c r="O528" s="18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>
      <c r="A529" s="1"/>
      <c r="B529" s="1"/>
      <c r="C529" s="18"/>
      <c r="D529" s="47"/>
      <c r="E529" s="18"/>
      <c r="F529" s="18"/>
      <c r="G529" s="18"/>
      <c r="H529" s="18"/>
      <c r="I529" s="25"/>
      <c r="J529" s="18"/>
      <c r="K529" s="18"/>
      <c r="L529" s="18"/>
      <c r="M529" s="18"/>
      <c r="N529" s="18"/>
      <c r="O529" s="18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>
      <c r="A530" s="1"/>
      <c r="B530" s="1"/>
      <c r="C530" s="18"/>
      <c r="D530" s="47"/>
      <c r="E530" s="18"/>
      <c r="F530" s="18"/>
      <c r="G530" s="18"/>
      <c r="H530" s="18"/>
      <c r="I530" s="25"/>
      <c r="J530" s="18"/>
      <c r="K530" s="18"/>
      <c r="L530" s="18"/>
      <c r="M530" s="18"/>
      <c r="N530" s="18"/>
      <c r="O530" s="18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>
      <c r="A531" s="1"/>
      <c r="B531" s="1"/>
      <c r="C531" s="18"/>
      <c r="D531" s="47"/>
      <c r="E531" s="18"/>
      <c r="F531" s="18"/>
      <c r="G531" s="18"/>
      <c r="H531" s="18"/>
      <c r="I531" s="25"/>
      <c r="J531" s="18"/>
      <c r="K531" s="18"/>
      <c r="L531" s="18"/>
      <c r="M531" s="18"/>
      <c r="N531" s="18"/>
      <c r="O531" s="18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>
      <c r="A532" s="1"/>
      <c r="B532" s="1"/>
      <c r="C532" s="18"/>
      <c r="D532" s="47"/>
      <c r="E532" s="18"/>
      <c r="F532" s="18"/>
      <c r="G532" s="18"/>
      <c r="H532" s="18"/>
      <c r="I532" s="25"/>
      <c r="J532" s="18"/>
      <c r="K532" s="18"/>
      <c r="L532" s="18"/>
      <c r="M532" s="18"/>
      <c r="N532" s="18"/>
      <c r="O532" s="18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>
      <c r="A533" s="1"/>
      <c r="B533" s="1"/>
      <c r="C533" s="18"/>
      <c r="D533" s="47"/>
      <c r="E533" s="18"/>
      <c r="F533" s="18"/>
      <c r="G533" s="18"/>
      <c r="H533" s="18"/>
      <c r="I533" s="25"/>
      <c r="J533" s="18"/>
      <c r="K533" s="18"/>
      <c r="L533" s="18"/>
      <c r="M533" s="18"/>
      <c r="N533" s="18"/>
      <c r="O533" s="18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>
      <c r="A534" s="1"/>
      <c r="B534" s="1"/>
      <c r="C534" s="18"/>
      <c r="D534" s="47"/>
      <c r="E534" s="18"/>
      <c r="F534" s="18"/>
      <c r="G534" s="18"/>
      <c r="H534" s="18"/>
      <c r="I534" s="25"/>
      <c r="J534" s="18"/>
      <c r="K534" s="18"/>
      <c r="L534" s="18"/>
      <c r="M534" s="18"/>
      <c r="N534" s="18"/>
      <c r="O534" s="18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>
      <c r="A535" s="1"/>
      <c r="B535" s="1"/>
      <c r="C535" s="18"/>
      <c r="D535" s="47"/>
      <c r="E535" s="18"/>
      <c r="F535" s="18"/>
      <c r="G535" s="18"/>
      <c r="H535" s="18"/>
      <c r="I535" s="25"/>
      <c r="J535" s="18"/>
      <c r="K535" s="18"/>
      <c r="L535" s="18"/>
      <c r="M535" s="18"/>
      <c r="N535" s="18"/>
      <c r="O535" s="18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>
      <c r="A536" s="1"/>
      <c r="B536" s="1"/>
      <c r="C536" s="18"/>
      <c r="D536" s="47"/>
      <c r="E536" s="18"/>
      <c r="F536" s="18"/>
      <c r="G536" s="18"/>
      <c r="H536" s="18"/>
      <c r="I536" s="25"/>
      <c r="J536" s="18"/>
      <c r="K536" s="18"/>
      <c r="L536" s="18"/>
      <c r="M536" s="18"/>
      <c r="N536" s="18"/>
      <c r="O536" s="18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>
      <c r="A537" s="1"/>
      <c r="B537" s="1"/>
      <c r="C537" s="18"/>
      <c r="D537" s="47"/>
      <c r="E537" s="18"/>
      <c r="F537" s="18"/>
      <c r="G537" s="18"/>
      <c r="H537" s="18"/>
      <c r="I537" s="25"/>
      <c r="J537" s="18"/>
      <c r="K537" s="18"/>
      <c r="L537" s="18"/>
      <c r="M537" s="18"/>
      <c r="N537" s="18"/>
      <c r="O537" s="18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>
      <c r="A538" s="1"/>
      <c r="B538" s="1"/>
      <c r="C538" s="18"/>
      <c r="D538" s="47"/>
      <c r="E538" s="18"/>
      <c r="F538" s="18"/>
      <c r="G538" s="18"/>
      <c r="H538" s="18"/>
      <c r="I538" s="25"/>
      <c r="J538" s="18"/>
      <c r="K538" s="18"/>
      <c r="L538" s="18"/>
      <c r="M538" s="18"/>
      <c r="N538" s="18"/>
      <c r="O538" s="18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>
      <c r="A539" s="1"/>
      <c r="B539" s="1"/>
      <c r="C539" s="18"/>
      <c r="D539" s="47"/>
      <c r="E539" s="18"/>
      <c r="F539" s="18"/>
      <c r="G539" s="18"/>
      <c r="H539" s="18"/>
      <c r="I539" s="25"/>
      <c r="J539" s="18"/>
      <c r="K539" s="18"/>
      <c r="L539" s="18"/>
      <c r="M539" s="18"/>
      <c r="N539" s="18"/>
      <c r="O539" s="18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>
      <c r="A540" s="1"/>
      <c r="B540" s="1"/>
      <c r="C540" s="18"/>
      <c r="D540" s="47"/>
      <c r="E540" s="18"/>
      <c r="F540" s="18"/>
      <c r="G540" s="18"/>
      <c r="H540" s="18"/>
      <c r="I540" s="25"/>
      <c r="J540" s="18"/>
      <c r="K540" s="18"/>
      <c r="L540" s="18"/>
      <c r="M540" s="18"/>
      <c r="N540" s="18"/>
      <c r="O540" s="18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>
      <c r="A541" s="1"/>
      <c r="B541" s="1"/>
      <c r="C541" s="18"/>
      <c r="D541" s="47"/>
      <c r="E541" s="18"/>
      <c r="F541" s="18"/>
      <c r="G541" s="18"/>
      <c r="H541" s="18"/>
      <c r="I541" s="25"/>
      <c r="J541" s="18"/>
      <c r="K541" s="18"/>
      <c r="L541" s="18"/>
      <c r="M541" s="18"/>
      <c r="N541" s="18"/>
      <c r="O541" s="18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>
      <c r="A542" s="1"/>
      <c r="B542" s="1"/>
      <c r="C542" s="18"/>
      <c r="D542" s="47"/>
      <c r="E542" s="18"/>
      <c r="F542" s="18"/>
      <c r="G542" s="18"/>
      <c r="H542" s="18"/>
      <c r="I542" s="25"/>
      <c r="J542" s="18"/>
      <c r="K542" s="18"/>
      <c r="L542" s="18"/>
      <c r="M542" s="18"/>
      <c r="N542" s="18"/>
      <c r="O542" s="18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>
      <c r="A543" s="1"/>
      <c r="B543" s="1"/>
      <c r="C543" s="18"/>
      <c r="D543" s="47"/>
      <c r="E543" s="18"/>
      <c r="F543" s="18"/>
      <c r="G543" s="18"/>
      <c r="H543" s="18"/>
      <c r="I543" s="25"/>
      <c r="J543" s="18"/>
      <c r="K543" s="18"/>
      <c r="L543" s="18"/>
      <c r="M543" s="18"/>
      <c r="N543" s="18"/>
      <c r="O543" s="18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>
      <c r="A544" s="1"/>
      <c r="B544" s="1"/>
      <c r="C544" s="18"/>
      <c r="D544" s="47"/>
      <c r="E544" s="18"/>
      <c r="F544" s="18"/>
      <c r="G544" s="18"/>
      <c r="H544" s="18"/>
      <c r="I544" s="25"/>
      <c r="J544" s="18"/>
      <c r="K544" s="18"/>
      <c r="L544" s="18"/>
      <c r="M544" s="18"/>
      <c r="N544" s="18"/>
      <c r="O544" s="18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>
      <c r="A545" s="1"/>
      <c r="B545" s="1"/>
      <c r="C545" s="18"/>
      <c r="D545" s="47"/>
      <c r="E545" s="18"/>
      <c r="F545" s="18"/>
      <c r="G545" s="18"/>
      <c r="H545" s="18"/>
      <c r="I545" s="25"/>
      <c r="J545" s="18"/>
      <c r="K545" s="18"/>
      <c r="L545" s="18"/>
      <c r="M545" s="18"/>
      <c r="N545" s="18"/>
      <c r="O545" s="18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>
      <c r="A546" s="1"/>
      <c r="B546" s="1"/>
      <c r="C546" s="18"/>
      <c r="D546" s="47"/>
      <c r="E546" s="18"/>
      <c r="F546" s="18"/>
      <c r="G546" s="18"/>
      <c r="H546" s="18"/>
      <c r="I546" s="25"/>
      <c r="J546" s="18"/>
      <c r="K546" s="18"/>
      <c r="L546" s="18"/>
      <c r="M546" s="18"/>
      <c r="N546" s="18"/>
      <c r="O546" s="18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>
      <c r="A547" s="1"/>
      <c r="B547" s="1"/>
      <c r="C547" s="18"/>
      <c r="D547" s="47"/>
      <c r="E547" s="18"/>
      <c r="F547" s="18"/>
      <c r="G547" s="18"/>
      <c r="H547" s="18"/>
      <c r="I547" s="25"/>
      <c r="J547" s="18"/>
      <c r="K547" s="18"/>
      <c r="L547" s="18"/>
      <c r="M547" s="18"/>
      <c r="N547" s="18"/>
      <c r="O547" s="18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>
      <c r="A548" s="1"/>
      <c r="B548" s="1"/>
      <c r="C548" s="18"/>
      <c r="D548" s="47"/>
      <c r="E548" s="18"/>
      <c r="F548" s="18"/>
      <c r="G548" s="18"/>
      <c r="H548" s="18"/>
      <c r="I548" s="25"/>
      <c r="J548" s="18"/>
      <c r="K548" s="18"/>
      <c r="L548" s="18"/>
      <c r="M548" s="18"/>
      <c r="N548" s="18"/>
      <c r="O548" s="18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>
      <c r="A549" s="1"/>
      <c r="B549" s="1"/>
      <c r="C549" s="18"/>
      <c r="D549" s="47"/>
      <c r="E549" s="18"/>
      <c r="F549" s="18"/>
      <c r="G549" s="18"/>
      <c r="H549" s="18"/>
      <c r="I549" s="25"/>
      <c r="J549" s="18"/>
      <c r="K549" s="18"/>
      <c r="L549" s="18"/>
      <c r="M549" s="18"/>
      <c r="N549" s="18"/>
      <c r="O549" s="18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>
      <c r="A550" s="1"/>
      <c r="B550" s="1"/>
      <c r="C550" s="18"/>
      <c r="D550" s="47"/>
      <c r="E550" s="18"/>
      <c r="F550" s="18"/>
      <c r="G550" s="18"/>
      <c r="H550" s="18"/>
      <c r="I550" s="25"/>
      <c r="J550" s="18"/>
      <c r="K550" s="18"/>
      <c r="L550" s="18"/>
      <c r="M550" s="18"/>
      <c r="N550" s="18"/>
      <c r="O550" s="18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>
      <c r="A551" s="1"/>
      <c r="B551" s="1"/>
      <c r="C551" s="18"/>
      <c r="D551" s="47"/>
      <c r="E551" s="18"/>
      <c r="F551" s="18"/>
      <c r="G551" s="18"/>
      <c r="H551" s="18"/>
      <c r="I551" s="25"/>
      <c r="J551" s="18"/>
      <c r="K551" s="18"/>
      <c r="L551" s="18"/>
      <c r="M551" s="18"/>
      <c r="N551" s="18"/>
      <c r="O551" s="18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>
      <c r="A552" s="1"/>
      <c r="B552" s="1"/>
      <c r="C552" s="18"/>
      <c r="D552" s="47"/>
      <c r="E552" s="18"/>
      <c r="F552" s="18"/>
      <c r="G552" s="18"/>
      <c r="H552" s="18"/>
      <c r="I552" s="25"/>
      <c r="J552" s="18"/>
      <c r="K552" s="18"/>
      <c r="L552" s="18"/>
      <c r="M552" s="18"/>
      <c r="N552" s="18"/>
      <c r="O552" s="18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>
      <c r="A553" s="1"/>
      <c r="B553" s="1"/>
      <c r="C553" s="18"/>
      <c r="D553" s="47"/>
      <c r="E553" s="18"/>
      <c r="F553" s="18"/>
      <c r="G553" s="18"/>
      <c r="H553" s="18"/>
      <c r="I553" s="25"/>
      <c r="J553" s="18"/>
      <c r="K553" s="18"/>
      <c r="L553" s="18"/>
      <c r="M553" s="18"/>
      <c r="N553" s="18"/>
      <c r="O553" s="18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>
      <c r="A554" s="1"/>
      <c r="B554" s="1"/>
      <c r="C554" s="18"/>
      <c r="D554" s="47"/>
      <c r="E554" s="18"/>
      <c r="F554" s="18"/>
      <c r="G554" s="18"/>
      <c r="H554" s="18"/>
      <c r="I554" s="25"/>
      <c r="J554" s="18"/>
      <c r="K554" s="18"/>
      <c r="L554" s="18"/>
      <c r="M554" s="18"/>
      <c r="N554" s="18"/>
      <c r="O554" s="18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>
      <c r="A555" s="1"/>
      <c r="B555" s="1"/>
      <c r="C555" s="18"/>
      <c r="D555" s="47"/>
      <c r="E555" s="18"/>
      <c r="F555" s="18"/>
      <c r="G555" s="18"/>
      <c r="H555" s="18"/>
      <c r="I555" s="25"/>
      <c r="J555" s="18"/>
      <c r="K555" s="18"/>
      <c r="L555" s="18"/>
      <c r="M555" s="18"/>
      <c r="N555" s="18"/>
      <c r="O555" s="18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>
      <c r="A556" s="1"/>
      <c r="B556" s="1"/>
      <c r="C556" s="18"/>
      <c r="D556" s="47"/>
      <c r="E556" s="18"/>
      <c r="F556" s="18"/>
      <c r="G556" s="18"/>
      <c r="H556" s="18"/>
      <c r="I556" s="25"/>
      <c r="J556" s="18"/>
      <c r="K556" s="18"/>
      <c r="L556" s="18"/>
      <c r="M556" s="18"/>
      <c r="N556" s="18"/>
      <c r="O556" s="18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>
      <c r="A557" s="1"/>
      <c r="B557" s="1"/>
      <c r="C557" s="18"/>
      <c r="D557" s="47"/>
      <c r="E557" s="18"/>
      <c r="F557" s="18"/>
      <c r="G557" s="18"/>
      <c r="H557" s="18"/>
      <c r="I557" s="25"/>
      <c r="J557" s="18"/>
      <c r="K557" s="18"/>
      <c r="L557" s="18"/>
      <c r="M557" s="18"/>
      <c r="N557" s="18"/>
      <c r="O557" s="18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>
      <c r="A558" s="1"/>
      <c r="B558" s="1"/>
      <c r="C558" s="18"/>
      <c r="D558" s="47"/>
      <c r="E558" s="18"/>
      <c r="F558" s="18"/>
      <c r="G558" s="18"/>
      <c r="H558" s="18"/>
      <c r="I558" s="25"/>
      <c r="J558" s="18"/>
      <c r="K558" s="18"/>
      <c r="L558" s="18"/>
      <c r="M558" s="18"/>
      <c r="N558" s="18"/>
      <c r="O558" s="18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>
      <c r="A559" s="1"/>
      <c r="B559" s="1"/>
      <c r="C559" s="18"/>
      <c r="D559" s="47"/>
      <c r="E559" s="18"/>
      <c r="F559" s="18"/>
      <c r="G559" s="18"/>
      <c r="H559" s="18"/>
      <c r="I559" s="25"/>
      <c r="J559" s="18"/>
      <c r="K559" s="18"/>
      <c r="L559" s="18"/>
      <c r="M559" s="18"/>
      <c r="N559" s="18"/>
      <c r="O559" s="18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>
      <c r="A560" s="1"/>
      <c r="B560" s="1"/>
      <c r="C560" s="18"/>
      <c r="D560" s="47"/>
      <c r="E560" s="18"/>
      <c r="F560" s="18"/>
      <c r="G560" s="18"/>
      <c r="H560" s="18"/>
      <c r="I560" s="25"/>
      <c r="J560" s="18"/>
      <c r="K560" s="18"/>
      <c r="L560" s="18"/>
      <c r="M560" s="18"/>
      <c r="N560" s="18"/>
      <c r="O560" s="18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>
      <c r="A561" s="1"/>
      <c r="B561" s="1"/>
      <c r="C561" s="18"/>
      <c r="D561" s="47"/>
      <c r="E561" s="18"/>
      <c r="F561" s="18"/>
      <c r="G561" s="18"/>
      <c r="H561" s="18"/>
      <c r="I561" s="25"/>
      <c r="J561" s="18"/>
      <c r="K561" s="18"/>
      <c r="L561" s="18"/>
      <c r="M561" s="18"/>
      <c r="N561" s="18"/>
      <c r="O561" s="18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>
      <c r="A562" s="1"/>
      <c r="B562" s="1"/>
      <c r="C562" s="18"/>
      <c r="D562" s="47"/>
      <c r="E562" s="18"/>
      <c r="F562" s="18"/>
      <c r="G562" s="18"/>
      <c r="H562" s="18"/>
      <c r="I562" s="25"/>
      <c r="J562" s="18"/>
      <c r="K562" s="18"/>
      <c r="L562" s="18"/>
      <c r="M562" s="18"/>
      <c r="N562" s="18"/>
      <c r="O562" s="18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>
      <c r="A563" s="1"/>
      <c r="B563" s="1"/>
      <c r="C563" s="18"/>
      <c r="D563" s="47"/>
      <c r="E563" s="18"/>
      <c r="F563" s="18"/>
      <c r="G563" s="18"/>
      <c r="H563" s="18"/>
      <c r="I563" s="25"/>
      <c r="J563" s="18"/>
      <c r="K563" s="18"/>
      <c r="L563" s="18"/>
      <c r="M563" s="18"/>
      <c r="N563" s="18"/>
      <c r="O563" s="18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>
      <c r="A564" s="1"/>
      <c r="B564" s="1"/>
      <c r="C564" s="18"/>
      <c r="D564" s="47"/>
      <c r="E564" s="18"/>
      <c r="F564" s="18"/>
      <c r="G564" s="18"/>
      <c r="H564" s="18"/>
      <c r="I564" s="25"/>
      <c r="J564" s="18"/>
      <c r="K564" s="18"/>
      <c r="L564" s="18"/>
      <c r="M564" s="18"/>
      <c r="N564" s="18"/>
      <c r="O564" s="18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>
      <c r="A565" s="1"/>
      <c r="B565" s="1"/>
      <c r="C565" s="18"/>
      <c r="D565" s="47"/>
      <c r="E565" s="18"/>
      <c r="F565" s="18"/>
      <c r="G565" s="18"/>
      <c r="H565" s="18"/>
      <c r="I565" s="25"/>
      <c r="J565" s="18"/>
      <c r="K565" s="18"/>
      <c r="L565" s="18"/>
      <c r="M565" s="18"/>
      <c r="N565" s="18"/>
      <c r="O565" s="18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>
      <c r="A566" s="1"/>
      <c r="B566" s="1"/>
      <c r="C566" s="18"/>
      <c r="D566" s="47"/>
      <c r="E566" s="18"/>
      <c r="F566" s="18"/>
      <c r="G566" s="18"/>
      <c r="H566" s="18"/>
      <c r="I566" s="25"/>
      <c r="J566" s="18"/>
      <c r="K566" s="18"/>
      <c r="L566" s="18"/>
      <c r="M566" s="18"/>
      <c r="N566" s="18"/>
      <c r="O566" s="18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>
      <c r="A567" s="1"/>
      <c r="B567" s="1"/>
      <c r="C567" s="18"/>
      <c r="D567" s="47"/>
      <c r="E567" s="18"/>
      <c r="F567" s="18"/>
      <c r="G567" s="18"/>
      <c r="H567" s="18"/>
      <c r="I567" s="25"/>
      <c r="J567" s="18"/>
      <c r="K567" s="18"/>
      <c r="L567" s="18"/>
      <c r="M567" s="18"/>
      <c r="N567" s="18"/>
      <c r="O567" s="18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>
      <c r="A568" s="1"/>
      <c r="B568" s="1"/>
      <c r="C568" s="18"/>
      <c r="D568" s="47"/>
      <c r="E568" s="18"/>
      <c r="F568" s="18"/>
      <c r="G568" s="18"/>
      <c r="H568" s="18"/>
      <c r="I568" s="25"/>
      <c r="J568" s="18"/>
      <c r="K568" s="18"/>
      <c r="L568" s="18"/>
      <c r="M568" s="18"/>
      <c r="N568" s="18"/>
      <c r="O568" s="18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>
      <c r="A569" s="1"/>
      <c r="B569" s="1"/>
      <c r="C569" s="18"/>
      <c r="D569" s="47"/>
      <c r="E569" s="18"/>
      <c r="F569" s="18"/>
      <c r="G569" s="18"/>
      <c r="H569" s="18"/>
      <c r="I569" s="25"/>
      <c r="J569" s="18"/>
      <c r="K569" s="18"/>
      <c r="L569" s="18"/>
      <c r="M569" s="18"/>
      <c r="N569" s="18"/>
      <c r="O569" s="18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>
      <c r="A570" s="1"/>
      <c r="B570" s="1"/>
      <c r="C570" s="18"/>
      <c r="D570" s="47"/>
      <c r="E570" s="18"/>
      <c r="F570" s="18"/>
      <c r="G570" s="18"/>
      <c r="H570" s="18"/>
      <c r="I570" s="25"/>
      <c r="J570" s="18"/>
      <c r="K570" s="18"/>
      <c r="L570" s="18"/>
      <c r="M570" s="18"/>
      <c r="N570" s="18"/>
      <c r="O570" s="18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>
      <c r="A571" s="1"/>
      <c r="B571" s="1"/>
      <c r="C571" s="18"/>
      <c r="D571" s="47"/>
      <c r="E571" s="18"/>
      <c r="F571" s="18"/>
      <c r="G571" s="18"/>
      <c r="H571" s="18"/>
      <c r="I571" s="25"/>
      <c r="J571" s="18"/>
      <c r="K571" s="18"/>
      <c r="L571" s="18"/>
      <c r="M571" s="18"/>
      <c r="N571" s="18"/>
      <c r="O571" s="18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>
      <c r="A572" s="1"/>
      <c r="B572" s="1"/>
      <c r="C572" s="18"/>
      <c r="D572" s="47"/>
      <c r="E572" s="18"/>
      <c r="F572" s="18"/>
      <c r="G572" s="18"/>
      <c r="H572" s="18"/>
      <c r="I572" s="25"/>
      <c r="J572" s="18"/>
      <c r="K572" s="18"/>
      <c r="L572" s="18"/>
      <c r="M572" s="18"/>
      <c r="N572" s="18"/>
      <c r="O572" s="18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>
      <c r="A573" s="1"/>
      <c r="B573" s="1"/>
      <c r="C573" s="18"/>
      <c r="D573" s="47"/>
      <c r="E573" s="18"/>
      <c r="F573" s="18"/>
      <c r="G573" s="18"/>
      <c r="H573" s="18"/>
      <c r="I573" s="25"/>
      <c r="J573" s="18"/>
      <c r="K573" s="18"/>
      <c r="L573" s="18"/>
      <c r="M573" s="18"/>
      <c r="N573" s="18"/>
      <c r="O573" s="18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>
      <c r="A574" s="1"/>
      <c r="B574" s="1"/>
      <c r="C574" s="18"/>
      <c r="D574" s="47"/>
      <c r="E574" s="18"/>
      <c r="F574" s="18"/>
      <c r="G574" s="18"/>
      <c r="H574" s="18"/>
      <c r="I574" s="25"/>
      <c r="J574" s="18"/>
      <c r="K574" s="18"/>
      <c r="L574" s="18"/>
      <c r="M574" s="18"/>
      <c r="N574" s="18"/>
      <c r="O574" s="18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>
      <c r="A575" s="1"/>
      <c r="B575" s="1"/>
      <c r="C575" s="18"/>
      <c r="D575" s="47"/>
      <c r="E575" s="18"/>
      <c r="F575" s="18"/>
      <c r="G575" s="18"/>
      <c r="H575" s="18"/>
      <c r="I575" s="25"/>
      <c r="J575" s="18"/>
      <c r="K575" s="18"/>
      <c r="L575" s="18"/>
      <c r="M575" s="18"/>
      <c r="N575" s="18"/>
      <c r="O575" s="18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>
      <c r="A576" s="1"/>
      <c r="B576" s="1"/>
      <c r="C576" s="18"/>
      <c r="D576" s="47"/>
      <c r="E576" s="18"/>
      <c r="F576" s="18"/>
      <c r="G576" s="18"/>
      <c r="H576" s="18"/>
      <c r="I576" s="25"/>
      <c r="J576" s="18"/>
      <c r="K576" s="18"/>
      <c r="L576" s="18"/>
      <c r="M576" s="18"/>
      <c r="N576" s="18"/>
      <c r="O576" s="18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>
      <c r="A577" s="1"/>
      <c r="B577" s="1"/>
      <c r="C577" s="18"/>
      <c r="D577" s="47"/>
      <c r="E577" s="18"/>
      <c r="F577" s="18"/>
      <c r="G577" s="18"/>
      <c r="H577" s="18"/>
      <c r="I577" s="25"/>
      <c r="J577" s="18"/>
      <c r="K577" s="18"/>
      <c r="L577" s="18"/>
      <c r="M577" s="18"/>
      <c r="N577" s="18"/>
      <c r="O577" s="18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>
      <c r="A578" s="1"/>
      <c r="B578" s="1"/>
      <c r="C578" s="18"/>
      <c r="D578" s="47"/>
      <c r="E578" s="18"/>
      <c r="F578" s="18"/>
      <c r="G578" s="18"/>
      <c r="H578" s="18"/>
      <c r="I578" s="25"/>
      <c r="J578" s="18"/>
      <c r="K578" s="18"/>
      <c r="L578" s="18"/>
      <c r="M578" s="18"/>
      <c r="N578" s="18"/>
      <c r="O578" s="18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>
      <c r="A579" s="1"/>
      <c r="B579" s="1"/>
      <c r="C579" s="18"/>
      <c r="D579" s="47"/>
      <c r="E579" s="18"/>
      <c r="F579" s="18"/>
      <c r="G579" s="18"/>
      <c r="H579" s="18"/>
      <c r="I579" s="25"/>
      <c r="J579" s="18"/>
      <c r="K579" s="18"/>
      <c r="L579" s="18"/>
      <c r="M579" s="18"/>
      <c r="N579" s="18"/>
      <c r="O579" s="18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>
      <c r="A580" s="1"/>
      <c r="B580" s="1"/>
      <c r="C580" s="18"/>
      <c r="D580" s="47"/>
      <c r="E580" s="18"/>
      <c r="F580" s="18"/>
      <c r="G580" s="18"/>
      <c r="H580" s="18"/>
      <c r="I580" s="25"/>
      <c r="J580" s="18"/>
      <c r="K580" s="18"/>
      <c r="L580" s="18"/>
      <c r="M580" s="18"/>
      <c r="N580" s="18"/>
      <c r="O580" s="18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>
      <c r="A581" s="1"/>
      <c r="B581" s="1"/>
      <c r="C581" s="18"/>
      <c r="D581" s="47"/>
      <c r="E581" s="18"/>
      <c r="F581" s="18"/>
      <c r="G581" s="18"/>
      <c r="H581" s="18"/>
      <c r="I581" s="25"/>
      <c r="J581" s="18"/>
      <c r="K581" s="18"/>
      <c r="L581" s="18"/>
      <c r="M581" s="18"/>
      <c r="N581" s="18"/>
      <c r="O581" s="18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>
      <c r="A582" s="1"/>
      <c r="B582" s="1"/>
      <c r="C582" s="18"/>
      <c r="D582" s="47"/>
      <c r="E582" s="18"/>
      <c r="F582" s="18"/>
      <c r="G582" s="18"/>
      <c r="H582" s="18"/>
      <c r="I582" s="25"/>
      <c r="J582" s="18"/>
      <c r="K582" s="18"/>
      <c r="L582" s="18"/>
      <c r="M582" s="18"/>
      <c r="N582" s="18"/>
      <c r="O582" s="18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>
      <c r="A583" s="1"/>
      <c r="B583" s="1"/>
      <c r="C583" s="18"/>
      <c r="D583" s="47"/>
      <c r="E583" s="18"/>
      <c r="F583" s="18"/>
      <c r="G583" s="18"/>
      <c r="H583" s="18"/>
      <c r="I583" s="25"/>
      <c r="J583" s="18"/>
      <c r="K583" s="18"/>
      <c r="L583" s="18"/>
      <c r="M583" s="18"/>
      <c r="N583" s="18"/>
      <c r="O583" s="18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>
      <c r="A584" s="1"/>
      <c r="B584" s="1"/>
      <c r="C584" s="18"/>
      <c r="D584" s="47"/>
      <c r="E584" s="18"/>
      <c r="F584" s="18"/>
      <c r="G584" s="18"/>
      <c r="H584" s="18"/>
      <c r="I584" s="25"/>
      <c r="J584" s="18"/>
      <c r="K584" s="18"/>
      <c r="L584" s="18"/>
      <c r="M584" s="18"/>
      <c r="N584" s="18"/>
      <c r="O584" s="18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>
      <c r="A585" s="1"/>
      <c r="B585" s="1"/>
      <c r="C585" s="18"/>
      <c r="D585" s="47"/>
      <c r="E585" s="18"/>
      <c r="F585" s="18"/>
      <c r="G585" s="18"/>
      <c r="H585" s="18"/>
      <c r="I585" s="25"/>
      <c r="J585" s="18"/>
      <c r="K585" s="18"/>
      <c r="L585" s="18"/>
      <c r="M585" s="18"/>
      <c r="N585" s="18"/>
      <c r="O585" s="18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>
      <c r="A586" s="1"/>
      <c r="B586" s="1"/>
      <c r="C586" s="18"/>
      <c r="D586" s="47"/>
      <c r="E586" s="18"/>
      <c r="F586" s="18"/>
      <c r="G586" s="18"/>
      <c r="H586" s="18"/>
      <c r="I586" s="25"/>
      <c r="J586" s="18"/>
      <c r="K586" s="18"/>
      <c r="L586" s="18"/>
      <c r="M586" s="18"/>
      <c r="N586" s="18"/>
      <c r="O586" s="18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>
      <c r="A587" s="1"/>
      <c r="B587" s="1"/>
      <c r="C587" s="18"/>
      <c r="D587" s="47"/>
      <c r="E587" s="18"/>
      <c r="F587" s="18"/>
      <c r="G587" s="18"/>
      <c r="H587" s="18"/>
      <c r="I587" s="25"/>
      <c r="J587" s="18"/>
      <c r="K587" s="18"/>
      <c r="L587" s="18"/>
      <c r="M587" s="18"/>
      <c r="N587" s="18"/>
      <c r="O587" s="18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>
      <c r="A588" s="1"/>
      <c r="B588" s="1"/>
      <c r="C588" s="18"/>
      <c r="D588" s="47"/>
      <c r="E588" s="18"/>
      <c r="F588" s="18"/>
      <c r="G588" s="18"/>
      <c r="H588" s="18"/>
      <c r="I588" s="25"/>
      <c r="J588" s="18"/>
      <c r="K588" s="18"/>
      <c r="L588" s="18"/>
      <c r="M588" s="18"/>
      <c r="N588" s="18"/>
      <c r="O588" s="18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>
      <c r="A589" s="1"/>
      <c r="B589" s="1"/>
      <c r="C589" s="18"/>
      <c r="D589" s="47"/>
      <c r="E589" s="18"/>
      <c r="F589" s="18"/>
      <c r="G589" s="18"/>
      <c r="H589" s="18"/>
      <c r="I589" s="25"/>
      <c r="J589" s="18"/>
      <c r="K589" s="18"/>
      <c r="L589" s="18"/>
      <c r="M589" s="18"/>
      <c r="N589" s="18"/>
      <c r="O589" s="18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>
      <c r="A590" s="1"/>
      <c r="B590" s="1"/>
      <c r="C590" s="18"/>
      <c r="D590" s="47"/>
      <c r="E590" s="18"/>
      <c r="F590" s="18"/>
      <c r="G590" s="18"/>
      <c r="H590" s="18"/>
      <c r="I590" s="25"/>
      <c r="J590" s="18"/>
      <c r="K590" s="18"/>
      <c r="L590" s="18"/>
      <c r="M590" s="18"/>
      <c r="N590" s="18"/>
      <c r="O590" s="18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>
      <c r="A591" s="1"/>
      <c r="B591" s="1"/>
      <c r="C591" s="18"/>
      <c r="D591" s="47"/>
      <c r="E591" s="18"/>
      <c r="F591" s="18"/>
      <c r="G591" s="18"/>
      <c r="H591" s="18"/>
      <c r="I591" s="25"/>
      <c r="J591" s="18"/>
      <c r="K591" s="18"/>
      <c r="L591" s="18"/>
      <c r="M591" s="18"/>
      <c r="N591" s="18"/>
      <c r="O591" s="18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>
      <c r="A592" s="1"/>
      <c r="B592" s="1"/>
      <c r="C592" s="18"/>
      <c r="D592" s="47"/>
      <c r="E592" s="18"/>
      <c r="F592" s="18"/>
      <c r="G592" s="18"/>
      <c r="H592" s="18"/>
      <c r="I592" s="25"/>
      <c r="J592" s="18"/>
      <c r="K592" s="18"/>
      <c r="L592" s="18"/>
      <c r="M592" s="18"/>
      <c r="N592" s="18"/>
      <c r="O592" s="18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>
      <c r="A593" s="1"/>
      <c r="B593" s="1"/>
      <c r="C593" s="18"/>
      <c r="D593" s="47"/>
      <c r="E593" s="18"/>
      <c r="F593" s="18"/>
      <c r="G593" s="18"/>
      <c r="H593" s="18"/>
      <c r="I593" s="25"/>
      <c r="J593" s="18"/>
      <c r="K593" s="18"/>
      <c r="L593" s="18"/>
      <c r="M593" s="18"/>
      <c r="N593" s="18"/>
      <c r="O593" s="18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>
      <c r="A594" s="1"/>
      <c r="B594" s="1"/>
      <c r="C594" s="18"/>
      <c r="D594" s="47"/>
      <c r="E594" s="18"/>
      <c r="F594" s="18"/>
      <c r="G594" s="18"/>
      <c r="H594" s="18"/>
      <c r="I594" s="25"/>
      <c r="J594" s="18"/>
      <c r="K594" s="18"/>
      <c r="L594" s="18"/>
      <c r="M594" s="18"/>
      <c r="N594" s="18"/>
      <c r="O594" s="18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>
      <c r="A595" s="1"/>
      <c r="B595" s="1"/>
      <c r="C595" s="18"/>
      <c r="D595" s="47"/>
      <c r="E595" s="18"/>
      <c r="F595" s="18"/>
      <c r="G595" s="18"/>
      <c r="H595" s="18"/>
      <c r="I595" s="25"/>
      <c r="J595" s="18"/>
      <c r="K595" s="18"/>
      <c r="L595" s="18"/>
      <c r="M595" s="18"/>
      <c r="N595" s="18"/>
      <c r="O595" s="18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>
      <c r="A596" s="1"/>
      <c r="B596" s="1"/>
      <c r="C596" s="18"/>
      <c r="D596" s="47"/>
      <c r="E596" s="18"/>
      <c r="F596" s="18"/>
      <c r="G596" s="18"/>
      <c r="H596" s="18"/>
      <c r="I596" s="25"/>
      <c r="J596" s="18"/>
      <c r="K596" s="18"/>
      <c r="L596" s="18"/>
      <c r="M596" s="18"/>
      <c r="N596" s="18"/>
      <c r="O596" s="18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>
      <c r="A597" s="1"/>
      <c r="B597" s="1"/>
      <c r="C597" s="18"/>
      <c r="D597" s="47"/>
      <c r="E597" s="18"/>
      <c r="F597" s="18"/>
      <c r="G597" s="18"/>
      <c r="H597" s="18"/>
      <c r="I597" s="25"/>
      <c r="J597" s="18"/>
      <c r="K597" s="18"/>
      <c r="L597" s="18"/>
      <c r="M597" s="18"/>
      <c r="N597" s="18"/>
      <c r="O597" s="18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>
      <c r="A598" s="1"/>
      <c r="B598" s="1"/>
      <c r="C598" s="18"/>
      <c r="D598" s="47"/>
      <c r="E598" s="18"/>
      <c r="F598" s="18"/>
      <c r="G598" s="18"/>
      <c r="H598" s="18"/>
      <c r="I598" s="25"/>
      <c r="J598" s="18"/>
      <c r="K598" s="18"/>
      <c r="L598" s="18"/>
      <c r="M598" s="18"/>
      <c r="N598" s="18"/>
      <c r="O598" s="18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>
      <c r="A599" s="1"/>
      <c r="B599" s="1"/>
      <c r="C599" s="18"/>
      <c r="D599" s="47"/>
      <c r="E599" s="18"/>
      <c r="F599" s="18"/>
      <c r="G599" s="18"/>
      <c r="H599" s="18"/>
      <c r="I599" s="25"/>
      <c r="J599" s="18"/>
      <c r="K599" s="18"/>
      <c r="L599" s="18"/>
      <c r="M599" s="18"/>
      <c r="N599" s="18"/>
      <c r="O599" s="18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>
      <c r="A600" s="1"/>
      <c r="B600" s="1"/>
      <c r="C600" s="18"/>
      <c r="D600" s="47"/>
      <c r="E600" s="18"/>
      <c r="F600" s="18"/>
      <c r="G600" s="18"/>
      <c r="H600" s="18"/>
      <c r="I600" s="25"/>
      <c r="J600" s="18"/>
      <c r="K600" s="18"/>
      <c r="L600" s="18"/>
      <c r="M600" s="18"/>
      <c r="N600" s="18"/>
      <c r="O600" s="18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>
      <c r="A601" s="1"/>
      <c r="B601" s="1"/>
      <c r="C601" s="18"/>
      <c r="D601" s="47"/>
      <c r="E601" s="18"/>
      <c r="F601" s="18"/>
      <c r="G601" s="18"/>
      <c r="H601" s="18"/>
      <c r="I601" s="25"/>
      <c r="J601" s="18"/>
      <c r="K601" s="18"/>
      <c r="L601" s="18"/>
      <c r="M601" s="18"/>
      <c r="N601" s="18"/>
      <c r="O601" s="18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>
      <c r="A602" s="1"/>
      <c r="B602" s="1"/>
      <c r="C602" s="18"/>
      <c r="D602" s="47"/>
      <c r="E602" s="18"/>
      <c r="F602" s="18"/>
      <c r="G602" s="18"/>
      <c r="H602" s="18"/>
      <c r="I602" s="25"/>
      <c r="J602" s="18"/>
      <c r="K602" s="18"/>
      <c r="L602" s="18"/>
      <c r="M602" s="18"/>
      <c r="N602" s="18"/>
      <c r="O602" s="18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>
      <c r="A603" s="1"/>
      <c r="B603" s="1"/>
      <c r="C603" s="18"/>
      <c r="D603" s="47"/>
      <c r="E603" s="18"/>
      <c r="F603" s="18"/>
      <c r="G603" s="18"/>
      <c r="H603" s="18"/>
      <c r="I603" s="25"/>
      <c r="J603" s="18"/>
      <c r="K603" s="18"/>
      <c r="L603" s="18"/>
      <c r="M603" s="18"/>
      <c r="N603" s="18"/>
      <c r="O603" s="18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>
      <c r="A604" s="1"/>
      <c r="B604" s="1"/>
      <c r="C604" s="18"/>
      <c r="D604" s="47"/>
      <c r="E604" s="18"/>
      <c r="F604" s="18"/>
      <c r="G604" s="18"/>
      <c r="H604" s="18"/>
      <c r="I604" s="25"/>
      <c r="J604" s="18"/>
      <c r="K604" s="18"/>
      <c r="L604" s="18"/>
      <c r="M604" s="18"/>
      <c r="N604" s="18"/>
      <c r="O604" s="18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>
      <c r="A605" s="1"/>
      <c r="B605" s="1"/>
      <c r="C605" s="18"/>
      <c r="D605" s="47"/>
      <c r="E605" s="18"/>
      <c r="F605" s="18"/>
      <c r="G605" s="18"/>
      <c r="H605" s="18"/>
      <c r="I605" s="25"/>
      <c r="J605" s="18"/>
      <c r="K605" s="18"/>
      <c r="L605" s="18"/>
      <c r="M605" s="18"/>
      <c r="N605" s="18"/>
      <c r="O605" s="18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>
      <c r="A606" s="1"/>
      <c r="B606" s="1"/>
      <c r="C606" s="18"/>
      <c r="D606" s="47"/>
      <c r="E606" s="18"/>
      <c r="F606" s="18"/>
      <c r="G606" s="18"/>
      <c r="H606" s="18"/>
      <c r="I606" s="25"/>
      <c r="J606" s="18"/>
      <c r="K606" s="18"/>
      <c r="L606" s="18"/>
      <c r="M606" s="18"/>
      <c r="N606" s="18"/>
      <c r="O606" s="18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>
      <c r="A607" s="1"/>
      <c r="B607" s="1"/>
      <c r="C607" s="18"/>
      <c r="D607" s="47"/>
      <c r="E607" s="18"/>
      <c r="F607" s="18"/>
      <c r="G607" s="18"/>
      <c r="H607" s="18"/>
      <c r="I607" s="25"/>
      <c r="J607" s="18"/>
      <c r="K607" s="18"/>
      <c r="L607" s="18"/>
      <c r="M607" s="18"/>
      <c r="N607" s="18"/>
      <c r="O607" s="18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>
      <c r="A608" s="1"/>
      <c r="B608" s="1"/>
      <c r="C608" s="18"/>
      <c r="D608" s="47"/>
      <c r="E608" s="18"/>
      <c r="F608" s="18"/>
      <c r="G608" s="18"/>
      <c r="H608" s="18"/>
      <c r="I608" s="25"/>
      <c r="J608" s="18"/>
      <c r="K608" s="18"/>
      <c r="L608" s="18"/>
      <c r="M608" s="18"/>
      <c r="N608" s="18"/>
      <c r="O608" s="18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>
      <c r="A609" s="1"/>
      <c r="B609" s="1"/>
      <c r="C609" s="18"/>
      <c r="D609" s="47"/>
      <c r="E609" s="18"/>
      <c r="F609" s="18"/>
      <c r="G609" s="18"/>
      <c r="H609" s="18"/>
      <c r="I609" s="25"/>
      <c r="J609" s="18"/>
      <c r="K609" s="18"/>
      <c r="L609" s="18"/>
      <c r="M609" s="18"/>
      <c r="N609" s="18"/>
      <c r="O609" s="18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>
      <c r="A610" s="1"/>
      <c r="B610" s="1"/>
      <c r="C610" s="18"/>
      <c r="D610" s="47"/>
      <c r="E610" s="18"/>
      <c r="F610" s="18"/>
      <c r="G610" s="18"/>
      <c r="H610" s="18"/>
      <c r="I610" s="25"/>
      <c r="J610" s="18"/>
      <c r="K610" s="18"/>
      <c r="L610" s="18"/>
      <c r="M610" s="18"/>
      <c r="N610" s="18"/>
      <c r="O610" s="18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>
      <c r="A611" s="1"/>
      <c r="B611" s="1"/>
      <c r="C611" s="18"/>
      <c r="D611" s="47"/>
      <c r="E611" s="18"/>
      <c r="F611" s="18"/>
      <c r="G611" s="18"/>
      <c r="H611" s="18"/>
      <c r="I611" s="25"/>
      <c r="J611" s="18"/>
      <c r="K611" s="18"/>
      <c r="L611" s="18"/>
      <c r="M611" s="18"/>
      <c r="N611" s="18"/>
      <c r="O611" s="18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>
      <c r="A612" s="1"/>
      <c r="B612" s="1"/>
      <c r="C612" s="18"/>
      <c r="D612" s="47"/>
      <c r="E612" s="18"/>
      <c r="F612" s="18"/>
      <c r="G612" s="18"/>
      <c r="H612" s="18"/>
      <c r="I612" s="25"/>
      <c r="J612" s="18"/>
      <c r="K612" s="18"/>
      <c r="L612" s="18"/>
      <c r="M612" s="18"/>
      <c r="N612" s="18"/>
      <c r="O612" s="18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>
      <c r="A613" s="1"/>
      <c r="B613" s="1"/>
      <c r="C613" s="18"/>
      <c r="D613" s="47"/>
      <c r="E613" s="18"/>
      <c r="F613" s="18"/>
      <c r="G613" s="18"/>
      <c r="H613" s="18"/>
      <c r="I613" s="25"/>
      <c r="J613" s="18"/>
      <c r="K613" s="18"/>
      <c r="L613" s="18"/>
      <c r="M613" s="18"/>
      <c r="N613" s="18"/>
      <c r="O613" s="18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>
      <c r="A614" s="1"/>
      <c r="B614" s="1"/>
      <c r="C614" s="18"/>
      <c r="D614" s="47"/>
      <c r="E614" s="18"/>
      <c r="F614" s="18"/>
      <c r="G614" s="18"/>
      <c r="H614" s="18"/>
      <c r="I614" s="25"/>
      <c r="J614" s="18"/>
      <c r="K614" s="18"/>
      <c r="L614" s="18"/>
      <c r="M614" s="18"/>
      <c r="N614" s="18"/>
      <c r="O614" s="18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>
      <c r="A615" s="1"/>
      <c r="B615" s="1"/>
      <c r="C615" s="18"/>
      <c r="D615" s="47"/>
      <c r="E615" s="18"/>
      <c r="F615" s="18"/>
      <c r="G615" s="18"/>
      <c r="H615" s="18"/>
      <c r="I615" s="25"/>
      <c r="J615" s="18"/>
      <c r="K615" s="18"/>
      <c r="L615" s="18"/>
      <c r="M615" s="18"/>
      <c r="N615" s="18"/>
      <c r="O615" s="18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>
      <c r="A616" s="1"/>
      <c r="B616" s="1"/>
      <c r="C616" s="18"/>
      <c r="D616" s="47"/>
      <c r="E616" s="18"/>
      <c r="F616" s="18"/>
      <c r="G616" s="18"/>
      <c r="H616" s="18"/>
      <c r="I616" s="25"/>
      <c r="J616" s="18"/>
      <c r="K616" s="18"/>
      <c r="L616" s="18"/>
      <c r="M616" s="18"/>
      <c r="N616" s="18"/>
      <c r="O616" s="18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>
      <c r="A617" s="1"/>
      <c r="B617" s="1"/>
      <c r="C617" s="18"/>
      <c r="D617" s="47"/>
      <c r="E617" s="18"/>
      <c r="F617" s="18"/>
      <c r="G617" s="18"/>
      <c r="H617" s="18"/>
      <c r="I617" s="25"/>
      <c r="J617" s="18"/>
      <c r="K617" s="18"/>
      <c r="L617" s="18"/>
      <c r="M617" s="18"/>
      <c r="N617" s="18"/>
      <c r="O617" s="18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>
      <c r="A618" s="1"/>
      <c r="B618" s="1"/>
      <c r="C618" s="18"/>
      <c r="D618" s="47"/>
      <c r="E618" s="18"/>
      <c r="F618" s="18"/>
      <c r="G618" s="18"/>
      <c r="H618" s="18"/>
      <c r="I618" s="25"/>
      <c r="J618" s="18"/>
      <c r="K618" s="18"/>
      <c r="L618" s="18"/>
      <c r="M618" s="18"/>
      <c r="N618" s="18"/>
      <c r="O618" s="18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>
      <c r="A619" s="1"/>
      <c r="B619" s="1"/>
      <c r="C619" s="18"/>
      <c r="D619" s="47"/>
      <c r="E619" s="18"/>
      <c r="F619" s="18"/>
      <c r="G619" s="18"/>
      <c r="H619" s="18"/>
      <c r="I619" s="25"/>
      <c r="J619" s="18"/>
      <c r="K619" s="18"/>
      <c r="L619" s="18"/>
      <c r="M619" s="18"/>
      <c r="N619" s="18"/>
      <c r="O619" s="18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>
      <c r="A620" s="1"/>
      <c r="B620" s="1"/>
      <c r="C620" s="18"/>
      <c r="D620" s="47"/>
      <c r="E620" s="18"/>
      <c r="F620" s="18"/>
      <c r="G620" s="18"/>
      <c r="H620" s="18"/>
      <c r="I620" s="25"/>
      <c r="J620" s="18"/>
      <c r="K620" s="18"/>
      <c r="L620" s="18"/>
      <c r="M620" s="18"/>
      <c r="N620" s="18"/>
      <c r="O620" s="18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>
      <c r="A621" s="1"/>
      <c r="B621" s="1"/>
      <c r="C621" s="18"/>
      <c r="D621" s="47"/>
      <c r="E621" s="18"/>
      <c r="F621" s="18"/>
      <c r="G621" s="18"/>
      <c r="H621" s="18"/>
      <c r="I621" s="25"/>
      <c r="J621" s="18"/>
      <c r="K621" s="18"/>
      <c r="L621" s="18"/>
      <c r="M621" s="18"/>
      <c r="N621" s="18"/>
      <c r="O621" s="18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>
      <c r="A622" s="1"/>
      <c r="B622" s="1"/>
      <c r="C622" s="18"/>
      <c r="D622" s="47"/>
      <c r="E622" s="18"/>
      <c r="F622" s="18"/>
      <c r="G622" s="18"/>
      <c r="H622" s="18"/>
      <c r="I622" s="25"/>
      <c r="J622" s="18"/>
      <c r="K622" s="18"/>
      <c r="L622" s="18"/>
      <c r="M622" s="18"/>
      <c r="N622" s="18"/>
      <c r="O622" s="18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>
      <c r="A623" s="1"/>
      <c r="B623" s="1"/>
      <c r="C623" s="18"/>
      <c r="D623" s="47"/>
      <c r="E623" s="18"/>
      <c r="F623" s="18"/>
      <c r="G623" s="18"/>
      <c r="H623" s="18"/>
      <c r="I623" s="25"/>
      <c r="J623" s="18"/>
      <c r="K623" s="18"/>
      <c r="L623" s="18"/>
      <c r="M623" s="18"/>
      <c r="N623" s="18"/>
      <c r="O623" s="18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>
      <c r="A624" s="1"/>
      <c r="B624" s="1"/>
      <c r="C624" s="18"/>
      <c r="D624" s="47"/>
      <c r="E624" s="18"/>
      <c r="F624" s="18"/>
      <c r="G624" s="18"/>
      <c r="H624" s="18"/>
      <c r="I624" s="25"/>
      <c r="J624" s="18"/>
      <c r="K624" s="18"/>
      <c r="L624" s="18"/>
      <c r="M624" s="18"/>
      <c r="N624" s="18"/>
      <c r="O624" s="18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>
      <c r="A625" s="1"/>
      <c r="B625" s="1"/>
      <c r="C625" s="18"/>
      <c r="D625" s="47"/>
      <c r="E625" s="18"/>
      <c r="F625" s="18"/>
      <c r="G625" s="18"/>
      <c r="H625" s="18"/>
      <c r="I625" s="25"/>
      <c r="J625" s="18"/>
      <c r="K625" s="18"/>
      <c r="L625" s="18"/>
      <c r="M625" s="18"/>
      <c r="N625" s="18"/>
      <c r="O625" s="18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>
      <c r="A626" s="1"/>
      <c r="B626" s="1"/>
      <c r="C626" s="18"/>
      <c r="D626" s="47"/>
      <c r="E626" s="18"/>
      <c r="F626" s="18"/>
      <c r="G626" s="18"/>
      <c r="H626" s="18"/>
      <c r="I626" s="25"/>
      <c r="J626" s="18"/>
      <c r="K626" s="18"/>
      <c r="L626" s="18"/>
      <c r="M626" s="18"/>
      <c r="N626" s="18"/>
      <c r="O626" s="18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>
      <c r="A627" s="1"/>
      <c r="B627" s="1"/>
      <c r="C627" s="18"/>
      <c r="D627" s="47"/>
      <c r="E627" s="18"/>
      <c r="F627" s="18"/>
      <c r="G627" s="18"/>
      <c r="H627" s="18"/>
      <c r="I627" s="25"/>
      <c r="J627" s="18"/>
      <c r="K627" s="18"/>
      <c r="L627" s="18"/>
      <c r="M627" s="18"/>
      <c r="N627" s="18"/>
      <c r="O627" s="18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>
      <c r="A628" s="1"/>
      <c r="B628" s="1"/>
      <c r="C628" s="18"/>
      <c r="D628" s="47"/>
      <c r="E628" s="18"/>
      <c r="F628" s="18"/>
      <c r="G628" s="18"/>
      <c r="H628" s="18"/>
      <c r="I628" s="25"/>
      <c r="J628" s="18"/>
      <c r="K628" s="18"/>
      <c r="L628" s="18"/>
      <c r="M628" s="18"/>
      <c r="N628" s="18"/>
      <c r="O628" s="18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>
      <c r="A629" s="1"/>
      <c r="B629" s="1"/>
      <c r="C629" s="18"/>
      <c r="D629" s="47"/>
      <c r="E629" s="18"/>
      <c r="F629" s="18"/>
      <c r="G629" s="18"/>
      <c r="H629" s="18"/>
      <c r="I629" s="25"/>
      <c r="J629" s="18"/>
      <c r="K629" s="18"/>
      <c r="L629" s="18"/>
      <c r="M629" s="18"/>
      <c r="N629" s="18"/>
      <c r="O629" s="18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>
      <c r="A630" s="1"/>
      <c r="B630" s="1"/>
      <c r="C630" s="18"/>
      <c r="D630" s="47"/>
      <c r="E630" s="18"/>
      <c r="F630" s="18"/>
      <c r="G630" s="18"/>
      <c r="H630" s="18"/>
      <c r="I630" s="25"/>
      <c r="J630" s="18"/>
      <c r="K630" s="18"/>
      <c r="L630" s="18"/>
      <c r="M630" s="18"/>
      <c r="N630" s="18"/>
      <c r="O630" s="18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>
      <c r="A631" s="1"/>
      <c r="B631" s="1"/>
      <c r="C631" s="18"/>
      <c r="D631" s="47"/>
      <c r="E631" s="18"/>
      <c r="F631" s="18"/>
      <c r="G631" s="18"/>
      <c r="H631" s="18"/>
      <c r="I631" s="25"/>
      <c r="J631" s="18"/>
      <c r="K631" s="18"/>
      <c r="L631" s="18"/>
      <c r="M631" s="18"/>
      <c r="N631" s="18"/>
      <c r="O631" s="18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>
      <c r="A632" s="1"/>
      <c r="B632" s="1"/>
      <c r="C632" s="18"/>
      <c r="D632" s="47"/>
      <c r="E632" s="18"/>
      <c r="F632" s="18"/>
      <c r="G632" s="18"/>
      <c r="H632" s="18"/>
      <c r="I632" s="25"/>
      <c r="J632" s="18"/>
      <c r="K632" s="18"/>
      <c r="L632" s="18"/>
      <c r="M632" s="18"/>
      <c r="N632" s="18"/>
      <c r="O632" s="18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>
      <c r="A633" s="1"/>
      <c r="B633" s="1"/>
      <c r="C633" s="18"/>
      <c r="D633" s="47"/>
      <c r="E633" s="18"/>
      <c r="F633" s="18"/>
      <c r="G633" s="18"/>
      <c r="H633" s="18"/>
      <c r="I633" s="25"/>
      <c r="J633" s="18"/>
      <c r="K633" s="18"/>
      <c r="L633" s="18"/>
      <c r="M633" s="18"/>
      <c r="N633" s="18"/>
      <c r="O633" s="18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>
      <c r="A634" s="1"/>
      <c r="B634" s="1"/>
      <c r="C634" s="18"/>
      <c r="D634" s="47"/>
      <c r="E634" s="18"/>
      <c r="F634" s="18"/>
      <c r="G634" s="18"/>
      <c r="H634" s="18"/>
      <c r="I634" s="25"/>
      <c r="J634" s="18"/>
      <c r="K634" s="18"/>
      <c r="L634" s="18"/>
      <c r="M634" s="18"/>
      <c r="N634" s="18"/>
      <c r="O634" s="18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>
      <c r="A635" s="1"/>
      <c r="B635" s="1"/>
      <c r="C635" s="18"/>
      <c r="D635" s="47"/>
      <c r="E635" s="18"/>
      <c r="F635" s="18"/>
      <c r="G635" s="18"/>
      <c r="H635" s="18"/>
      <c r="I635" s="25"/>
      <c r="J635" s="18"/>
      <c r="K635" s="18"/>
      <c r="L635" s="18"/>
      <c r="M635" s="18"/>
      <c r="N635" s="18"/>
      <c r="O635" s="18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>
      <c r="A636" s="1"/>
      <c r="B636" s="1"/>
      <c r="C636" s="18"/>
      <c r="D636" s="47"/>
      <c r="E636" s="18"/>
      <c r="F636" s="18"/>
      <c r="G636" s="18"/>
      <c r="H636" s="18"/>
      <c r="I636" s="25"/>
      <c r="J636" s="18"/>
      <c r="K636" s="18"/>
      <c r="L636" s="18"/>
      <c r="M636" s="18"/>
      <c r="N636" s="18"/>
      <c r="O636" s="18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>
      <c r="A637" s="1"/>
      <c r="B637" s="1"/>
      <c r="C637" s="18"/>
      <c r="D637" s="47"/>
      <c r="E637" s="18"/>
      <c r="F637" s="18"/>
      <c r="G637" s="18"/>
      <c r="H637" s="18"/>
      <c r="I637" s="25"/>
      <c r="J637" s="18"/>
      <c r="K637" s="18"/>
      <c r="L637" s="18"/>
      <c r="M637" s="18"/>
      <c r="N637" s="18"/>
      <c r="O637" s="18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>
      <c r="A638" s="1"/>
      <c r="B638" s="1"/>
      <c r="C638" s="18"/>
      <c r="D638" s="47"/>
      <c r="E638" s="18"/>
      <c r="F638" s="18"/>
      <c r="G638" s="18"/>
      <c r="H638" s="18"/>
      <c r="I638" s="25"/>
      <c r="J638" s="18"/>
      <c r="K638" s="18"/>
      <c r="L638" s="18"/>
      <c r="M638" s="18"/>
      <c r="N638" s="18"/>
      <c r="O638" s="18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>
      <c r="A639" s="1"/>
      <c r="B639" s="1"/>
      <c r="C639" s="18"/>
      <c r="D639" s="47"/>
      <c r="E639" s="18"/>
      <c r="F639" s="18"/>
      <c r="G639" s="18"/>
      <c r="H639" s="18"/>
      <c r="I639" s="25"/>
      <c r="J639" s="18"/>
      <c r="K639" s="18"/>
      <c r="L639" s="18"/>
      <c r="M639" s="18"/>
      <c r="N639" s="18"/>
      <c r="O639" s="18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>
      <c r="A640" s="1"/>
      <c r="B640" s="1"/>
      <c r="C640" s="18"/>
      <c r="D640" s="47"/>
      <c r="E640" s="18"/>
      <c r="F640" s="18"/>
      <c r="G640" s="18"/>
      <c r="H640" s="18"/>
      <c r="I640" s="25"/>
      <c r="J640" s="18"/>
      <c r="K640" s="18"/>
      <c r="L640" s="18"/>
      <c r="M640" s="18"/>
      <c r="N640" s="18"/>
      <c r="O640" s="18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>
      <c r="A641" s="1"/>
      <c r="B641" s="1"/>
      <c r="C641" s="18"/>
      <c r="D641" s="47"/>
      <c r="E641" s="18"/>
      <c r="F641" s="18"/>
      <c r="G641" s="18"/>
      <c r="H641" s="18"/>
      <c r="I641" s="25"/>
      <c r="J641" s="18"/>
      <c r="K641" s="18"/>
      <c r="L641" s="18"/>
      <c r="M641" s="18"/>
      <c r="N641" s="18"/>
      <c r="O641" s="18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>
      <c r="A642" s="1"/>
      <c r="B642" s="1"/>
      <c r="C642" s="18"/>
      <c r="D642" s="47"/>
      <c r="E642" s="18"/>
      <c r="F642" s="18"/>
      <c r="G642" s="18"/>
      <c r="H642" s="18"/>
      <c r="I642" s="25"/>
      <c r="J642" s="18"/>
      <c r="K642" s="18"/>
      <c r="L642" s="18"/>
      <c r="M642" s="18"/>
      <c r="N642" s="18"/>
      <c r="O642" s="18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>
      <c r="A643" s="1"/>
      <c r="B643" s="1"/>
      <c r="C643" s="18"/>
      <c r="D643" s="47"/>
      <c r="E643" s="18"/>
      <c r="F643" s="18"/>
      <c r="G643" s="18"/>
      <c r="H643" s="18"/>
      <c r="I643" s="25"/>
      <c r="J643" s="18"/>
      <c r="K643" s="18"/>
      <c r="L643" s="18"/>
      <c r="M643" s="18"/>
      <c r="N643" s="18"/>
      <c r="O643" s="18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>
      <c r="A644" s="1"/>
      <c r="B644" s="1"/>
      <c r="C644" s="18"/>
      <c r="D644" s="47"/>
      <c r="E644" s="18"/>
      <c r="F644" s="18"/>
      <c r="G644" s="18"/>
      <c r="H644" s="18"/>
      <c r="I644" s="25"/>
      <c r="J644" s="18"/>
      <c r="K644" s="18"/>
      <c r="L644" s="18"/>
      <c r="M644" s="18"/>
      <c r="N644" s="18"/>
      <c r="O644" s="18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>
      <c r="A645" s="1"/>
      <c r="B645" s="1"/>
      <c r="C645" s="18"/>
      <c r="D645" s="47"/>
      <c r="E645" s="18"/>
      <c r="F645" s="18"/>
      <c r="G645" s="18"/>
      <c r="H645" s="18"/>
      <c r="I645" s="25"/>
      <c r="J645" s="18"/>
      <c r="K645" s="18"/>
      <c r="L645" s="18"/>
      <c r="M645" s="18"/>
      <c r="N645" s="18"/>
      <c r="O645" s="18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>
      <c r="A646" s="1"/>
      <c r="B646" s="1"/>
      <c r="C646" s="18"/>
      <c r="D646" s="47"/>
      <c r="E646" s="18"/>
      <c r="F646" s="18"/>
      <c r="G646" s="18"/>
      <c r="H646" s="18"/>
      <c r="I646" s="25"/>
      <c r="J646" s="18"/>
      <c r="K646" s="18"/>
      <c r="L646" s="18"/>
      <c r="M646" s="18"/>
      <c r="N646" s="18"/>
      <c r="O646" s="18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>
      <c r="A647" s="1"/>
      <c r="B647" s="1"/>
      <c r="C647" s="18"/>
      <c r="D647" s="47"/>
      <c r="E647" s="18"/>
      <c r="F647" s="18"/>
      <c r="G647" s="18"/>
      <c r="H647" s="18"/>
      <c r="I647" s="25"/>
      <c r="J647" s="18"/>
      <c r="K647" s="18"/>
      <c r="L647" s="18"/>
      <c r="M647" s="18"/>
      <c r="N647" s="18"/>
      <c r="O647" s="18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>
      <c r="A648" s="1"/>
      <c r="B648" s="1"/>
      <c r="C648" s="18"/>
      <c r="D648" s="47"/>
      <c r="E648" s="18"/>
      <c r="F648" s="18"/>
      <c r="G648" s="18"/>
      <c r="H648" s="18"/>
      <c r="I648" s="25"/>
      <c r="J648" s="18"/>
      <c r="K648" s="18"/>
      <c r="L648" s="18"/>
      <c r="M648" s="18"/>
      <c r="N648" s="18"/>
      <c r="O648" s="18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>
      <c r="A649" s="1"/>
      <c r="B649" s="1"/>
      <c r="C649" s="18"/>
      <c r="D649" s="47"/>
      <c r="E649" s="18"/>
      <c r="F649" s="18"/>
      <c r="G649" s="18"/>
      <c r="H649" s="18"/>
      <c r="I649" s="25"/>
      <c r="J649" s="18"/>
      <c r="K649" s="18"/>
      <c r="L649" s="18"/>
      <c r="M649" s="18"/>
      <c r="N649" s="18"/>
      <c r="O649" s="18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>
      <c r="A650" s="1"/>
      <c r="B650" s="1"/>
      <c r="C650" s="18"/>
      <c r="D650" s="47"/>
      <c r="E650" s="18"/>
      <c r="F650" s="18"/>
      <c r="G650" s="18"/>
      <c r="H650" s="18"/>
      <c r="I650" s="25"/>
      <c r="J650" s="18"/>
      <c r="K650" s="18"/>
      <c r="L650" s="18"/>
      <c r="M650" s="18"/>
      <c r="N650" s="18"/>
      <c r="O650" s="18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>
      <c r="A651" s="1"/>
      <c r="B651" s="1"/>
      <c r="C651" s="18"/>
      <c r="D651" s="47"/>
      <c r="E651" s="18"/>
      <c r="F651" s="18"/>
      <c r="G651" s="18"/>
      <c r="H651" s="18"/>
      <c r="I651" s="25"/>
      <c r="J651" s="18"/>
      <c r="K651" s="18"/>
      <c r="L651" s="18"/>
      <c r="M651" s="18"/>
      <c r="N651" s="18"/>
      <c r="O651" s="18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>
      <c r="A652" s="1"/>
      <c r="B652" s="1"/>
      <c r="C652" s="18"/>
      <c r="D652" s="47"/>
      <c r="E652" s="18"/>
      <c r="F652" s="18"/>
      <c r="G652" s="18"/>
      <c r="H652" s="18"/>
      <c r="I652" s="25"/>
      <c r="J652" s="18"/>
      <c r="K652" s="18"/>
      <c r="L652" s="18"/>
      <c r="M652" s="18"/>
      <c r="N652" s="18"/>
      <c r="O652" s="18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>
      <c r="A653" s="1"/>
      <c r="B653" s="1"/>
      <c r="C653" s="18"/>
      <c r="D653" s="47"/>
      <c r="E653" s="18"/>
      <c r="F653" s="18"/>
      <c r="G653" s="18"/>
      <c r="H653" s="18"/>
      <c r="I653" s="25"/>
      <c r="J653" s="18"/>
      <c r="K653" s="18"/>
      <c r="L653" s="18"/>
      <c r="M653" s="18"/>
      <c r="N653" s="18"/>
      <c r="O653" s="18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>
      <c r="A654" s="1"/>
      <c r="B654" s="1"/>
      <c r="C654" s="18"/>
      <c r="D654" s="47"/>
      <c r="E654" s="18"/>
      <c r="F654" s="18"/>
      <c r="G654" s="18"/>
      <c r="H654" s="18"/>
      <c r="I654" s="25"/>
      <c r="J654" s="18"/>
      <c r="K654" s="18"/>
      <c r="L654" s="18"/>
      <c r="M654" s="18"/>
      <c r="N654" s="18"/>
      <c r="O654" s="18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>
      <c r="A655" s="1"/>
      <c r="B655" s="1"/>
      <c r="C655" s="18"/>
      <c r="D655" s="47"/>
      <c r="E655" s="18"/>
      <c r="F655" s="18"/>
      <c r="G655" s="18"/>
      <c r="H655" s="18"/>
      <c r="I655" s="25"/>
      <c r="J655" s="18"/>
      <c r="K655" s="18"/>
      <c r="L655" s="18"/>
      <c r="M655" s="18"/>
      <c r="N655" s="18"/>
      <c r="O655" s="18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>
      <c r="A656" s="1"/>
      <c r="B656" s="1"/>
      <c r="C656" s="18"/>
      <c r="D656" s="47"/>
      <c r="E656" s="18"/>
      <c r="F656" s="18"/>
      <c r="G656" s="18"/>
      <c r="H656" s="18"/>
      <c r="I656" s="25"/>
      <c r="J656" s="18"/>
      <c r="K656" s="18"/>
      <c r="L656" s="18"/>
      <c r="M656" s="18"/>
      <c r="N656" s="18"/>
      <c r="O656" s="18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>
      <c r="A657" s="1"/>
      <c r="B657" s="1"/>
      <c r="C657" s="18"/>
      <c r="D657" s="47"/>
      <c r="E657" s="18"/>
      <c r="F657" s="18"/>
      <c r="G657" s="18"/>
      <c r="H657" s="18"/>
      <c r="I657" s="25"/>
      <c r="J657" s="18"/>
      <c r="K657" s="18"/>
      <c r="L657" s="18"/>
      <c r="M657" s="18"/>
      <c r="N657" s="18"/>
      <c r="O657" s="18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>
      <c r="A658" s="1"/>
      <c r="B658" s="1"/>
      <c r="C658" s="18"/>
      <c r="D658" s="47"/>
      <c r="E658" s="18"/>
      <c r="F658" s="18"/>
      <c r="G658" s="18"/>
      <c r="H658" s="18"/>
      <c r="I658" s="25"/>
      <c r="J658" s="18"/>
      <c r="K658" s="18"/>
      <c r="L658" s="18"/>
      <c r="M658" s="18"/>
      <c r="N658" s="18"/>
      <c r="O658" s="18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>
      <c r="A659" s="1"/>
      <c r="B659" s="1"/>
      <c r="C659" s="18"/>
      <c r="D659" s="47"/>
      <c r="E659" s="18"/>
      <c r="F659" s="18"/>
      <c r="G659" s="18"/>
      <c r="H659" s="18"/>
      <c r="I659" s="25"/>
      <c r="J659" s="18"/>
      <c r="K659" s="18"/>
      <c r="L659" s="18"/>
      <c r="M659" s="18"/>
      <c r="N659" s="18"/>
      <c r="O659" s="18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>
      <c r="A660" s="1"/>
      <c r="B660" s="1"/>
      <c r="C660" s="18"/>
      <c r="D660" s="47"/>
      <c r="E660" s="18"/>
      <c r="F660" s="18"/>
      <c r="G660" s="18"/>
      <c r="H660" s="18"/>
      <c r="I660" s="25"/>
      <c r="J660" s="18"/>
      <c r="K660" s="18"/>
      <c r="L660" s="18"/>
      <c r="M660" s="18"/>
      <c r="N660" s="18"/>
      <c r="O660" s="18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>
      <c r="A661" s="1"/>
      <c r="B661" s="1"/>
      <c r="C661" s="18"/>
      <c r="D661" s="47"/>
      <c r="E661" s="18"/>
      <c r="F661" s="18"/>
      <c r="G661" s="18"/>
      <c r="H661" s="18"/>
      <c r="I661" s="25"/>
      <c r="J661" s="18"/>
      <c r="K661" s="18"/>
      <c r="L661" s="18"/>
      <c r="M661" s="18"/>
      <c r="N661" s="18"/>
      <c r="O661" s="18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>
      <c r="A662" s="1"/>
      <c r="B662" s="1"/>
      <c r="C662" s="18"/>
      <c r="D662" s="47"/>
      <c r="E662" s="18"/>
      <c r="F662" s="18"/>
      <c r="G662" s="18"/>
      <c r="H662" s="18"/>
      <c r="I662" s="25"/>
      <c r="J662" s="18"/>
      <c r="K662" s="18"/>
      <c r="L662" s="18"/>
      <c r="M662" s="18"/>
      <c r="N662" s="18"/>
      <c r="O662" s="18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>
      <c r="A663" s="1"/>
      <c r="B663" s="1"/>
      <c r="C663" s="18"/>
      <c r="D663" s="47"/>
      <c r="E663" s="18"/>
      <c r="F663" s="18"/>
      <c r="G663" s="18"/>
      <c r="H663" s="18"/>
      <c r="I663" s="25"/>
      <c r="J663" s="18"/>
      <c r="K663" s="18"/>
      <c r="L663" s="18"/>
      <c r="M663" s="18"/>
      <c r="N663" s="18"/>
      <c r="O663" s="18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>
      <c r="A664" s="1"/>
      <c r="B664" s="1"/>
      <c r="C664" s="18"/>
      <c r="D664" s="47"/>
      <c r="E664" s="18"/>
      <c r="F664" s="18"/>
      <c r="G664" s="18"/>
      <c r="H664" s="18"/>
      <c r="I664" s="25"/>
      <c r="J664" s="18"/>
      <c r="K664" s="18"/>
      <c r="L664" s="18"/>
      <c r="M664" s="18"/>
      <c r="N664" s="18"/>
      <c r="O664" s="18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>
      <c r="A665" s="1"/>
      <c r="B665" s="1"/>
      <c r="C665" s="18"/>
      <c r="D665" s="47"/>
      <c r="E665" s="18"/>
      <c r="F665" s="18"/>
      <c r="G665" s="18"/>
      <c r="H665" s="18"/>
      <c r="I665" s="25"/>
      <c r="J665" s="18"/>
      <c r="K665" s="18"/>
      <c r="L665" s="18"/>
      <c r="M665" s="18"/>
      <c r="N665" s="18"/>
      <c r="O665" s="18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>
      <c r="A666" s="1"/>
      <c r="B666" s="1"/>
      <c r="C666" s="18"/>
      <c r="D666" s="47"/>
      <c r="E666" s="18"/>
      <c r="F666" s="18"/>
      <c r="G666" s="18"/>
      <c r="H666" s="18"/>
      <c r="I666" s="25"/>
      <c r="J666" s="18"/>
      <c r="K666" s="18"/>
      <c r="L666" s="18"/>
      <c r="M666" s="18"/>
      <c r="N666" s="18"/>
      <c r="O666" s="18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>
      <c r="A667" s="1"/>
      <c r="B667" s="1"/>
      <c r="C667" s="18"/>
      <c r="D667" s="47"/>
      <c r="E667" s="18"/>
      <c r="F667" s="18"/>
      <c r="G667" s="18"/>
      <c r="H667" s="18"/>
      <c r="I667" s="25"/>
      <c r="J667" s="18"/>
      <c r="K667" s="18"/>
      <c r="L667" s="18"/>
      <c r="M667" s="18"/>
      <c r="N667" s="18"/>
      <c r="O667" s="18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>
      <c r="A668" s="1"/>
      <c r="B668" s="1"/>
      <c r="C668" s="18"/>
      <c r="D668" s="47"/>
      <c r="E668" s="18"/>
      <c r="F668" s="18"/>
      <c r="G668" s="18"/>
      <c r="H668" s="18"/>
      <c r="I668" s="25"/>
      <c r="J668" s="18"/>
      <c r="K668" s="18"/>
      <c r="L668" s="18"/>
      <c r="M668" s="18"/>
      <c r="N668" s="18"/>
      <c r="O668" s="18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>
      <c r="A669" s="1"/>
      <c r="B669" s="1"/>
      <c r="C669" s="18"/>
      <c r="D669" s="47"/>
      <c r="E669" s="18"/>
      <c r="F669" s="18"/>
      <c r="G669" s="18"/>
      <c r="H669" s="18"/>
      <c r="I669" s="25"/>
      <c r="J669" s="18"/>
      <c r="K669" s="18"/>
      <c r="L669" s="18"/>
      <c r="M669" s="18"/>
      <c r="N669" s="18"/>
      <c r="O669" s="18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>
      <c r="A670" s="1"/>
      <c r="B670" s="1"/>
      <c r="C670" s="18"/>
      <c r="D670" s="47"/>
      <c r="E670" s="18"/>
      <c r="F670" s="18"/>
      <c r="G670" s="18"/>
      <c r="H670" s="18"/>
      <c r="I670" s="25"/>
      <c r="J670" s="18"/>
      <c r="K670" s="18"/>
      <c r="L670" s="18"/>
      <c r="M670" s="18"/>
      <c r="N670" s="18"/>
      <c r="O670" s="18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>
      <c r="A671" s="1"/>
      <c r="B671" s="1"/>
      <c r="C671" s="18"/>
      <c r="D671" s="47"/>
      <c r="E671" s="18"/>
      <c r="F671" s="18"/>
      <c r="G671" s="18"/>
      <c r="H671" s="18"/>
      <c r="I671" s="25"/>
      <c r="J671" s="18"/>
      <c r="K671" s="18"/>
      <c r="L671" s="18"/>
      <c r="M671" s="18"/>
      <c r="N671" s="18"/>
      <c r="O671" s="18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>
      <c r="A672" s="1"/>
      <c r="B672" s="1"/>
      <c r="C672" s="18"/>
      <c r="D672" s="47"/>
      <c r="E672" s="18"/>
      <c r="F672" s="18"/>
      <c r="G672" s="18"/>
      <c r="H672" s="18"/>
      <c r="I672" s="25"/>
      <c r="J672" s="18"/>
      <c r="K672" s="18"/>
      <c r="L672" s="18"/>
      <c r="M672" s="18"/>
      <c r="N672" s="18"/>
      <c r="O672" s="18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>
      <c r="A673" s="1"/>
      <c r="B673" s="1"/>
      <c r="C673" s="18"/>
      <c r="D673" s="47"/>
      <c r="E673" s="18"/>
      <c r="F673" s="18"/>
      <c r="G673" s="18"/>
      <c r="H673" s="18"/>
      <c r="I673" s="25"/>
      <c r="J673" s="18"/>
      <c r="K673" s="18"/>
      <c r="L673" s="18"/>
      <c r="M673" s="18"/>
      <c r="N673" s="18"/>
      <c r="O673" s="18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>
      <c r="A674" s="1"/>
      <c r="B674" s="1"/>
      <c r="C674" s="18"/>
      <c r="D674" s="47"/>
      <c r="E674" s="18"/>
      <c r="F674" s="18"/>
      <c r="G674" s="18"/>
      <c r="H674" s="18"/>
      <c r="I674" s="25"/>
      <c r="J674" s="18"/>
      <c r="K674" s="18"/>
      <c r="L674" s="18"/>
      <c r="M674" s="18"/>
      <c r="N674" s="18"/>
      <c r="O674" s="18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>
      <c r="A675" s="1"/>
      <c r="B675" s="1"/>
      <c r="C675" s="18"/>
      <c r="D675" s="47"/>
      <c r="E675" s="18"/>
      <c r="F675" s="18"/>
      <c r="G675" s="18"/>
      <c r="H675" s="18"/>
      <c r="I675" s="25"/>
      <c r="J675" s="18"/>
      <c r="K675" s="18"/>
      <c r="L675" s="18"/>
      <c r="M675" s="18"/>
      <c r="N675" s="18"/>
      <c r="O675" s="18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>
      <c r="A676" s="1"/>
      <c r="B676" s="1"/>
      <c r="C676" s="18"/>
      <c r="D676" s="47"/>
      <c r="E676" s="18"/>
      <c r="F676" s="18"/>
      <c r="G676" s="18"/>
      <c r="H676" s="18"/>
      <c r="I676" s="25"/>
      <c r="J676" s="18"/>
      <c r="K676" s="18"/>
      <c r="L676" s="18"/>
      <c r="M676" s="18"/>
      <c r="N676" s="18"/>
      <c r="O676" s="18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>
      <c r="A677" s="1"/>
      <c r="B677" s="1"/>
      <c r="C677" s="18"/>
      <c r="D677" s="47"/>
      <c r="E677" s="18"/>
      <c r="F677" s="18"/>
      <c r="G677" s="18"/>
      <c r="H677" s="18"/>
      <c r="I677" s="25"/>
      <c r="J677" s="18"/>
      <c r="K677" s="18"/>
      <c r="L677" s="18"/>
      <c r="M677" s="18"/>
      <c r="N677" s="18"/>
      <c r="O677" s="18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>
      <c r="A678" s="1"/>
      <c r="B678" s="1"/>
      <c r="C678" s="18"/>
      <c r="D678" s="47"/>
      <c r="E678" s="18"/>
      <c r="F678" s="18"/>
      <c r="G678" s="18"/>
      <c r="H678" s="18"/>
      <c r="I678" s="25"/>
      <c r="J678" s="18"/>
      <c r="K678" s="18"/>
      <c r="L678" s="18"/>
      <c r="M678" s="18"/>
      <c r="N678" s="18"/>
      <c r="O678" s="18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>
      <c r="A679" s="1"/>
      <c r="B679" s="1"/>
      <c r="C679" s="18"/>
      <c r="D679" s="47"/>
      <c r="E679" s="18"/>
      <c r="F679" s="18"/>
      <c r="G679" s="18"/>
      <c r="H679" s="18"/>
      <c r="I679" s="25"/>
      <c r="J679" s="18"/>
      <c r="K679" s="18"/>
      <c r="L679" s="18"/>
      <c r="M679" s="18"/>
      <c r="N679" s="18"/>
      <c r="O679" s="18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>
      <c r="A680" s="1"/>
      <c r="B680" s="1"/>
      <c r="C680" s="18"/>
      <c r="D680" s="47"/>
      <c r="E680" s="18"/>
      <c r="F680" s="18"/>
      <c r="G680" s="18"/>
      <c r="H680" s="18"/>
      <c r="I680" s="25"/>
      <c r="J680" s="18"/>
      <c r="K680" s="18"/>
      <c r="L680" s="18"/>
      <c r="M680" s="18"/>
      <c r="N680" s="18"/>
      <c r="O680" s="18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>
      <c r="A681" s="1"/>
      <c r="B681" s="1"/>
      <c r="C681" s="18"/>
      <c r="D681" s="47"/>
      <c r="E681" s="18"/>
      <c r="F681" s="18"/>
      <c r="G681" s="18"/>
      <c r="H681" s="18"/>
      <c r="I681" s="25"/>
      <c r="J681" s="18"/>
      <c r="K681" s="18"/>
      <c r="L681" s="18"/>
      <c r="M681" s="18"/>
      <c r="N681" s="18"/>
      <c r="O681" s="18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>
      <c r="A682" s="1"/>
      <c r="B682" s="1"/>
      <c r="C682" s="18"/>
      <c r="D682" s="47"/>
      <c r="E682" s="18"/>
      <c r="F682" s="18"/>
      <c r="G682" s="18"/>
      <c r="H682" s="18"/>
      <c r="I682" s="25"/>
      <c r="J682" s="18"/>
      <c r="K682" s="18"/>
      <c r="L682" s="18"/>
      <c r="M682" s="18"/>
      <c r="N682" s="18"/>
      <c r="O682" s="18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>
      <c r="A683" s="1"/>
      <c r="B683" s="1"/>
      <c r="C683" s="18"/>
      <c r="D683" s="47"/>
      <c r="E683" s="18"/>
      <c r="F683" s="18"/>
      <c r="G683" s="18"/>
      <c r="H683" s="18"/>
      <c r="I683" s="25"/>
      <c r="J683" s="18"/>
      <c r="K683" s="18"/>
      <c r="L683" s="18"/>
      <c r="M683" s="18"/>
      <c r="N683" s="18"/>
      <c r="O683" s="18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>
      <c r="A684" s="1"/>
      <c r="B684" s="1"/>
      <c r="C684" s="18"/>
      <c r="D684" s="47"/>
      <c r="E684" s="18"/>
      <c r="F684" s="18"/>
      <c r="G684" s="18"/>
      <c r="H684" s="18"/>
      <c r="I684" s="25"/>
      <c r="J684" s="18"/>
      <c r="K684" s="18"/>
      <c r="L684" s="18"/>
      <c r="M684" s="18"/>
      <c r="N684" s="18"/>
      <c r="O684" s="18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>
      <c r="A685" s="1"/>
      <c r="B685" s="1"/>
      <c r="C685" s="18"/>
      <c r="D685" s="47"/>
      <c r="E685" s="18"/>
      <c r="F685" s="18"/>
      <c r="G685" s="18"/>
      <c r="H685" s="18"/>
      <c r="I685" s="25"/>
      <c r="J685" s="18"/>
      <c r="K685" s="18"/>
      <c r="L685" s="18"/>
      <c r="M685" s="18"/>
      <c r="N685" s="18"/>
      <c r="O685" s="18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>
      <c r="A686" s="1"/>
      <c r="B686" s="1"/>
      <c r="C686" s="18"/>
      <c r="D686" s="47"/>
      <c r="E686" s="18"/>
      <c r="F686" s="18"/>
      <c r="G686" s="18"/>
      <c r="H686" s="18"/>
      <c r="I686" s="25"/>
      <c r="J686" s="18"/>
      <c r="K686" s="18"/>
      <c r="L686" s="18"/>
      <c r="M686" s="18"/>
      <c r="N686" s="18"/>
      <c r="O686" s="18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>
      <c r="A687" s="1"/>
      <c r="B687" s="1"/>
      <c r="C687" s="18"/>
      <c r="D687" s="47"/>
      <c r="E687" s="18"/>
      <c r="F687" s="18"/>
      <c r="G687" s="18"/>
      <c r="H687" s="18"/>
      <c r="I687" s="25"/>
      <c r="J687" s="18"/>
      <c r="K687" s="18"/>
      <c r="L687" s="18"/>
      <c r="M687" s="18"/>
      <c r="N687" s="18"/>
      <c r="O687" s="18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>
      <c r="A688" s="1"/>
      <c r="B688" s="1"/>
      <c r="C688" s="18"/>
      <c r="D688" s="47"/>
      <c r="E688" s="18"/>
      <c r="F688" s="18"/>
      <c r="G688" s="18"/>
      <c r="H688" s="18"/>
      <c r="I688" s="25"/>
      <c r="J688" s="18"/>
      <c r="K688" s="18"/>
      <c r="L688" s="18"/>
      <c r="M688" s="18"/>
      <c r="N688" s="18"/>
      <c r="O688" s="18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>
      <c r="A689" s="1"/>
      <c r="B689" s="1"/>
      <c r="C689" s="18"/>
      <c r="D689" s="47"/>
      <c r="E689" s="18"/>
      <c r="F689" s="18"/>
      <c r="G689" s="18"/>
      <c r="H689" s="18"/>
      <c r="I689" s="25"/>
      <c r="J689" s="18"/>
      <c r="K689" s="18"/>
      <c r="L689" s="18"/>
      <c r="M689" s="18"/>
      <c r="N689" s="18"/>
      <c r="O689" s="18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>
      <c r="A690" s="1"/>
      <c r="B690" s="1"/>
      <c r="C690" s="18"/>
      <c r="D690" s="47"/>
      <c r="E690" s="18"/>
      <c r="F690" s="18"/>
      <c r="G690" s="18"/>
      <c r="H690" s="18"/>
      <c r="I690" s="25"/>
      <c r="J690" s="18"/>
      <c r="K690" s="18"/>
      <c r="L690" s="18"/>
      <c r="M690" s="18"/>
      <c r="N690" s="18"/>
      <c r="O690" s="18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>
      <c r="A691" s="1"/>
      <c r="B691" s="1"/>
      <c r="C691" s="18"/>
      <c r="D691" s="47"/>
      <c r="E691" s="18"/>
      <c r="F691" s="18"/>
      <c r="G691" s="18"/>
      <c r="H691" s="18"/>
      <c r="I691" s="25"/>
      <c r="J691" s="18"/>
      <c r="K691" s="18"/>
      <c r="L691" s="18"/>
      <c r="M691" s="18"/>
      <c r="N691" s="18"/>
      <c r="O691" s="18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>
      <c r="A692" s="1"/>
      <c r="B692" s="1"/>
      <c r="C692" s="18"/>
      <c r="D692" s="47"/>
      <c r="E692" s="18"/>
      <c r="F692" s="18"/>
      <c r="G692" s="18"/>
      <c r="H692" s="18"/>
      <c r="I692" s="25"/>
      <c r="J692" s="18"/>
      <c r="K692" s="18"/>
      <c r="L692" s="18"/>
      <c r="M692" s="18"/>
      <c r="N692" s="18"/>
      <c r="O692" s="18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>
      <c r="A693" s="1"/>
      <c r="B693" s="1"/>
      <c r="C693" s="18"/>
      <c r="D693" s="47"/>
      <c r="E693" s="18"/>
      <c r="F693" s="18"/>
      <c r="G693" s="18"/>
      <c r="H693" s="18"/>
      <c r="I693" s="25"/>
      <c r="J693" s="18"/>
      <c r="K693" s="18"/>
      <c r="L693" s="18"/>
      <c r="M693" s="18"/>
      <c r="N693" s="18"/>
      <c r="O693" s="18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>
      <c r="A694" s="1"/>
      <c r="B694" s="1"/>
      <c r="C694" s="18"/>
      <c r="D694" s="47"/>
      <c r="E694" s="18"/>
      <c r="F694" s="18"/>
      <c r="G694" s="18"/>
      <c r="H694" s="18"/>
      <c r="I694" s="25"/>
      <c r="J694" s="18"/>
      <c r="K694" s="18"/>
      <c r="L694" s="18"/>
      <c r="M694" s="18"/>
      <c r="N694" s="18"/>
      <c r="O694" s="18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>
      <c r="A695" s="1"/>
      <c r="B695" s="1"/>
      <c r="C695" s="18"/>
      <c r="D695" s="47"/>
      <c r="E695" s="18"/>
      <c r="F695" s="18"/>
      <c r="G695" s="18"/>
      <c r="H695" s="18"/>
      <c r="I695" s="25"/>
      <c r="J695" s="18"/>
      <c r="K695" s="18"/>
      <c r="L695" s="18"/>
      <c r="M695" s="18"/>
      <c r="N695" s="18"/>
      <c r="O695" s="18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>
      <c r="A696" s="1"/>
      <c r="B696" s="1"/>
      <c r="C696" s="18"/>
      <c r="D696" s="47"/>
      <c r="E696" s="18"/>
      <c r="F696" s="18"/>
      <c r="G696" s="18"/>
      <c r="H696" s="18"/>
      <c r="I696" s="25"/>
      <c r="J696" s="18"/>
      <c r="K696" s="18"/>
      <c r="L696" s="18"/>
      <c r="M696" s="18"/>
      <c r="N696" s="18"/>
      <c r="O696" s="18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>
      <c r="A697" s="1"/>
      <c r="B697" s="1"/>
      <c r="C697" s="18"/>
      <c r="D697" s="47"/>
      <c r="E697" s="18"/>
      <c r="F697" s="18"/>
      <c r="G697" s="18"/>
      <c r="H697" s="18"/>
      <c r="I697" s="25"/>
      <c r="J697" s="18"/>
      <c r="K697" s="18"/>
      <c r="L697" s="18"/>
      <c r="M697" s="18"/>
      <c r="N697" s="18"/>
      <c r="O697" s="18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>
      <c r="A698" s="1"/>
      <c r="B698" s="1"/>
      <c r="C698" s="18"/>
      <c r="D698" s="47"/>
      <c r="E698" s="18"/>
      <c r="F698" s="18"/>
      <c r="G698" s="18"/>
      <c r="H698" s="18"/>
      <c r="I698" s="25"/>
      <c r="J698" s="18"/>
      <c r="K698" s="18"/>
      <c r="L698" s="18"/>
      <c r="M698" s="18"/>
      <c r="N698" s="18"/>
      <c r="O698" s="18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>
      <c r="A699" s="1"/>
      <c r="B699" s="1"/>
      <c r="C699" s="18"/>
      <c r="D699" s="47"/>
      <c r="E699" s="18"/>
      <c r="F699" s="18"/>
      <c r="G699" s="18"/>
      <c r="H699" s="18"/>
      <c r="I699" s="25"/>
      <c r="J699" s="18"/>
      <c r="K699" s="18"/>
      <c r="L699" s="18"/>
      <c r="M699" s="18"/>
      <c r="N699" s="18"/>
      <c r="O699" s="18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>
      <c r="A700" s="1"/>
      <c r="B700" s="1"/>
      <c r="C700" s="18"/>
      <c r="D700" s="47"/>
      <c r="E700" s="18"/>
      <c r="F700" s="18"/>
      <c r="G700" s="18"/>
      <c r="H700" s="18"/>
      <c r="I700" s="25"/>
      <c r="J700" s="18"/>
      <c r="K700" s="18"/>
      <c r="L700" s="18"/>
      <c r="M700" s="18"/>
      <c r="N700" s="18"/>
      <c r="O700" s="18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>
      <c r="A701" s="1"/>
      <c r="B701" s="1"/>
      <c r="C701" s="18"/>
      <c r="D701" s="47"/>
      <c r="E701" s="18"/>
      <c r="F701" s="18"/>
      <c r="G701" s="18"/>
      <c r="H701" s="18"/>
      <c r="I701" s="25"/>
      <c r="J701" s="18"/>
      <c r="K701" s="18"/>
      <c r="L701" s="18"/>
      <c r="M701" s="18"/>
      <c r="N701" s="18"/>
      <c r="O701" s="18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>
      <c r="A702" s="1"/>
      <c r="B702" s="1"/>
      <c r="C702" s="18"/>
      <c r="D702" s="47"/>
      <c r="E702" s="18"/>
      <c r="F702" s="18"/>
      <c r="G702" s="18"/>
      <c r="H702" s="18"/>
      <c r="I702" s="25"/>
      <c r="J702" s="18"/>
      <c r="K702" s="18"/>
      <c r="L702" s="18"/>
      <c r="M702" s="18"/>
      <c r="N702" s="18"/>
      <c r="O702" s="18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>
      <c r="A703" s="1"/>
      <c r="B703" s="1"/>
      <c r="C703" s="18"/>
      <c r="D703" s="47"/>
      <c r="E703" s="18"/>
      <c r="F703" s="18"/>
      <c r="G703" s="18"/>
      <c r="H703" s="18"/>
      <c r="I703" s="25"/>
      <c r="J703" s="18"/>
      <c r="K703" s="18"/>
      <c r="L703" s="18"/>
      <c r="M703" s="18"/>
      <c r="N703" s="18"/>
      <c r="O703" s="18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>
      <c r="A704" s="1"/>
      <c r="B704" s="1"/>
      <c r="C704" s="18"/>
      <c r="D704" s="47"/>
      <c r="E704" s="18"/>
      <c r="F704" s="18"/>
      <c r="G704" s="18"/>
      <c r="H704" s="18"/>
      <c r="I704" s="25"/>
      <c r="J704" s="18"/>
      <c r="K704" s="18"/>
      <c r="L704" s="18"/>
      <c r="M704" s="18"/>
      <c r="N704" s="18"/>
      <c r="O704" s="18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>
      <c r="A705" s="1"/>
      <c r="B705" s="1"/>
      <c r="C705" s="18"/>
      <c r="D705" s="47"/>
      <c r="E705" s="18"/>
      <c r="F705" s="18"/>
      <c r="G705" s="18"/>
      <c r="H705" s="18"/>
      <c r="I705" s="25"/>
      <c r="J705" s="18"/>
      <c r="K705" s="18"/>
      <c r="L705" s="18"/>
      <c r="M705" s="18"/>
      <c r="N705" s="18"/>
      <c r="O705" s="18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>
      <c r="A706" s="1"/>
      <c r="B706" s="1"/>
      <c r="C706" s="18"/>
      <c r="D706" s="47"/>
      <c r="E706" s="18"/>
      <c r="F706" s="18"/>
      <c r="G706" s="18"/>
      <c r="H706" s="18"/>
      <c r="I706" s="25"/>
      <c r="J706" s="18"/>
      <c r="K706" s="18"/>
      <c r="L706" s="18"/>
      <c r="M706" s="18"/>
      <c r="N706" s="18"/>
      <c r="O706" s="18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>
      <c r="A707" s="1"/>
      <c r="B707" s="1"/>
      <c r="C707" s="18"/>
      <c r="D707" s="47"/>
      <c r="E707" s="18"/>
      <c r="F707" s="18"/>
      <c r="G707" s="18"/>
      <c r="H707" s="18"/>
      <c r="I707" s="25"/>
      <c r="J707" s="18"/>
      <c r="K707" s="18"/>
      <c r="L707" s="18"/>
      <c r="M707" s="18"/>
      <c r="N707" s="18"/>
      <c r="O707" s="18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>
      <c r="A708" s="1"/>
      <c r="B708" s="1"/>
      <c r="C708" s="18"/>
      <c r="D708" s="47"/>
      <c r="E708" s="18"/>
      <c r="F708" s="18"/>
      <c r="G708" s="18"/>
      <c r="H708" s="18"/>
      <c r="I708" s="25"/>
      <c r="J708" s="18"/>
      <c r="K708" s="18"/>
      <c r="L708" s="18"/>
      <c r="M708" s="18"/>
      <c r="N708" s="18"/>
      <c r="O708" s="18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>
      <c r="A709" s="1"/>
      <c r="B709" s="1"/>
      <c r="C709" s="18"/>
      <c r="D709" s="47"/>
      <c r="E709" s="18"/>
      <c r="F709" s="18"/>
      <c r="G709" s="18"/>
      <c r="H709" s="18"/>
      <c r="I709" s="25"/>
      <c r="J709" s="18"/>
      <c r="K709" s="18"/>
      <c r="L709" s="18"/>
      <c r="M709" s="18"/>
      <c r="N709" s="18"/>
      <c r="O709" s="18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>
      <c r="A710" s="1"/>
      <c r="B710" s="1"/>
      <c r="C710" s="18"/>
      <c r="D710" s="47"/>
      <c r="E710" s="18"/>
      <c r="F710" s="18"/>
      <c r="G710" s="18"/>
      <c r="H710" s="18"/>
      <c r="I710" s="25"/>
      <c r="J710" s="18"/>
      <c r="K710" s="18"/>
      <c r="L710" s="18"/>
      <c r="M710" s="18"/>
      <c r="N710" s="18"/>
      <c r="O710" s="18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>
      <c r="A711" s="1"/>
      <c r="B711" s="1"/>
      <c r="C711" s="18"/>
      <c r="D711" s="47"/>
      <c r="E711" s="18"/>
      <c r="F711" s="18"/>
      <c r="G711" s="18"/>
      <c r="H711" s="18"/>
      <c r="I711" s="25"/>
      <c r="J711" s="18"/>
      <c r="K711" s="18"/>
      <c r="L711" s="18"/>
      <c r="M711" s="18"/>
      <c r="N711" s="18"/>
      <c r="O711" s="18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>
      <c r="A712" s="1"/>
      <c r="B712" s="1"/>
      <c r="C712" s="18"/>
      <c r="D712" s="47"/>
      <c r="E712" s="18"/>
      <c r="F712" s="18"/>
      <c r="G712" s="18"/>
      <c r="H712" s="18"/>
      <c r="I712" s="25"/>
      <c r="J712" s="18"/>
      <c r="K712" s="18"/>
      <c r="L712" s="18"/>
      <c r="M712" s="18"/>
      <c r="N712" s="18"/>
      <c r="O712" s="18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>
      <c r="A713" s="1"/>
      <c r="B713" s="1"/>
      <c r="C713" s="18"/>
      <c r="D713" s="47"/>
      <c r="E713" s="18"/>
      <c r="F713" s="18"/>
      <c r="G713" s="18"/>
      <c r="H713" s="18"/>
      <c r="I713" s="25"/>
      <c r="J713" s="18"/>
      <c r="K713" s="18"/>
      <c r="L713" s="18"/>
      <c r="M713" s="18"/>
      <c r="N713" s="18"/>
      <c r="O713" s="18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>
      <c r="A714" s="1"/>
      <c r="B714" s="1"/>
      <c r="C714" s="18"/>
      <c r="D714" s="47"/>
      <c r="E714" s="18"/>
      <c r="F714" s="18"/>
      <c r="G714" s="18"/>
      <c r="H714" s="18"/>
      <c r="I714" s="25"/>
      <c r="J714" s="18"/>
      <c r="K714" s="18"/>
      <c r="L714" s="18"/>
      <c r="M714" s="18"/>
      <c r="N714" s="18"/>
      <c r="O714" s="18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>
      <c r="A715" s="1"/>
      <c r="B715" s="1"/>
      <c r="C715" s="18"/>
      <c r="D715" s="47"/>
      <c r="E715" s="18"/>
      <c r="F715" s="18"/>
      <c r="G715" s="18"/>
      <c r="H715" s="18"/>
      <c r="I715" s="25"/>
      <c r="J715" s="18"/>
      <c r="K715" s="18"/>
      <c r="L715" s="18"/>
      <c r="M715" s="18"/>
      <c r="N715" s="18"/>
      <c r="O715" s="18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>
      <c r="A716" s="1"/>
      <c r="B716" s="1"/>
      <c r="C716" s="18"/>
      <c r="D716" s="47"/>
      <c r="E716" s="18"/>
      <c r="F716" s="18"/>
      <c r="G716" s="18"/>
      <c r="H716" s="18"/>
      <c r="I716" s="25"/>
      <c r="J716" s="18"/>
      <c r="K716" s="18"/>
      <c r="L716" s="18"/>
      <c r="M716" s="18"/>
      <c r="N716" s="18"/>
      <c r="O716" s="18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>
      <c r="A717" s="1"/>
      <c r="B717" s="1"/>
      <c r="C717" s="18"/>
      <c r="D717" s="47"/>
      <c r="E717" s="18"/>
      <c r="F717" s="18"/>
      <c r="G717" s="18"/>
      <c r="H717" s="18"/>
      <c r="I717" s="25"/>
      <c r="J717" s="18"/>
      <c r="K717" s="18"/>
      <c r="L717" s="18"/>
      <c r="M717" s="18"/>
      <c r="N717" s="18"/>
      <c r="O717" s="18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>
      <c r="A718" s="1"/>
      <c r="B718" s="1"/>
      <c r="C718" s="18"/>
      <c r="D718" s="47"/>
      <c r="E718" s="18"/>
      <c r="F718" s="18"/>
      <c r="G718" s="18"/>
      <c r="H718" s="18"/>
      <c r="I718" s="25"/>
      <c r="J718" s="18"/>
      <c r="K718" s="18"/>
      <c r="L718" s="18"/>
      <c r="M718" s="18"/>
      <c r="N718" s="18"/>
      <c r="O718" s="18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>
      <c r="A719" s="1"/>
      <c r="B719" s="1"/>
      <c r="C719" s="18"/>
      <c r="D719" s="47"/>
      <c r="E719" s="18"/>
      <c r="F719" s="18"/>
      <c r="G719" s="18"/>
      <c r="H719" s="18"/>
      <c r="I719" s="25"/>
      <c r="J719" s="18"/>
      <c r="K719" s="18"/>
      <c r="L719" s="18"/>
      <c r="M719" s="18"/>
      <c r="N719" s="18"/>
      <c r="O719" s="18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>
      <c r="A720" s="1"/>
      <c r="B720" s="1"/>
      <c r="C720" s="18"/>
      <c r="D720" s="47"/>
      <c r="E720" s="18"/>
      <c r="F720" s="18"/>
      <c r="G720" s="18"/>
      <c r="H720" s="18"/>
      <c r="I720" s="25"/>
      <c r="J720" s="18"/>
      <c r="K720" s="18"/>
      <c r="L720" s="18"/>
      <c r="M720" s="18"/>
      <c r="N720" s="18"/>
      <c r="O720" s="18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>
      <c r="A721" s="1"/>
      <c r="B721" s="1"/>
      <c r="C721" s="18"/>
      <c r="D721" s="47"/>
      <c r="E721" s="18"/>
      <c r="F721" s="18"/>
      <c r="G721" s="18"/>
      <c r="H721" s="18"/>
      <c r="I721" s="25"/>
      <c r="J721" s="18"/>
      <c r="K721" s="18"/>
      <c r="L721" s="18"/>
      <c r="M721" s="18"/>
      <c r="N721" s="18"/>
      <c r="O721" s="18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>
      <c r="A722" s="1"/>
      <c r="B722" s="1"/>
      <c r="C722" s="18"/>
      <c r="D722" s="47"/>
      <c r="E722" s="18"/>
      <c r="F722" s="18"/>
      <c r="G722" s="18"/>
      <c r="H722" s="18"/>
      <c r="I722" s="25"/>
      <c r="J722" s="18"/>
      <c r="K722" s="18"/>
      <c r="L722" s="18"/>
      <c r="M722" s="18"/>
      <c r="N722" s="18"/>
      <c r="O722" s="18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>
      <c r="A723" s="1"/>
      <c r="B723" s="1"/>
      <c r="C723" s="18"/>
      <c r="D723" s="47"/>
      <c r="E723" s="18"/>
      <c r="F723" s="18"/>
      <c r="G723" s="18"/>
      <c r="H723" s="18"/>
      <c r="I723" s="25"/>
      <c r="J723" s="18"/>
      <c r="K723" s="18"/>
      <c r="L723" s="18"/>
      <c r="M723" s="18"/>
      <c r="N723" s="18"/>
      <c r="O723" s="18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>
      <c r="A724" s="1"/>
      <c r="B724" s="1"/>
      <c r="C724" s="18"/>
      <c r="D724" s="47"/>
      <c r="E724" s="18"/>
      <c r="F724" s="18"/>
      <c r="G724" s="18"/>
      <c r="H724" s="18"/>
      <c r="I724" s="25"/>
      <c r="J724" s="18"/>
      <c r="K724" s="18"/>
      <c r="L724" s="18"/>
      <c r="M724" s="18"/>
      <c r="N724" s="18"/>
      <c r="O724" s="18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>
      <c r="A725" s="1"/>
      <c r="B725" s="1"/>
      <c r="C725" s="18"/>
      <c r="D725" s="47"/>
      <c r="E725" s="18"/>
      <c r="F725" s="18"/>
      <c r="G725" s="18"/>
      <c r="H725" s="18"/>
      <c r="I725" s="25"/>
      <c r="J725" s="18"/>
      <c r="K725" s="18"/>
      <c r="L725" s="18"/>
      <c r="M725" s="18"/>
      <c r="N725" s="18"/>
      <c r="O725" s="18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>
      <c r="A726" s="1"/>
      <c r="B726" s="1"/>
      <c r="C726" s="18"/>
      <c r="D726" s="47"/>
      <c r="E726" s="18"/>
      <c r="F726" s="18"/>
      <c r="G726" s="18"/>
      <c r="H726" s="18"/>
      <c r="I726" s="25"/>
      <c r="J726" s="18"/>
      <c r="K726" s="18"/>
      <c r="L726" s="18"/>
      <c r="M726" s="18"/>
      <c r="N726" s="18"/>
      <c r="O726" s="18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>
      <c r="A727" s="1"/>
      <c r="B727" s="1"/>
      <c r="C727" s="18"/>
      <c r="D727" s="47"/>
      <c r="E727" s="18"/>
      <c r="F727" s="18"/>
      <c r="G727" s="18"/>
      <c r="H727" s="18"/>
      <c r="I727" s="25"/>
      <c r="J727" s="18"/>
      <c r="K727" s="18"/>
      <c r="L727" s="18"/>
      <c r="M727" s="18"/>
      <c r="N727" s="18"/>
      <c r="O727" s="18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>
      <c r="A728" s="1"/>
      <c r="B728" s="1"/>
      <c r="C728" s="18"/>
      <c r="D728" s="47"/>
      <c r="E728" s="18"/>
      <c r="F728" s="18"/>
      <c r="G728" s="18"/>
      <c r="H728" s="18"/>
      <c r="I728" s="25"/>
      <c r="J728" s="18"/>
      <c r="K728" s="18"/>
      <c r="L728" s="18"/>
      <c r="M728" s="18"/>
      <c r="N728" s="18"/>
      <c r="O728" s="18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>
      <c r="A729" s="1"/>
      <c r="B729" s="1"/>
      <c r="C729" s="18"/>
      <c r="D729" s="47"/>
      <c r="E729" s="18"/>
      <c r="F729" s="18"/>
      <c r="G729" s="18"/>
      <c r="H729" s="18"/>
      <c r="I729" s="25"/>
      <c r="J729" s="18"/>
      <c r="K729" s="18"/>
      <c r="L729" s="18"/>
      <c r="M729" s="18"/>
      <c r="N729" s="18"/>
      <c r="O729" s="18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>
      <c r="A730" s="1"/>
      <c r="B730" s="1"/>
      <c r="C730" s="18"/>
      <c r="D730" s="47"/>
      <c r="E730" s="18"/>
      <c r="F730" s="18"/>
      <c r="G730" s="18"/>
      <c r="H730" s="18"/>
      <c r="I730" s="25"/>
      <c r="J730" s="18"/>
      <c r="K730" s="18"/>
      <c r="L730" s="18"/>
      <c r="M730" s="18"/>
      <c r="N730" s="18"/>
      <c r="O730" s="18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>
      <c r="A731" s="1"/>
      <c r="B731" s="1"/>
      <c r="C731" s="18"/>
      <c r="D731" s="47"/>
      <c r="E731" s="18"/>
      <c r="F731" s="18"/>
      <c r="G731" s="18"/>
      <c r="H731" s="18"/>
      <c r="I731" s="25"/>
      <c r="J731" s="18"/>
      <c r="K731" s="18"/>
      <c r="L731" s="18"/>
      <c r="M731" s="18"/>
      <c r="N731" s="18"/>
      <c r="O731" s="18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>
      <c r="A732" s="1"/>
      <c r="B732" s="1"/>
      <c r="C732" s="18"/>
      <c r="D732" s="47"/>
      <c r="E732" s="18"/>
      <c r="F732" s="18"/>
      <c r="G732" s="18"/>
      <c r="H732" s="18"/>
      <c r="I732" s="25"/>
      <c r="J732" s="18"/>
      <c r="K732" s="18"/>
      <c r="L732" s="18"/>
      <c r="M732" s="18"/>
      <c r="N732" s="18"/>
      <c r="O732" s="18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>
      <c r="A733" s="1"/>
      <c r="B733" s="1"/>
      <c r="C733" s="18"/>
      <c r="D733" s="47"/>
      <c r="E733" s="18"/>
      <c r="F733" s="18"/>
      <c r="G733" s="18"/>
      <c r="H733" s="18"/>
      <c r="I733" s="25"/>
      <c r="J733" s="18"/>
      <c r="K733" s="18"/>
      <c r="L733" s="18"/>
      <c r="M733" s="18"/>
      <c r="N733" s="18"/>
      <c r="O733" s="18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>
      <c r="A734" s="1"/>
      <c r="B734" s="1"/>
      <c r="C734" s="18"/>
      <c r="D734" s="47"/>
      <c r="E734" s="18"/>
      <c r="F734" s="18"/>
      <c r="G734" s="18"/>
      <c r="H734" s="18"/>
      <c r="I734" s="25"/>
      <c r="J734" s="18"/>
      <c r="K734" s="18"/>
      <c r="L734" s="18"/>
      <c r="M734" s="18"/>
      <c r="N734" s="18"/>
      <c r="O734" s="18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>
      <c r="A735" s="1"/>
      <c r="B735" s="1"/>
      <c r="C735" s="18"/>
      <c r="D735" s="47"/>
      <c r="E735" s="18"/>
      <c r="F735" s="18"/>
      <c r="G735" s="18"/>
      <c r="H735" s="18"/>
      <c r="I735" s="25"/>
      <c r="J735" s="18"/>
      <c r="K735" s="18"/>
      <c r="L735" s="18"/>
      <c r="M735" s="18"/>
      <c r="N735" s="18"/>
      <c r="O735" s="18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>
      <c r="A736" s="1"/>
      <c r="B736" s="1"/>
      <c r="C736" s="18"/>
      <c r="D736" s="47"/>
      <c r="E736" s="18"/>
      <c r="F736" s="18"/>
      <c r="G736" s="18"/>
      <c r="H736" s="18"/>
      <c r="I736" s="25"/>
      <c r="J736" s="18"/>
      <c r="K736" s="18"/>
      <c r="L736" s="18"/>
      <c r="M736" s="18"/>
      <c r="N736" s="18"/>
      <c r="O736" s="18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>
      <c r="A737" s="1"/>
      <c r="B737" s="1"/>
      <c r="C737" s="18"/>
      <c r="D737" s="47"/>
      <c r="E737" s="18"/>
      <c r="F737" s="18"/>
      <c r="G737" s="18"/>
      <c r="H737" s="18"/>
      <c r="I737" s="25"/>
      <c r="J737" s="18"/>
      <c r="K737" s="18"/>
      <c r="L737" s="18"/>
      <c r="M737" s="18"/>
      <c r="N737" s="18"/>
      <c r="O737" s="18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>
      <c r="A738" s="1"/>
      <c r="B738" s="1"/>
      <c r="C738" s="18"/>
      <c r="D738" s="47"/>
      <c r="E738" s="18"/>
      <c r="F738" s="18"/>
      <c r="G738" s="18"/>
      <c r="H738" s="18"/>
      <c r="I738" s="25"/>
      <c r="J738" s="18"/>
      <c r="K738" s="18"/>
      <c r="L738" s="18"/>
      <c r="M738" s="18"/>
      <c r="N738" s="18"/>
      <c r="O738" s="18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>
      <c r="A739" s="1"/>
      <c r="B739" s="1"/>
      <c r="C739" s="18"/>
      <c r="D739" s="47"/>
      <c r="E739" s="18"/>
      <c r="F739" s="18"/>
      <c r="G739" s="18"/>
      <c r="H739" s="18"/>
      <c r="I739" s="25"/>
      <c r="J739" s="18"/>
      <c r="K739" s="18"/>
      <c r="L739" s="18"/>
      <c r="M739" s="18"/>
      <c r="N739" s="18"/>
      <c r="O739" s="18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>
      <c r="A740" s="1"/>
      <c r="B740" s="1"/>
      <c r="C740" s="18"/>
      <c r="D740" s="47"/>
      <c r="E740" s="18"/>
      <c r="F740" s="18"/>
      <c r="G740" s="18"/>
      <c r="H740" s="18"/>
      <c r="I740" s="25"/>
      <c r="J740" s="18"/>
      <c r="K740" s="18"/>
      <c r="L740" s="18"/>
      <c r="M740" s="18"/>
      <c r="N740" s="18"/>
      <c r="O740" s="18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>
      <c r="A741" s="1"/>
      <c r="B741" s="1"/>
      <c r="C741" s="18"/>
      <c r="D741" s="47"/>
      <c r="E741" s="18"/>
      <c r="F741" s="18"/>
      <c r="G741" s="18"/>
      <c r="H741" s="18"/>
      <c r="I741" s="25"/>
      <c r="J741" s="18"/>
      <c r="K741" s="18"/>
      <c r="L741" s="18"/>
      <c r="M741" s="18"/>
      <c r="N741" s="18"/>
      <c r="O741" s="18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>
      <c r="A742" s="1"/>
      <c r="B742" s="1"/>
      <c r="C742" s="18"/>
      <c r="D742" s="47"/>
      <c r="E742" s="18"/>
      <c r="F742" s="18"/>
      <c r="G742" s="18"/>
      <c r="H742" s="18"/>
      <c r="I742" s="25"/>
      <c r="J742" s="18"/>
      <c r="K742" s="18"/>
      <c r="L742" s="18"/>
      <c r="M742" s="18"/>
      <c r="N742" s="18"/>
      <c r="O742" s="18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>
      <c r="A743" s="1"/>
      <c r="B743" s="1"/>
      <c r="C743" s="18"/>
      <c r="D743" s="47"/>
      <c r="E743" s="18"/>
      <c r="F743" s="18"/>
      <c r="G743" s="18"/>
      <c r="H743" s="18"/>
      <c r="I743" s="25"/>
      <c r="J743" s="18"/>
      <c r="K743" s="18"/>
      <c r="L743" s="18"/>
      <c r="M743" s="18"/>
      <c r="N743" s="18"/>
      <c r="O743" s="18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>
      <c r="A744" s="1"/>
      <c r="B744" s="1"/>
      <c r="C744" s="18"/>
      <c r="D744" s="47"/>
      <c r="E744" s="18"/>
      <c r="F744" s="18"/>
      <c r="G744" s="18"/>
      <c r="H744" s="18"/>
      <c r="I744" s="25"/>
      <c r="J744" s="18"/>
      <c r="K744" s="18"/>
      <c r="L744" s="18"/>
      <c r="M744" s="18"/>
      <c r="N744" s="18"/>
      <c r="O744" s="18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>
      <c r="A745" s="1"/>
      <c r="B745" s="1"/>
      <c r="C745" s="18"/>
      <c r="D745" s="47"/>
      <c r="E745" s="18"/>
      <c r="F745" s="18"/>
      <c r="G745" s="18"/>
      <c r="H745" s="18"/>
      <c r="I745" s="25"/>
      <c r="J745" s="18"/>
      <c r="K745" s="18"/>
      <c r="L745" s="18"/>
      <c r="M745" s="18"/>
      <c r="N745" s="18"/>
      <c r="O745" s="18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>
      <c r="A746" s="1"/>
      <c r="B746" s="1"/>
      <c r="C746" s="18"/>
      <c r="D746" s="47"/>
      <c r="E746" s="18"/>
      <c r="F746" s="18"/>
      <c r="G746" s="18"/>
      <c r="H746" s="18"/>
      <c r="I746" s="25"/>
      <c r="J746" s="18"/>
      <c r="K746" s="18"/>
      <c r="L746" s="18"/>
      <c r="M746" s="18"/>
      <c r="N746" s="18"/>
      <c r="O746" s="18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>
      <c r="A747" s="1"/>
      <c r="B747" s="1"/>
      <c r="C747" s="18"/>
      <c r="D747" s="47"/>
      <c r="E747" s="18"/>
      <c r="F747" s="18"/>
      <c r="G747" s="18"/>
      <c r="H747" s="18"/>
      <c r="I747" s="25"/>
      <c r="J747" s="18"/>
      <c r="K747" s="18"/>
      <c r="L747" s="18"/>
      <c r="M747" s="18"/>
      <c r="N747" s="18"/>
      <c r="O747" s="18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>
      <c r="A748" s="1"/>
      <c r="B748" s="1"/>
      <c r="C748" s="18"/>
      <c r="D748" s="47"/>
      <c r="E748" s="18"/>
      <c r="F748" s="18"/>
      <c r="G748" s="18"/>
      <c r="H748" s="18"/>
      <c r="I748" s="25"/>
      <c r="J748" s="18"/>
      <c r="K748" s="18"/>
      <c r="L748" s="18"/>
      <c r="M748" s="18"/>
      <c r="N748" s="18"/>
      <c r="O748" s="18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>
      <c r="A749" s="1"/>
      <c r="B749" s="1"/>
      <c r="C749" s="18"/>
      <c r="D749" s="47"/>
      <c r="E749" s="18"/>
      <c r="F749" s="18"/>
      <c r="G749" s="18"/>
      <c r="H749" s="18"/>
      <c r="I749" s="25"/>
      <c r="J749" s="18"/>
      <c r="K749" s="18"/>
      <c r="L749" s="18"/>
      <c r="M749" s="18"/>
      <c r="N749" s="18"/>
      <c r="O749" s="18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>
      <c r="A750" s="1"/>
      <c r="B750" s="1"/>
      <c r="C750" s="18"/>
      <c r="D750" s="47"/>
      <c r="E750" s="18"/>
      <c r="F750" s="18"/>
      <c r="G750" s="18"/>
      <c r="H750" s="18"/>
      <c r="I750" s="25"/>
      <c r="J750" s="18"/>
      <c r="K750" s="18"/>
      <c r="L750" s="18"/>
      <c r="M750" s="18"/>
      <c r="N750" s="18"/>
      <c r="O750" s="18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>
      <c r="A751" s="1"/>
      <c r="B751" s="1"/>
      <c r="C751" s="18"/>
      <c r="D751" s="47"/>
      <c r="E751" s="18"/>
      <c r="F751" s="18"/>
      <c r="G751" s="18"/>
      <c r="H751" s="18"/>
      <c r="I751" s="25"/>
      <c r="J751" s="18"/>
      <c r="K751" s="18"/>
      <c r="L751" s="18"/>
      <c r="M751" s="18"/>
      <c r="N751" s="18"/>
      <c r="O751" s="18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>
      <c r="A752" s="1"/>
      <c r="B752" s="1"/>
      <c r="C752" s="18"/>
      <c r="D752" s="47"/>
      <c r="E752" s="18"/>
      <c r="F752" s="18"/>
      <c r="G752" s="18"/>
      <c r="H752" s="18"/>
      <c r="I752" s="25"/>
      <c r="J752" s="18"/>
      <c r="K752" s="18"/>
      <c r="L752" s="18"/>
      <c r="M752" s="18"/>
      <c r="N752" s="18"/>
      <c r="O752" s="18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>
      <c r="A753" s="1"/>
      <c r="B753" s="1"/>
      <c r="C753" s="18"/>
      <c r="D753" s="47"/>
      <c r="E753" s="18"/>
      <c r="F753" s="18"/>
      <c r="G753" s="18"/>
      <c r="H753" s="18"/>
      <c r="I753" s="25"/>
      <c r="J753" s="18"/>
      <c r="K753" s="18"/>
      <c r="L753" s="18"/>
      <c r="M753" s="18"/>
      <c r="N753" s="18"/>
      <c r="O753" s="18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>
      <c r="A754" s="1"/>
      <c r="B754" s="1"/>
      <c r="C754" s="18"/>
      <c r="D754" s="47"/>
      <c r="E754" s="18"/>
      <c r="F754" s="18"/>
      <c r="G754" s="18"/>
      <c r="H754" s="18"/>
      <c r="I754" s="25"/>
      <c r="J754" s="18"/>
      <c r="K754" s="18"/>
      <c r="L754" s="18"/>
      <c r="M754" s="18"/>
      <c r="N754" s="18"/>
      <c r="O754" s="18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>
      <c r="A755" s="1"/>
      <c r="B755" s="1"/>
      <c r="C755" s="18"/>
      <c r="D755" s="47"/>
      <c r="E755" s="18"/>
      <c r="F755" s="18"/>
      <c r="G755" s="18"/>
      <c r="H755" s="18"/>
      <c r="I755" s="25"/>
      <c r="J755" s="18"/>
      <c r="K755" s="18"/>
      <c r="L755" s="18"/>
      <c r="M755" s="18"/>
      <c r="N755" s="18"/>
      <c r="O755" s="18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>
      <c r="A756" s="1"/>
      <c r="B756" s="1"/>
      <c r="C756" s="18"/>
      <c r="D756" s="47"/>
      <c r="E756" s="18"/>
      <c r="F756" s="18"/>
      <c r="G756" s="18"/>
      <c r="H756" s="18"/>
      <c r="I756" s="25"/>
      <c r="J756" s="18"/>
      <c r="K756" s="18"/>
      <c r="L756" s="18"/>
      <c r="M756" s="18"/>
      <c r="N756" s="18"/>
      <c r="O756" s="18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>
      <c r="A757" s="1"/>
      <c r="B757" s="1"/>
      <c r="C757" s="18"/>
      <c r="D757" s="47"/>
      <c r="E757" s="18"/>
      <c r="F757" s="18"/>
      <c r="G757" s="18"/>
      <c r="H757" s="18"/>
      <c r="I757" s="25"/>
      <c r="J757" s="18"/>
      <c r="K757" s="18"/>
      <c r="L757" s="18"/>
      <c r="M757" s="18"/>
      <c r="N757" s="18"/>
      <c r="O757" s="18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>
      <c r="A758" s="1"/>
      <c r="B758" s="1"/>
      <c r="C758" s="18"/>
      <c r="D758" s="47"/>
      <c r="E758" s="18"/>
      <c r="F758" s="18"/>
      <c r="G758" s="18"/>
      <c r="H758" s="18"/>
      <c r="I758" s="25"/>
      <c r="J758" s="18"/>
      <c r="K758" s="18"/>
      <c r="L758" s="18"/>
      <c r="M758" s="18"/>
      <c r="N758" s="18"/>
      <c r="O758" s="18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>
      <c r="A759" s="1"/>
      <c r="B759" s="1"/>
      <c r="C759" s="18"/>
      <c r="D759" s="47"/>
      <c r="E759" s="18"/>
      <c r="F759" s="18"/>
      <c r="G759" s="18"/>
      <c r="H759" s="18"/>
      <c r="I759" s="25"/>
      <c r="J759" s="18"/>
      <c r="K759" s="18"/>
      <c r="L759" s="18"/>
      <c r="M759" s="18"/>
      <c r="N759" s="18"/>
      <c r="O759" s="18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>
      <c r="A760" s="1"/>
      <c r="B760" s="1"/>
      <c r="C760" s="18"/>
      <c r="D760" s="47"/>
      <c r="E760" s="18"/>
      <c r="F760" s="18"/>
      <c r="G760" s="18"/>
      <c r="H760" s="18"/>
      <c r="I760" s="25"/>
      <c r="J760" s="18"/>
      <c r="K760" s="18"/>
      <c r="L760" s="18"/>
      <c r="M760" s="18"/>
      <c r="N760" s="18"/>
      <c r="O760" s="18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>
      <c r="A761" s="1"/>
      <c r="B761" s="1"/>
      <c r="C761" s="18"/>
      <c r="D761" s="47"/>
      <c r="E761" s="18"/>
      <c r="F761" s="18"/>
      <c r="G761" s="18"/>
      <c r="H761" s="18"/>
      <c r="I761" s="25"/>
      <c r="J761" s="18"/>
      <c r="K761" s="18"/>
      <c r="L761" s="18"/>
      <c r="M761" s="18"/>
      <c r="N761" s="18"/>
      <c r="O761" s="18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>
      <c r="A762" s="1"/>
      <c r="B762" s="1"/>
      <c r="C762" s="18"/>
      <c r="D762" s="47"/>
      <c r="E762" s="18"/>
      <c r="F762" s="18"/>
      <c r="G762" s="18"/>
      <c r="H762" s="18"/>
      <c r="I762" s="25"/>
      <c r="J762" s="18"/>
      <c r="K762" s="18"/>
      <c r="L762" s="18"/>
      <c r="M762" s="18"/>
      <c r="N762" s="18"/>
      <c r="O762" s="18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>
      <c r="A763" s="1"/>
      <c r="B763" s="1"/>
      <c r="C763" s="18"/>
      <c r="D763" s="47"/>
      <c r="E763" s="18"/>
      <c r="F763" s="18"/>
      <c r="G763" s="18"/>
      <c r="H763" s="18"/>
      <c r="I763" s="25"/>
      <c r="J763" s="18"/>
      <c r="K763" s="18"/>
      <c r="L763" s="18"/>
      <c r="M763" s="18"/>
      <c r="N763" s="18"/>
      <c r="O763" s="18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>
      <c r="A764" s="1"/>
      <c r="B764" s="1"/>
      <c r="C764" s="18"/>
      <c r="D764" s="47"/>
      <c r="E764" s="18"/>
      <c r="F764" s="18"/>
      <c r="G764" s="18"/>
      <c r="H764" s="18"/>
      <c r="I764" s="25"/>
      <c r="J764" s="18"/>
      <c r="K764" s="18"/>
      <c r="L764" s="18"/>
      <c r="M764" s="18"/>
      <c r="N764" s="18"/>
      <c r="O764" s="18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>
      <c r="A765" s="1"/>
      <c r="B765" s="1"/>
      <c r="C765" s="18"/>
      <c r="D765" s="47"/>
      <c r="E765" s="18"/>
      <c r="F765" s="18"/>
      <c r="G765" s="18"/>
      <c r="H765" s="18"/>
      <c r="I765" s="25"/>
      <c r="J765" s="18"/>
      <c r="K765" s="18"/>
      <c r="L765" s="18"/>
      <c r="M765" s="18"/>
      <c r="N765" s="18"/>
      <c r="O765" s="18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>
      <c r="A766" s="1"/>
      <c r="B766" s="1"/>
      <c r="C766" s="18"/>
      <c r="D766" s="47"/>
      <c r="E766" s="18"/>
      <c r="F766" s="18"/>
      <c r="G766" s="18"/>
      <c r="H766" s="18"/>
      <c r="I766" s="25"/>
      <c r="J766" s="18"/>
      <c r="K766" s="18"/>
      <c r="L766" s="18"/>
      <c r="M766" s="18"/>
      <c r="N766" s="18"/>
      <c r="O766" s="18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>
      <c r="A767" s="1"/>
      <c r="B767" s="1"/>
      <c r="C767" s="18"/>
      <c r="D767" s="47"/>
      <c r="E767" s="18"/>
      <c r="F767" s="18"/>
      <c r="G767" s="18"/>
      <c r="H767" s="18"/>
      <c r="I767" s="25"/>
      <c r="J767" s="18"/>
      <c r="K767" s="18"/>
      <c r="L767" s="18"/>
      <c r="M767" s="18"/>
      <c r="N767" s="18"/>
      <c r="O767" s="18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>
      <c r="A768" s="1"/>
      <c r="B768" s="1"/>
      <c r="C768" s="18"/>
      <c r="D768" s="47"/>
      <c r="E768" s="18"/>
      <c r="F768" s="18"/>
      <c r="G768" s="18"/>
      <c r="H768" s="18"/>
      <c r="I768" s="25"/>
      <c r="J768" s="18"/>
      <c r="K768" s="18"/>
      <c r="L768" s="18"/>
      <c r="M768" s="18"/>
      <c r="N768" s="18"/>
      <c r="O768" s="18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>
      <c r="A769" s="1"/>
      <c r="B769" s="1"/>
      <c r="C769" s="18"/>
      <c r="D769" s="47"/>
      <c r="E769" s="18"/>
      <c r="F769" s="18"/>
      <c r="G769" s="18"/>
      <c r="H769" s="18"/>
      <c r="I769" s="25"/>
      <c r="J769" s="18"/>
      <c r="K769" s="18"/>
      <c r="L769" s="18"/>
      <c r="M769" s="18"/>
      <c r="N769" s="18"/>
      <c r="O769" s="18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>
      <c r="A770" s="1"/>
      <c r="B770" s="1"/>
      <c r="C770" s="18"/>
      <c r="D770" s="47"/>
      <c r="E770" s="18"/>
      <c r="F770" s="18"/>
      <c r="G770" s="18"/>
      <c r="H770" s="18"/>
      <c r="I770" s="25"/>
      <c r="J770" s="18"/>
      <c r="K770" s="18"/>
      <c r="L770" s="18"/>
      <c r="M770" s="18"/>
      <c r="N770" s="18"/>
      <c r="O770" s="18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>
      <c r="A771" s="1"/>
      <c r="B771" s="1"/>
      <c r="C771" s="18"/>
      <c r="D771" s="47"/>
      <c r="E771" s="18"/>
      <c r="F771" s="18"/>
      <c r="G771" s="18"/>
      <c r="H771" s="18"/>
      <c r="I771" s="25"/>
      <c r="J771" s="18"/>
      <c r="K771" s="18"/>
      <c r="L771" s="18"/>
      <c r="M771" s="18"/>
      <c r="N771" s="18"/>
      <c r="O771" s="18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>
      <c r="A772" s="1"/>
      <c r="B772" s="1"/>
      <c r="C772" s="18"/>
      <c r="D772" s="47"/>
      <c r="E772" s="18"/>
      <c r="F772" s="18"/>
      <c r="G772" s="18"/>
      <c r="H772" s="18"/>
      <c r="I772" s="25"/>
      <c r="J772" s="18"/>
      <c r="K772" s="18"/>
      <c r="L772" s="18"/>
      <c r="M772" s="18"/>
      <c r="N772" s="18"/>
      <c r="O772" s="18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>
      <c r="A773" s="1"/>
      <c r="B773" s="1"/>
      <c r="C773" s="18"/>
      <c r="D773" s="47"/>
      <c r="E773" s="18"/>
      <c r="F773" s="18"/>
      <c r="G773" s="18"/>
      <c r="H773" s="18"/>
      <c r="I773" s="25"/>
      <c r="J773" s="18"/>
      <c r="K773" s="18"/>
      <c r="L773" s="18"/>
      <c r="M773" s="18"/>
      <c r="N773" s="18"/>
      <c r="O773" s="18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>
      <c r="A774" s="1"/>
      <c r="B774" s="1"/>
      <c r="C774" s="18"/>
      <c r="D774" s="47"/>
      <c r="E774" s="18"/>
      <c r="F774" s="18"/>
      <c r="G774" s="18"/>
      <c r="H774" s="18"/>
      <c r="I774" s="25"/>
      <c r="J774" s="18"/>
      <c r="K774" s="18"/>
      <c r="L774" s="18"/>
      <c r="M774" s="18"/>
      <c r="N774" s="18"/>
      <c r="O774" s="18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>
      <c r="A775" s="1"/>
      <c r="B775" s="1"/>
      <c r="C775" s="18"/>
      <c r="D775" s="47"/>
      <c r="E775" s="18"/>
      <c r="F775" s="18"/>
      <c r="G775" s="18"/>
      <c r="H775" s="18"/>
      <c r="I775" s="25"/>
      <c r="J775" s="18"/>
      <c r="K775" s="18"/>
      <c r="L775" s="18"/>
      <c r="M775" s="18"/>
      <c r="N775" s="18"/>
      <c r="O775" s="18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>
      <c r="A776" s="1"/>
      <c r="B776" s="1"/>
      <c r="C776" s="18"/>
      <c r="D776" s="47"/>
      <c r="E776" s="18"/>
      <c r="F776" s="18"/>
      <c r="G776" s="18"/>
      <c r="H776" s="18"/>
      <c r="I776" s="25"/>
      <c r="J776" s="18"/>
      <c r="K776" s="18"/>
      <c r="L776" s="18"/>
      <c r="M776" s="18"/>
      <c r="N776" s="18"/>
      <c r="O776" s="18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>
      <c r="A777" s="1"/>
      <c r="B777" s="1"/>
      <c r="C777" s="18"/>
      <c r="D777" s="47"/>
      <c r="E777" s="18"/>
      <c r="F777" s="18"/>
      <c r="G777" s="18"/>
      <c r="H777" s="18"/>
      <c r="I777" s="25"/>
      <c r="J777" s="18"/>
      <c r="K777" s="18"/>
      <c r="L777" s="18"/>
      <c r="M777" s="18"/>
      <c r="N777" s="18"/>
      <c r="O777" s="18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>
      <c r="A778" s="1"/>
      <c r="B778" s="1"/>
      <c r="C778" s="18"/>
      <c r="D778" s="47"/>
      <c r="E778" s="18"/>
      <c r="F778" s="18"/>
      <c r="G778" s="18"/>
      <c r="H778" s="18"/>
      <c r="I778" s="25"/>
      <c r="J778" s="18"/>
      <c r="K778" s="18"/>
      <c r="L778" s="18"/>
      <c r="M778" s="18"/>
      <c r="N778" s="18"/>
      <c r="O778" s="18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>
      <c r="A779" s="1"/>
      <c r="B779" s="1"/>
      <c r="C779" s="18"/>
      <c r="D779" s="47"/>
      <c r="E779" s="18"/>
      <c r="F779" s="18"/>
      <c r="G779" s="18"/>
      <c r="H779" s="18"/>
      <c r="I779" s="25"/>
      <c r="J779" s="18"/>
      <c r="K779" s="18"/>
      <c r="L779" s="18"/>
      <c r="M779" s="18"/>
      <c r="N779" s="18"/>
      <c r="O779" s="18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>
      <c r="A780" s="1"/>
      <c r="B780" s="1"/>
      <c r="C780" s="18"/>
      <c r="D780" s="47"/>
      <c r="E780" s="18"/>
      <c r="F780" s="18"/>
      <c r="G780" s="18"/>
      <c r="H780" s="18"/>
      <c r="I780" s="25"/>
      <c r="J780" s="18"/>
      <c r="K780" s="18"/>
      <c r="L780" s="18"/>
      <c r="M780" s="18"/>
      <c r="N780" s="18"/>
      <c r="O780" s="18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>
      <c r="A781" s="1"/>
      <c r="B781" s="1"/>
      <c r="C781" s="18"/>
      <c r="D781" s="47"/>
      <c r="E781" s="18"/>
      <c r="F781" s="18"/>
      <c r="G781" s="18"/>
      <c r="H781" s="18"/>
      <c r="I781" s="25"/>
      <c r="J781" s="18"/>
      <c r="K781" s="18"/>
      <c r="L781" s="18"/>
      <c r="M781" s="18"/>
      <c r="N781" s="18"/>
      <c r="O781" s="18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>
      <c r="A782" s="1"/>
      <c r="B782" s="1"/>
      <c r="C782" s="18"/>
      <c r="D782" s="47"/>
      <c r="E782" s="18"/>
      <c r="F782" s="18"/>
      <c r="G782" s="18"/>
      <c r="H782" s="18"/>
      <c r="I782" s="25"/>
      <c r="J782" s="18"/>
      <c r="K782" s="18"/>
      <c r="L782" s="18"/>
      <c r="M782" s="18"/>
      <c r="N782" s="18"/>
      <c r="O782" s="18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>
      <c r="A783" s="1"/>
      <c r="B783" s="1"/>
      <c r="C783" s="18"/>
      <c r="D783" s="47"/>
      <c r="E783" s="18"/>
      <c r="F783" s="18"/>
      <c r="G783" s="18"/>
      <c r="H783" s="18"/>
      <c r="I783" s="25"/>
      <c r="J783" s="18"/>
      <c r="K783" s="18"/>
      <c r="L783" s="18"/>
      <c r="M783" s="18"/>
      <c r="N783" s="18"/>
      <c r="O783" s="18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>
      <c r="A784" s="1"/>
      <c r="B784" s="1"/>
      <c r="C784" s="18"/>
      <c r="D784" s="47"/>
      <c r="E784" s="18"/>
      <c r="F784" s="18"/>
      <c r="G784" s="18"/>
      <c r="H784" s="18"/>
      <c r="I784" s="25"/>
      <c r="J784" s="18"/>
      <c r="K784" s="18"/>
      <c r="L784" s="18"/>
      <c r="M784" s="18"/>
      <c r="N784" s="18"/>
      <c r="O784" s="18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>
      <c r="A785" s="1"/>
      <c r="B785" s="1"/>
      <c r="C785" s="18"/>
      <c r="D785" s="47"/>
      <c r="E785" s="18"/>
      <c r="F785" s="18"/>
      <c r="G785" s="18"/>
      <c r="H785" s="18"/>
      <c r="I785" s="25"/>
      <c r="J785" s="18"/>
      <c r="K785" s="18"/>
      <c r="L785" s="18"/>
      <c r="M785" s="18"/>
      <c r="N785" s="18"/>
      <c r="O785" s="18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>
      <c r="A786" s="1"/>
      <c r="B786" s="1"/>
      <c r="C786" s="18"/>
      <c r="D786" s="47"/>
      <c r="E786" s="18"/>
      <c r="F786" s="18"/>
      <c r="G786" s="18"/>
      <c r="H786" s="18"/>
      <c r="I786" s="25"/>
      <c r="J786" s="18"/>
      <c r="K786" s="18"/>
      <c r="L786" s="18"/>
      <c r="M786" s="18"/>
      <c r="N786" s="18"/>
      <c r="O786" s="18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>
      <c r="A787" s="1"/>
      <c r="B787" s="1"/>
      <c r="C787" s="18"/>
      <c r="D787" s="47"/>
      <c r="E787" s="18"/>
      <c r="F787" s="18"/>
      <c r="G787" s="18"/>
      <c r="H787" s="18"/>
      <c r="I787" s="25"/>
      <c r="J787" s="18"/>
      <c r="K787" s="18"/>
      <c r="L787" s="18"/>
      <c r="M787" s="18"/>
      <c r="N787" s="18"/>
      <c r="O787" s="18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>
      <c r="A788" s="1"/>
      <c r="B788" s="1"/>
      <c r="C788" s="18"/>
      <c r="D788" s="47"/>
      <c r="E788" s="18"/>
      <c r="F788" s="18"/>
      <c r="G788" s="18"/>
      <c r="H788" s="18"/>
      <c r="I788" s="25"/>
      <c r="J788" s="18"/>
      <c r="K788" s="18"/>
      <c r="L788" s="18"/>
      <c r="M788" s="18"/>
      <c r="N788" s="18"/>
      <c r="O788" s="18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>
      <c r="A789" s="1"/>
      <c r="B789" s="1"/>
      <c r="C789" s="18"/>
      <c r="D789" s="47"/>
      <c r="E789" s="18"/>
      <c r="F789" s="18"/>
      <c r="G789" s="18"/>
      <c r="H789" s="18"/>
      <c r="I789" s="25"/>
      <c r="J789" s="18"/>
      <c r="K789" s="18"/>
      <c r="L789" s="18"/>
      <c r="M789" s="18"/>
      <c r="N789" s="18"/>
      <c r="O789" s="18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>
      <c r="A790" s="1"/>
      <c r="B790" s="1"/>
      <c r="C790" s="18"/>
      <c r="D790" s="47"/>
      <c r="E790" s="18"/>
      <c r="F790" s="18"/>
      <c r="G790" s="18"/>
      <c r="H790" s="18"/>
      <c r="I790" s="25"/>
      <c r="J790" s="18"/>
      <c r="K790" s="18"/>
      <c r="L790" s="18"/>
      <c r="M790" s="18"/>
      <c r="N790" s="18"/>
      <c r="O790" s="18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>
      <c r="A791" s="1"/>
      <c r="B791" s="1"/>
      <c r="C791" s="18"/>
      <c r="D791" s="47"/>
      <c r="E791" s="18"/>
      <c r="F791" s="18"/>
      <c r="G791" s="18"/>
      <c r="H791" s="18"/>
      <c r="I791" s="25"/>
      <c r="J791" s="18"/>
      <c r="K791" s="18"/>
      <c r="L791" s="18"/>
      <c r="M791" s="18"/>
      <c r="N791" s="18"/>
      <c r="O791" s="18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>
      <c r="A792" s="1"/>
      <c r="B792" s="1"/>
      <c r="C792" s="18"/>
      <c r="D792" s="47"/>
      <c r="E792" s="18"/>
      <c r="F792" s="18"/>
      <c r="G792" s="18"/>
      <c r="H792" s="18"/>
      <c r="I792" s="25"/>
      <c r="J792" s="18"/>
      <c r="K792" s="18"/>
      <c r="L792" s="18"/>
      <c r="M792" s="18"/>
      <c r="N792" s="18"/>
      <c r="O792" s="18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>
      <c r="A793" s="1"/>
      <c r="B793" s="1"/>
      <c r="C793" s="18"/>
      <c r="D793" s="47"/>
      <c r="E793" s="18"/>
      <c r="F793" s="18"/>
      <c r="G793" s="18"/>
      <c r="H793" s="18"/>
      <c r="I793" s="25"/>
      <c r="J793" s="18"/>
      <c r="K793" s="18"/>
      <c r="L793" s="18"/>
      <c r="M793" s="18"/>
      <c r="N793" s="18"/>
      <c r="O793" s="18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>
      <c r="A794" s="1"/>
      <c r="B794" s="1"/>
      <c r="C794" s="18"/>
      <c r="D794" s="47"/>
      <c r="E794" s="18"/>
      <c r="F794" s="18"/>
      <c r="G794" s="18"/>
      <c r="H794" s="18"/>
      <c r="I794" s="25"/>
      <c r="J794" s="18"/>
      <c r="K794" s="18"/>
      <c r="L794" s="18"/>
      <c r="M794" s="18"/>
      <c r="N794" s="18"/>
      <c r="O794" s="18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>
      <c r="A795" s="1"/>
      <c r="B795" s="1"/>
      <c r="C795" s="18"/>
      <c r="D795" s="47"/>
      <c r="E795" s="18"/>
      <c r="F795" s="18"/>
      <c r="G795" s="18"/>
      <c r="H795" s="18"/>
      <c r="I795" s="25"/>
      <c r="J795" s="18"/>
      <c r="K795" s="18"/>
      <c r="L795" s="18"/>
      <c r="M795" s="18"/>
      <c r="N795" s="18"/>
      <c r="O795" s="18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>
      <c r="A796" s="1"/>
      <c r="B796" s="1"/>
      <c r="C796" s="18"/>
      <c r="D796" s="47"/>
      <c r="E796" s="18"/>
      <c r="F796" s="18"/>
      <c r="G796" s="18"/>
      <c r="H796" s="18"/>
      <c r="I796" s="25"/>
      <c r="J796" s="18"/>
      <c r="K796" s="18"/>
      <c r="L796" s="18"/>
      <c r="M796" s="18"/>
      <c r="N796" s="18"/>
      <c r="O796" s="18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>
      <c r="A797" s="1"/>
      <c r="B797" s="1"/>
      <c r="C797" s="18"/>
      <c r="D797" s="47"/>
      <c r="E797" s="18"/>
      <c r="F797" s="18"/>
      <c r="G797" s="18"/>
      <c r="H797" s="18"/>
      <c r="I797" s="25"/>
      <c r="J797" s="18"/>
      <c r="K797" s="18"/>
      <c r="L797" s="18"/>
      <c r="M797" s="18"/>
      <c r="N797" s="18"/>
      <c r="O797" s="18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>
      <c r="A798" s="1"/>
      <c r="B798" s="1"/>
      <c r="C798" s="18"/>
      <c r="D798" s="47"/>
      <c r="E798" s="18"/>
      <c r="F798" s="18"/>
      <c r="G798" s="18"/>
      <c r="H798" s="18"/>
      <c r="I798" s="25"/>
      <c r="J798" s="18"/>
      <c r="K798" s="18"/>
      <c r="L798" s="18"/>
      <c r="M798" s="18"/>
      <c r="N798" s="18"/>
      <c r="O798" s="18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>
      <c r="A799" s="1"/>
      <c r="B799" s="1"/>
      <c r="C799" s="18"/>
      <c r="D799" s="47"/>
      <c r="E799" s="18"/>
      <c r="F799" s="18"/>
      <c r="G799" s="18"/>
      <c r="H799" s="18"/>
      <c r="I799" s="25"/>
      <c r="J799" s="18"/>
      <c r="K799" s="18"/>
      <c r="L799" s="18"/>
      <c r="M799" s="18"/>
      <c r="N799" s="18"/>
      <c r="O799" s="18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>
      <c r="A800" s="1"/>
      <c r="B800" s="1"/>
      <c r="C800" s="18"/>
      <c r="D800" s="47"/>
      <c r="E800" s="18"/>
      <c r="F800" s="18"/>
      <c r="G800" s="18"/>
      <c r="H800" s="18"/>
      <c r="I800" s="25"/>
      <c r="J800" s="18"/>
      <c r="K800" s="18"/>
      <c r="L800" s="18"/>
      <c r="M800" s="18"/>
      <c r="N800" s="18"/>
      <c r="O800" s="18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>
      <c r="A801" s="1"/>
      <c r="B801" s="1"/>
      <c r="C801" s="18"/>
      <c r="D801" s="47"/>
      <c r="E801" s="18"/>
      <c r="F801" s="18"/>
      <c r="G801" s="18"/>
      <c r="H801" s="18"/>
      <c r="I801" s="25"/>
      <c r="J801" s="18"/>
      <c r="K801" s="18"/>
      <c r="L801" s="18"/>
      <c r="M801" s="18"/>
      <c r="N801" s="18"/>
      <c r="O801" s="18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>
      <c r="A802" s="1"/>
      <c r="B802" s="1"/>
      <c r="C802" s="18"/>
      <c r="D802" s="47"/>
      <c r="E802" s="18"/>
      <c r="F802" s="18"/>
      <c r="G802" s="18"/>
      <c r="H802" s="18"/>
      <c r="I802" s="25"/>
      <c r="J802" s="18"/>
      <c r="K802" s="18"/>
      <c r="L802" s="18"/>
      <c r="M802" s="18"/>
      <c r="N802" s="18"/>
      <c r="O802" s="18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>
      <c r="A803" s="1"/>
      <c r="B803" s="1"/>
      <c r="C803" s="18"/>
      <c r="D803" s="47"/>
      <c r="E803" s="18"/>
      <c r="F803" s="18"/>
      <c r="G803" s="18"/>
      <c r="H803" s="18"/>
      <c r="I803" s="25"/>
      <c r="J803" s="18"/>
      <c r="K803" s="18"/>
      <c r="L803" s="18"/>
      <c r="M803" s="18"/>
      <c r="N803" s="18"/>
      <c r="O803" s="18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>
      <c r="A804" s="1"/>
      <c r="B804" s="1"/>
      <c r="C804" s="18"/>
      <c r="D804" s="47"/>
      <c r="E804" s="18"/>
      <c r="F804" s="18"/>
      <c r="G804" s="18"/>
      <c r="H804" s="18"/>
      <c r="I804" s="25"/>
      <c r="J804" s="18"/>
      <c r="K804" s="18"/>
      <c r="L804" s="18"/>
      <c r="M804" s="18"/>
      <c r="N804" s="18"/>
      <c r="O804" s="18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>
      <c r="A805" s="1"/>
      <c r="B805" s="1"/>
      <c r="C805" s="18"/>
      <c r="D805" s="47"/>
      <c r="E805" s="18"/>
      <c r="F805" s="18"/>
      <c r="G805" s="18"/>
      <c r="H805" s="18"/>
      <c r="I805" s="25"/>
      <c r="J805" s="18"/>
      <c r="K805" s="18"/>
      <c r="L805" s="18"/>
      <c r="M805" s="18"/>
      <c r="N805" s="18"/>
      <c r="O805" s="18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>
      <c r="A806" s="1"/>
      <c r="B806" s="1"/>
      <c r="C806" s="18"/>
      <c r="D806" s="47"/>
      <c r="E806" s="18"/>
      <c r="F806" s="18"/>
      <c r="G806" s="18"/>
      <c r="H806" s="18"/>
      <c r="I806" s="25"/>
      <c r="J806" s="18"/>
      <c r="K806" s="18"/>
      <c r="L806" s="18"/>
      <c r="M806" s="18"/>
      <c r="N806" s="18"/>
      <c r="O806" s="18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>
      <c r="A807" s="1"/>
      <c r="B807" s="1"/>
      <c r="C807" s="18"/>
      <c r="D807" s="47"/>
      <c r="E807" s="18"/>
      <c r="F807" s="18"/>
      <c r="G807" s="18"/>
      <c r="H807" s="18"/>
      <c r="I807" s="25"/>
      <c r="J807" s="18"/>
      <c r="K807" s="18"/>
      <c r="L807" s="18"/>
      <c r="M807" s="18"/>
      <c r="N807" s="18"/>
      <c r="O807" s="18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>
      <c r="A808" s="1"/>
      <c r="B808" s="1"/>
      <c r="C808" s="18"/>
      <c r="D808" s="47"/>
      <c r="E808" s="18"/>
      <c r="F808" s="18"/>
      <c r="G808" s="18"/>
      <c r="H808" s="18"/>
      <c r="I808" s="25"/>
      <c r="J808" s="18"/>
      <c r="K808" s="18"/>
      <c r="L808" s="18"/>
      <c r="M808" s="18"/>
      <c r="N808" s="18"/>
      <c r="O808" s="18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>
      <c r="A809" s="1"/>
      <c r="B809" s="1"/>
      <c r="C809" s="18"/>
      <c r="D809" s="47"/>
      <c r="E809" s="18"/>
      <c r="F809" s="18"/>
      <c r="G809" s="18"/>
      <c r="H809" s="18"/>
      <c r="I809" s="25"/>
      <c r="J809" s="18"/>
      <c r="K809" s="18"/>
      <c r="L809" s="18"/>
      <c r="M809" s="18"/>
      <c r="N809" s="18"/>
      <c r="O809" s="18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>
      <c r="A810" s="1"/>
      <c r="B810" s="1"/>
      <c r="C810" s="18"/>
      <c r="D810" s="47"/>
      <c r="E810" s="18"/>
      <c r="F810" s="18"/>
      <c r="G810" s="18"/>
      <c r="H810" s="18"/>
      <c r="I810" s="25"/>
      <c r="J810" s="18"/>
      <c r="K810" s="18"/>
      <c r="L810" s="18"/>
      <c r="M810" s="18"/>
      <c r="N810" s="18"/>
      <c r="O810" s="18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>
      <c r="A811" s="1"/>
      <c r="B811" s="1"/>
      <c r="C811" s="18"/>
      <c r="D811" s="47"/>
      <c r="E811" s="18"/>
      <c r="F811" s="18"/>
      <c r="G811" s="18"/>
      <c r="H811" s="18"/>
      <c r="I811" s="25"/>
      <c r="J811" s="18"/>
      <c r="K811" s="18"/>
      <c r="L811" s="18"/>
      <c r="M811" s="18"/>
      <c r="N811" s="18"/>
      <c r="O811" s="18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>
      <c r="A812" s="1"/>
      <c r="B812" s="1"/>
      <c r="C812" s="18"/>
      <c r="D812" s="47"/>
      <c r="E812" s="18"/>
      <c r="F812" s="18"/>
      <c r="G812" s="18"/>
      <c r="H812" s="18"/>
      <c r="I812" s="25"/>
      <c r="J812" s="18"/>
      <c r="K812" s="18"/>
      <c r="L812" s="18"/>
      <c r="M812" s="18"/>
      <c r="N812" s="18"/>
      <c r="O812" s="18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>
      <c r="A813" s="1"/>
      <c r="B813" s="1"/>
      <c r="C813" s="18"/>
      <c r="D813" s="47"/>
      <c r="E813" s="18"/>
      <c r="F813" s="18"/>
      <c r="G813" s="18"/>
      <c r="H813" s="18"/>
      <c r="I813" s="25"/>
      <c r="J813" s="18"/>
      <c r="K813" s="18"/>
      <c r="L813" s="18"/>
      <c r="M813" s="18"/>
      <c r="N813" s="18"/>
      <c r="O813" s="18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>
      <c r="A814" s="1"/>
      <c r="B814" s="1"/>
      <c r="C814" s="18"/>
      <c r="D814" s="47"/>
      <c r="E814" s="18"/>
      <c r="F814" s="18"/>
      <c r="G814" s="18"/>
      <c r="H814" s="18"/>
      <c r="I814" s="25"/>
      <c r="J814" s="18"/>
      <c r="K814" s="18"/>
      <c r="L814" s="18"/>
      <c r="M814" s="18"/>
      <c r="N814" s="18"/>
      <c r="O814" s="18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>
      <c r="A815" s="1"/>
      <c r="B815" s="1"/>
      <c r="C815" s="18"/>
      <c r="D815" s="47"/>
      <c r="E815" s="18"/>
      <c r="F815" s="18"/>
      <c r="G815" s="18"/>
      <c r="H815" s="18"/>
      <c r="I815" s="25"/>
      <c r="J815" s="18"/>
      <c r="K815" s="18"/>
      <c r="L815" s="18"/>
      <c r="M815" s="18"/>
      <c r="N815" s="18"/>
      <c r="O815" s="18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>
      <c r="A816" s="1"/>
      <c r="B816" s="1"/>
      <c r="C816" s="18"/>
      <c r="D816" s="47"/>
      <c r="E816" s="18"/>
      <c r="F816" s="18"/>
      <c r="G816" s="18"/>
      <c r="H816" s="18"/>
      <c r="I816" s="25"/>
      <c r="J816" s="18"/>
      <c r="K816" s="18"/>
      <c r="L816" s="18"/>
      <c r="M816" s="18"/>
      <c r="N816" s="18"/>
      <c r="O816" s="18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>
      <c r="A817" s="1"/>
      <c r="B817" s="1"/>
      <c r="C817" s="18"/>
      <c r="D817" s="47"/>
      <c r="E817" s="18"/>
      <c r="F817" s="18"/>
      <c r="G817" s="18"/>
      <c r="H817" s="18"/>
      <c r="I817" s="25"/>
      <c r="J817" s="18"/>
      <c r="K817" s="18"/>
      <c r="L817" s="18"/>
      <c r="M817" s="18"/>
      <c r="N817" s="18"/>
      <c r="O817" s="18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>
      <c r="A818" s="1"/>
      <c r="B818" s="1"/>
      <c r="C818" s="18"/>
      <c r="D818" s="47"/>
      <c r="E818" s="18"/>
      <c r="F818" s="18"/>
      <c r="G818" s="18"/>
      <c r="H818" s="18"/>
      <c r="I818" s="25"/>
      <c r="J818" s="18"/>
      <c r="K818" s="18"/>
      <c r="L818" s="18"/>
      <c r="M818" s="18"/>
      <c r="N818" s="18"/>
      <c r="O818" s="18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>
      <c r="A819" s="1"/>
      <c r="B819" s="1"/>
      <c r="C819" s="18"/>
      <c r="D819" s="47"/>
      <c r="E819" s="18"/>
      <c r="F819" s="18"/>
      <c r="G819" s="18"/>
      <c r="H819" s="18"/>
      <c r="I819" s="25"/>
      <c r="J819" s="18"/>
      <c r="K819" s="18"/>
      <c r="L819" s="18"/>
      <c r="M819" s="18"/>
      <c r="N819" s="18"/>
      <c r="O819" s="18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>
      <c r="A820" s="1"/>
      <c r="B820" s="1"/>
      <c r="C820" s="18"/>
      <c r="D820" s="47"/>
      <c r="E820" s="18"/>
      <c r="F820" s="18"/>
      <c r="G820" s="18"/>
      <c r="H820" s="18"/>
      <c r="I820" s="25"/>
      <c r="J820" s="18"/>
      <c r="K820" s="18"/>
      <c r="L820" s="18"/>
      <c r="M820" s="18"/>
      <c r="N820" s="18"/>
      <c r="O820" s="18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>
      <c r="A821" s="1"/>
      <c r="B821" s="1"/>
      <c r="C821" s="18"/>
      <c r="D821" s="47"/>
      <c r="E821" s="18"/>
      <c r="F821" s="18"/>
      <c r="G821" s="18"/>
      <c r="H821" s="18"/>
      <c r="I821" s="25"/>
      <c r="J821" s="18"/>
      <c r="K821" s="18"/>
      <c r="L821" s="18"/>
      <c r="M821" s="18"/>
      <c r="N821" s="18"/>
      <c r="O821" s="18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>
      <c r="A822" s="1"/>
      <c r="B822" s="1"/>
      <c r="C822" s="18"/>
      <c r="D822" s="47"/>
      <c r="E822" s="18"/>
      <c r="F822" s="18"/>
      <c r="G822" s="18"/>
      <c r="H822" s="18"/>
      <c r="I822" s="25"/>
      <c r="J822" s="18"/>
      <c r="K822" s="18"/>
      <c r="L822" s="18"/>
      <c r="M822" s="18"/>
      <c r="N822" s="18"/>
      <c r="O822" s="18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>
      <c r="A823" s="1"/>
      <c r="B823" s="1"/>
      <c r="C823" s="18"/>
      <c r="D823" s="47"/>
      <c r="E823" s="18"/>
      <c r="F823" s="18"/>
      <c r="G823" s="18"/>
      <c r="H823" s="18"/>
      <c r="I823" s="25"/>
      <c r="J823" s="18"/>
      <c r="K823" s="18"/>
      <c r="L823" s="18"/>
      <c r="M823" s="18"/>
      <c r="N823" s="18"/>
      <c r="O823" s="18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>
      <c r="A824" s="1"/>
      <c r="B824" s="1"/>
      <c r="C824" s="18"/>
      <c r="D824" s="47"/>
      <c r="E824" s="18"/>
      <c r="F824" s="18"/>
      <c r="G824" s="18"/>
      <c r="H824" s="18"/>
      <c r="I824" s="25"/>
      <c r="J824" s="18"/>
      <c r="K824" s="18"/>
      <c r="L824" s="18"/>
      <c r="M824" s="18"/>
      <c r="N824" s="18"/>
      <c r="O824" s="18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>
      <c r="A825" s="1"/>
      <c r="B825" s="1"/>
      <c r="C825" s="18"/>
      <c r="D825" s="47"/>
      <c r="E825" s="18"/>
      <c r="F825" s="18"/>
      <c r="G825" s="18"/>
      <c r="H825" s="18"/>
      <c r="I825" s="25"/>
      <c r="J825" s="18"/>
      <c r="K825" s="18"/>
      <c r="L825" s="18"/>
      <c r="M825" s="18"/>
      <c r="N825" s="18"/>
      <c r="O825" s="18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>
      <c r="A826" s="1"/>
      <c r="B826" s="1"/>
      <c r="C826" s="18"/>
      <c r="D826" s="47"/>
      <c r="E826" s="18"/>
      <c r="F826" s="18"/>
      <c r="G826" s="18"/>
      <c r="H826" s="18"/>
      <c r="I826" s="25"/>
      <c r="J826" s="18"/>
      <c r="K826" s="18"/>
      <c r="L826" s="18"/>
      <c r="M826" s="18"/>
      <c r="N826" s="18"/>
      <c r="O826" s="18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>
      <c r="A827" s="1"/>
      <c r="B827" s="1"/>
      <c r="C827" s="18"/>
      <c r="D827" s="47"/>
      <c r="E827" s="18"/>
      <c r="F827" s="18"/>
      <c r="G827" s="18"/>
      <c r="H827" s="18"/>
      <c r="I827" s="25"/>
      <c r="J827" s="18"/>
      <c r="K827" s="18"/>
      <c r="L827" s="18"/>
      <c r="M827" s="18"/>
      <c r="N827" s="18"/>
      <c r="O827" s="18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>
      <c r="A828" s="1"/>
      <c r="B828" s="1"/>
      <c r="C828" s="18"/>
      <c r="D828" s="47"/>
      <c r="E828" s="18"/>
      <c r="F828" s="18"/>
      <c r="G828" s="18"/>
      <c r="H828" s="18"/>
      <c r="I828" s="25"/>
      <c r="J828" s="18"/>
      <c r="K828" s="18"/>
      <c r="L828" s="18"/>
      <c r="M828" s="18"/>
      <c r="N828" s="18"/>
      <c r="O828" s="18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>
      <c r="A829" s="1"/>
      <c r="B829" s="1"/>
      <c r="C829" s="18"/>
      <c r="D829" s="47"/>
      <c r="E829" s="18"/>
      <c r="F829" s="18"/>
      <c r="G829" s="18"/>
      <c r="H829" s="18"/>
      <c r="I829" s="25"/>
      <c r="J829" s="18"/>
      <c r="K829" s="18"/>
      <c r="L829" s="18"/>
      <c r="M829" s="18"/>
      <c r="N829" s="18"/>
      <c r="O829" s="18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>
      <c r="A830" s="1"/>
      <c r="B830" s="1"/>
      <c r="C830" s="18"/>
      <c r="D830" s="47"/>
      <c r="E830" s="18"/>
      <c r="F830" s="18"/>
      <c r="G830" s="18"/>
      <c r="H830" s="18"/>
      <c r="I830" s="25"/>
      <c r="J830" s="18"/>
      <c r="K830" s="18"/>
      <c r="L830" s="18"/>
      <c r="M830" s="18"/>
      <c r="N830" s="18"/>
      <c r="O830" s="18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>
      <c r="A831" s="1"/>
      <c r="B831" s="1"/>
      <c r="C831" s="18"/>
      <c r="D831" s="47"/>
      <c r="E831" s="18"/>
      <c r="F831" s="18"/>
      <c r="G831" s="18"/>
      <c r="H831" s="18"/>
      <c r="I831" s="25"/>
      <c r="J831" s="18"/>
      <c r="K831" s="18"/>
      <c r="L831" s="18"/>
      <c r="M831" s="18"/>
      <c r="N831" s="18"/>
      <c r="O831" s="18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>
      <c r="A832" s="1"/>
      <c r="B832" s="1"/>
      <c r="C832" s="18"/>
      <c r="D832" s="47"/>
      <c r="E832" s="18"/>
      <c r="F832" s="18"/>
      <c r="G832" s="18"/>
      <c r="H832" s="18"/>
      <c r="I832" s="25"/>
      <c r="J832" s="18"/>
      <c r="K832" s="18"/>
      <c r="L832" s="18"/>
      <c r="M832" s="18"/>
      <c r="N832" s="18"/>
      <c r="O832" s="18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>
      <c r="A833" s="1"/>
      <c r="B833" s="1"/>
      <c r="C833" s="18"/>
      <c r="D833" s="47"/>
      <c r="E833" s="18"/>
      <c r="F833" s="18"/>
      <c r="G833" s="18"/>
      <c r="H833" s="18"/>
      <c r="I833" s="25"/>
      <c r="J833" s="18"/>
      <c r="K833" s="18"/>
      <c r="L833" s="18"/>
      <c r="M833" s="18"/>
      <c r="N833" s="18"/>
      <c r="O833" s="18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>
      <c r="A834" s="1"/>
      <c r="B834" s="1"/>
      <c r="C834" s="18"/>
      <c r="D834" s="47"/>
      <c r="E834" s="18"/>
      <c r="F834" s="18"/>
      <c r="G834" s="18"/>
      <c r="H834" s="18"/>
      <c r="I834" s="25"/>
      <c r="J834" s="18"/>
      <c r="K834" s="18"/>
      <c r="L834" s="18"/>
      <c r="M834" s="18"/>
      <c r="N834" s="18"/>
      <c r="O834" s="18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>
      <c r="A835" s="1"/>
      <c r="B835" s="1"/>
      <c r="C835" s="18"/>
      <c r="D835" s="47"/>
      <c r="E835" s="18"/>
      <c r="F835" s="18"/>
      <c r="G835" s="18"/>
      <c r="H835" s="18"/>
      <c r="I835" s="25"/>
      <c r="J835" s="18"/>
      <c r="K835" s="18"/>
      <c r="L835" s="18"/>
      <c r="M835" s="18"/>
      <c r="N835" s="18"/>
      <c r="O835" s="18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>
      <c r="A836" s="1"/>
      <c r="B836" s="1"/>
      <c r="C836" s="18"/>
      <c r="D836" s="47"/>
      <c r="E836" s="18"/>
      <c r="F836" s="18"/>
      <c r="G836" s="18"/>
      <c r="H836" s="18"/>
      <c r="I836" s="25"/>
      <c r="J836" s="18"/>
      <c r="K836" s="18"/>
      <c r="L836" s="18"/>
      <c r="M836" s="18"/>
      <c r="N836" s="18"/>
      <c r="O836" s="18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>
      <c r="A837" s="1"/>
      <c r="B837" s="1"/>
      <c r="C837" s="18"/>
      <c r="D837" s="47"/>
      <c r="E837" s="18"/>
      <c r="F837" s="18"/>
      <c r="G837" s="18"/>
      <c r="H837" s="18"/>
      <c r="I837" s="25"/>
      <c r="J837" s="18"/>
      <c r="K837" s="18"/>
      <c r="L837" s="18"/>
      <c r="M837" s="18"/>
      <c r="N837" s="18"/>
      <c r="O837" s="18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>
      <c r="A838" s="1"/>
      <c r="B838" s="1"/>
      <c r="C838" s="18"/>
      <c r="D838" s="47"/>
      <c r="E838" s="18"/>
      <c r="F838" s="18"/>
      <c r="G838" s="18"/>
      <c r="H838" s="18"/>
      <c r="I838" s="25"/>
      <c r="J838" s="18"/>
      <c r="K838" s="18"/>
      <c r="L838" s="18"/>
      <c r="M838" s="18"/>
      <c r="N838" s="18"/>
      <c r="O838" s="18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>
      <c r="A839" s="1"/>
      <c r="B839" s="1"/>
      <c r="C839" s="18"/>
      <c r="D839" s="47"/>
      <c r="E839" s="18"/>
      <c r="F839" s="18"/>
      <c r="G839" s="18"/>
      <c r="H839" s="18"/>
      <c r="I839" s="25"/>
      <c r="J839" s="18"/>
      <c r="K839" s="18"/>
      <c r="L839" s="18"/>
      <c r="M839" s="18"/>
      <c r="N839" s="18"/>
      <c r="O839" s="18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>
      <c r="A840" s="1"/>
      <c r="B840" s="1"/>
      <c r="C840" s="18"/>
      <c r="D840" s="47"/>
      <c r="E840" s="18"/>
      <c r="F840" s="18"/>
      <c r="G840" s="18"/>
      <c r="H840" s="18"/>
      <c r="I840" s="25"/>
      <c r="J840" s="18"/>
      <c r="K840" s="18"/>
      <c r="L840" s="18"/>
      <c r="M840" s="18"/>
      <c r="N840" s="18"/>
      <c r="O840" s="18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>
      <c r="A841" s="1"/>
      <c r="B841" s="1"/>
      <c r="C841" s="18"/>
      <c r="D841" s="47"/>
      <c r="E841" s="18"/>
      <c r="F841" s="18"/>
      <c r="G841" s="18"/>
      <c r="H841" s="18"/>
      <c r="I841" s="25"/>
      <c r="J841" s="18"/>
      <c r="K841" s="18"/>
      <c r="L841" s="18"/>
      <c r="M841" s="18"/>
      <c r="N841" s="18"/>
      <c r="O841" s="18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>
      <c r="A842" s="1"/>
      <c r="B842" s="1"/>
      <c r="C842" s="18"/>
      <c r="D842" s="47"/>
      <c r="E842" s="18"/>
      <c r="F842" s="18"/>
      <c r="G842" s="18"/>
      <c r="H842" s="18"/>
      <c r="I842" s="25"/>
      <c r="J842" s="18"/>
      <c r="K842" s="18"/>
      <c r="L842" s="18"/>
      <c r="M842" s="18"/>
      <c r="N842" s="18"/>
      <c r="O842" s="18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>
      <c r="A843" s="1"/>
      <c r="B843" s="1"/>
      <c r="C843" s="18"/>
      <c r="D843" s="47"/>
      <c r="E843" s="18"/>
      <c r="F843" s="18"/>
      <c r="G843" s="18"/>
      <c r="H843" s="18"/>
      <c r="I843" s="25"/>
      <c r="J843" s="18"/>
      <c r="K843" s="18"/>
      <c r="L843" s="18"/>
      <c r="M843" s="18"/>
      <c r="N843" s="18"/>
      <c r="O843" s="18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>
      <c r="A844" s="1"/>
      <c r="B844" s="1"/>
      <c r="C844" s="18"/>
      <c r="D844" s="47"/>
      <c r="E844" s="18"/>
      <c r="F844" s="18"/>
      <c r="G844" s="18"/>
      <c r="H844" s="18"/>
      <c r="I844" s="25"/>
      <c r="J844" s="18"/>
      <c r="K844" s="18"/>
      <c r="L844" s="18"/>
      <c r="M844" s="18"/>
      <c r="N844" s="18"/>
      <c r="O844" s="18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>
      <c r="A845" s="1"/>
      <c r="B845" s="1"/>
      <c r="C845" s="18"/>
      <c r="D845" s="47"/>
      <c r="E845" s="18"/>
      <c r="F845" s="18"/>
      <c r="G845" s="18"/>
      <c r="H845" s="18"/>
      <c r="I845" s="25"/>
      <c r="J845" s="18"/>
      <c r="K845" s="18"/>
      <c r="L845" s="18"/>
      <c r="M845" s="18"/>
      <c r="N845" s="18"/>
      <c r="O845" s="18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>
      <c r="A846" s="1"/>
      <c r="B846" s="1"/>
      <c r="C846" s="18"/>
      <c r="D846" s="47"/>
      <c r="E846" s="18"/>
      <c r="F846" s="18"/>
      <c r="G846" s="18"/>
      <c r="H846" s="18"/>
      <c r="I846" s="25"/>
      <c r="J846" s="18"/>
      <c r="K846" s="18"/>
      <c r="L846" s="18"/>
      <c r="M846" s="18"/>
      <c r="N846" s="18"/>
      <c r="O846" s="18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>
      <c r="A847" s="1"/>
      <c r="B847" s="1"/>
      <c r="C847" s="18"/>
      <c r="D847" s="47"/>
      <c r="E847" s="18"/>
      <c r="F847" s="18"/>
      <c r="G847" s="18"/>
      <c r="H847" s="18"/>
      <c r="I847" s="25"/>
      <c r="J847" s="18"/>
      <c r="K847" s="18"/>
      <c r="L847" s="18"/>
      <c r="M847" s="18"/>
      <c r="N847" s="18"/>
      <c r="O847" s="18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>
      <c r="A848" s="1"/>
      <c r="B848" s="1"/>
      <c r="C848" s="18"/>
      <c r="D848" s="47"/>
      <c r="E848" s="18"/>
      <c r="F848" s="18"/>
      <c r="G848" s="18"/>
      <c r="H848" s="18"/>
      <c r="I848" s="25"/>
      <c r="J848" s="18"/>
      <c r="K848" s="18"/>
      <c r="L848" s="18"/>
      <c r="M848" s="18"/>
      <c r="N848" s="18"/>
      <c r="O848" s="18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>
      <c r="A849" s="1"/>
      <c r="B849" s="1"/>
      <c r="C849" s="18"/>
      <c r="D849" s="47"/>
      <c r="E849" s="18"/>
      <c r="F849" s="18"/>
      <c r="G849" s="18"/>
      <c r="H849" s="18"/>
      <c r="I849" s="25"/>
      <c r="J849" s="18"/>
      <c r="K849" s="18"/>
      <c r="L849" s="18"/>
      <c r="M849" s="18"/>
      <c r="N849" s="18"/>
      <c r="O849" s="18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>
      <c r="A850" s="1"/>
      <c r="B850" s="1"/>
      <c r="C850" s="18"/>
      <c r="D850" s="47"/>
      <c r="E850" s="18"/>
      <c r="F850" s="18"/>
      <c r="G850" s="18"/>
      <c r="H850" s="18"/>
      <c r="I850" s="25"/>
      <c r="J850" s="18"/>
      <c r="K850" s="18"/>
      <c r="L850" s="18"/>
      <c r="M850" s="18"/>
      <c r="N850" s="18"/>
      <c r="O850" s="18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>
      <c r="A851" s="1"/>
      <c r="B851" s="1"/>
      <c r="C851" s="18"/>
      <c r="D851" s="47"/>
      <c r="E851" s="18"/>
      <c r="F851" s="18"/>
      <c r="G851" s="18"/>
      <c r="H851" s="18"/>
      <c r="I851" s="25"/>
      <c r="J851" s="18"/>
      <c r="K851" s="18"/>
      <c r="L851" s="18"/>
      <c r="M851" s="18"/>
      <c r="N851" s="18"/>
      <c r="O851" s="18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>
      <c r="A852" s="1"/>
      <c r="B852" s="1"/>
      <c r="C852" s="18"/>
      <c r="D852" s="47"/>
      <c r="E852" s="18"/>
      <c r="F852" s="18"/>
      <c r="G852" s="18"/>
      <c r="H852" s="18"/>
      <c r="I852" s="25"/>
      <c r="J852" s="18"/>
      <c r="K852" s="18"/>
      <c r="L852" s="18"/>
      <c r="M852" s="18"/>
      <c r="N852" s="18"/>
      <c r="O852" s="18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>
      <c r="A853" s="1"/>
      <c r="B853" s="1"/>
      <c r="C853" s="18"/>
      <c r="D853" s="47"/>
      <c r="E853" s="18"/>
      <c r="F853" s="18"/>
      <c r="G853" s="18"/>
      <c r="H853" s="18"/>
      <c r="I853" s="25"/>
      <c r="J853" s="18"/>
      <c r="K853" s="18"/>
      <c r="L853" s="18"/>
      <c r="M853" s="18"/>
      <c r="N853" s="18"/>
      <c r="O853" s="18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>
      <c r="A854" s="1"/>
      <c r="B854" s="1"/>
      <c r="C854" s="18"/>
      <c r="D854" s="47"/>
      <c r="E854" s="18"/>
      <c r="F854" s="18"/>
      <c r="G854" s="18"/>
      <c r="H854" s="18"/>
      <c r="I854" s="25"/>
      <c r="J854" s="18"/>
      <c r="K854" s="18"/>
      <c r="L854" s="18"/>
      <c r="M854" s="18"/>
      <c r="N854" s="18"/>
      <c r="O854" s="18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>
      <c r="A855" s="1"/>
      <c r="B855" s="1"/>
      <c r="C855" s="18"/>
      <c r="D855" s="47"/>
      <c r="E855" s="18"/>
      <c r="F855" s="18"/>
      <c r="G855" s="18"/>
      <c r="H855" s="18"/>
      <c r="I855" s="25"/>
      <c r="J855" s="18"/>
      <c r="K855" s="18"/>
      <c r="L855" s="18"/>
      <c r="M855" s="18"/>
      <c r="N855" s="18"/>
      <c r="O855" s="18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>
      <c r="A856" s="1"/>
      <c r="B856" s="1"/>
      <c r="C856" s="18"/>
      <c r="D856" s="47"/>
      <c r="E856" s="18"/>
      <c r="F856" s="18"/>
      <c r="G856" s="18"/>
      <c r="H856" s="18"/>
      <c r="I856" s="25"/>
      <c r="J856" s="18"/>
      <c r="K856" s="18"/>
      <c r="L856" s="18"/>
      <c r="M856" s="18"/>
      <c r="N856" s="18"/>
      <c r="O856" s="18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>
      <c r="A857" s="1"/>
      <c r="B857" s="1"/>
      <c r="C857" s="18"/>
      <c r="D857" s="47"/>
      <c r="E857" s="18"/>
      <c r="F857" s="18"/>
      <c r="G857" s="18"/>
      <c r="H857" s="18"/>
      <c r="I857" s="25"/>
      <c r="J857" s="18"/>
      <c r="K857" s="18"/>
      <c r="L857" s="18"/>
      <c r="M857" s="18"/>
      <c r="N857" s="18"/>
      <c r="O857" s="18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>
      <c r="A858" s="1"/>
      <c r="B858" s="1"/>
      <c r="C858" s="18"/>
      <c r="D858" s="47"/>
      <c r="E858" s="18"/>
      <c r="F858" s="18"/>
      <c r="G858" s="18"/>
      <c r="H858" s="18"/>
      <c r="I858" s="25"/>
      <c r="J858" s="18"/>
      <c r="K858" s="18"/>
      <c r="L858" s="18"/>
      <c r="M858" s="18"/>
      <c r="N858" s="18"/>
      <c r="O858" s="18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>
      <c r="A859" s="1"/>
      <c r="B859" s="1"/>
      <c r="C859" s="18"/>
      <c r="D859" s="47"/>
      <c r="E859" s="18"/>
      <c r="F859" s="18"/>
      <c r="G859" s="18"/>
      <c r="H859" s="18"/>
      <c r="I859" s="25"/>
      <c r="J859" s="18"/>
      <c r="K859" s="18"/>
      <c r="L859" s="18"/>
      <c r="M859" s="18"/>
      <c r="N859" s="18"/>
      <c r="O859" s="18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>
      <c r="A860" s="1"/>
      <c r="B860" s="1"/>
      <c r="C860" s="18"/>
      <c r="D860" s="47"/>
      <c r="E860" s="18"/>
      <c r="F860" s="18"/>
      <c r="G860" s="18"/>
      <c r="H860" s="18"/>
      <c r="I860" s="25"/>
      <c r="J860" s="18"/>
      <c r="K860" s="18"/>
      <c r="L860" s="18"/>
      <c r="M860" s="18"/>
      <c r="N860" s="18"/>
      <c r="O860" s="18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>
      <c r="A861" s="1"/>
      <c r="B861" s="1"/>
      <c r="C861" s="18"/>
      <c r="D861" s="47"/>
      <c r="E861" s="18"/>
      <c r="F861" s="18"/>
      <c r="G861" s="18"/>
      <c r="H861" s="18"/>
      <c r="I861" s="25"/>
      <c r="J861" s="18"/>
      <c r="K861" s="18"/>
      <c r="L861" s="18"/>
      <c r="M861" s="18"/>
      <c r="N861" s="18"/>
      <c r="O861" s="18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>
      <c r="A862" s="1"/>
      <c r="B862" s="1"/>
      <c r="C862" s="18"/>
      <c r="D862" s="47"/>
      <c r="E862" s="18"/>
      <c r="F862" s="18"/>
      <c r="G862" s="18"/>
      <c r="H862" s="18"/>
      <c r="I862" s="25"/>
      <c r="J862" s="18"/>
      <c r="K862" s="18"/>
      <c r="L862" s="18"/>
      <c r="M862" s="18"/>
      <c r="N862" s="18"/>
      <c r="O862" s="18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>
      <c r="A863" s="1"/>
      <c r="B863" s="1"/>
      <c r="C863" s="18"/>
      <c r="D863" s="47"/>
      <c r="E863" s="18"/>
      <c r="F863" s="18"/>
      <c r="G863" s="18"/>
      <c r="H863" s="18"/>
      <c r="I863" s="25"/>
      <c r="J863" s="18"/>
      <c r="K863" s="18"/>
      <c r="L863" s="18"/>
      <c r="M863" s="18"/>
      <c r="N863" s="18"/>
      <c r="O863" s="18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>
      <c r="A864" s="1"/>
      <c r="B864" s="1"/>
      <c r="C864" s="18"/>
      <c r="D864" s="47"/>
      <c r="E864" s="18"/>
      <c r="F864" s="18"/>
      <c r="G864" s="18"/>
      <c r="H864" s="18"/>
      <c r="I864" s="25"/>
      <c r="J864" s="18"/>
      <c r="K864" s="18"/>
      <c r="L864" s="18"/>
      <c r="M864" s="18"/>
      <c r="N864" s="18"/>
      <c r="O864" s="18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>
      <c r="A865" s="1"/>
      <c r="B865" s="1"/>
      <c r="C865" s="18"/>
      <c r="D865" s="47"/>
      <c r="E865" s="18"/>
      <c r="F865" s="18"/>
      <c r="G865" s="18"/>
      <c r="H865" s="18"/>
      <c r="I865" s="25"/>
      <c r="J865" s="18"/>
      <c r="K865" s="18"/>
      <c r="L865" s="18"/>
      <c r="M865" s="18"/>
      <c r="N865" s="18"/>
      <c r="O865" s="18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>
      <c r="A866" s="1"/>
      <c r="B866" s="1"/>
      <c r="C866" s="18"/>
      <c r="D866" s="47"/>
      <c r="E866" s="18"/>
      <c r="F866" s="18"/>
      <c r="G866" s="18"/>
      <c r="H866" s="18"/>
      <c r="I866" s="25"/>
      <c r="J866" s="18"/>
      <c r="K866" s="18"/>
      <c r="L866" s="18"/>
      <c r="M866" s="18"/>
      <c r="N866" s="18"/>
      <c r="O866" s="18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>
      <c r="A867" s="1"/>
      <c r="B867" s="1"/>
      <c r="C867" s="18"/>
      <c r="D867" s="47"/>
      <c r="E867" s="18"/>
      <c r="F867" s="18"/>
      <c r="G867" s="18"/>
      <c r="H867" s="18"/>
      <c r="I867" s="25"/>
      <c r="J867" s="18"/>
      <c r="K867" s="18"/>
      <c r="L867" s="18"/>
      <c r="M867" s="18"/>
      <c r="N867" s="18"/>
      <c r="O867" s="18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>
      <c r="A868" s="1"/>
      <c r="B868" s="1"/>
      <c r="C868" s="18"/>
      <c r="D868" s="47"/>
      <c r="E868" s="18"/>
      <c r="F868" s="18"/>
      <c r="G868" s="18"/>
      <c r="H868" s="18"/>
      <c r="I868" s="25"/>
      <c r="J868" s="18"/>
      <c r="K868" s="18"/>
      <c r="L868" s="18"/>
      <c r="M868" s="18"/>
      <c r="N868" s="18"/>
      <c r="O868" s="18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>
      <c r="A869" s="1"/>
      <c r="B869" s="1"/>
      <c r="C869" s="18"/>
      <c r="D869" s="47"/>
      <c r="E869" s="18"/>
      <c r="F869" s="18"/>
      <c r="G869" s="18"/>
      <c r="H869" s="18"/>
      <c r="I869" s="25"/>
      <c r="J869" s="18"/>
      <c r="K869" s="18"/>
      <c r="L869" s="18"/>
      <c r="M869" s="18"/>
      <c r="N869" s="18"/>
      <c r="O869" s="18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>
      <c r="A870" s="1"/>
      <c r="B870" s="1"/>
      <c r="C870" s="18"/>
      <c r="D870" s="47"/>
      <c r="E870" s="18"/>
      <c r="F870" s="18"/>
      <c r="G870" s="18"/>
      <c r="H870" s="18"/>
      <c r="I870" s="25"/>
      <c r="J870" s="18"/>
      <c r="K870" s="18"/>
      <c r="L870" s="18"/>
      <c r="M870" s="18"/>
      <c r="N870" s="18"/>
      <c r="O870" s="18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>
      <c r="A871" s="1"/>
      <c r="B871" s="1"/>
      <c r="C871" s="18"/>
      <c r="D871" s="47"/>
      <c r="E871" s="18"/>
      <c r="F871" s="18"/>
      <c r="G871" s="18"/>
      <c r="H871" s="18"/>
      <c r="I871" s="25"/>
      <c r="J871" s="18"/>
      <c r="K871" s="18"/>
      <c r="L871" s="18"/>
      <c r="M871" s="18"/>
      <c r="N871" s="18"/>
      <c r="O871" s="18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>
      <c r="A872" s="1"/>
      <c r="B872" s="1"/>
      <c r="C872" s="18"/>
      <c r="D872" s="47"/>
      <c r="E872" s="18"/>
      <c r="F872" s="18"/>
      <c r="G872" s="18"/>
      <c r="H872" s="18"/>
      <c r="I872" s="25"/>
      <c r="J872" s="18"/>
      <c r="K872" s="18"/>
      <c r="L872" s="18"/>
      <c r="M872" s="18"/>
      <c r="N872" s="18"/>
      <c r="O872" s="18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>
      <c r="A873" s="1"/>
      <c r="B873" s="1"/>
      <c r="C873" s="18"/>
      <c r="D873" s="47"/>
      <c r="E873" s="18"/>
      <c r="F873" s="18"/>
      <c r="G873" s="18"/>
      <c r="H873" s="18"/>
      <c r="I873" s="25"/>
      <c r="J873" s="18"/>
      <c r="K873" s="18"/>
      <c r="L873" s="18"/>
      <c r="M873" s="18"/>
      <c r="N873" s="18"/>
      <c r="O873" s="18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>
      <c r="A874" s="1"/>
      <c r="B874" s="1"/>
      <c r="C874" s="18"/>
      <c r="D874" s="47"/>
      <c r="E874" s="18"/>
      <c r="F874" s="18"/>
      <c r="G874" s="18"/>
      <c r="H874" s="18"/>
      <c r="I874" s="25"/>
      <c r="J874" s="18"/>
      <c r="K874" s="18"/>
      <c r="L874" s="18"/>
      <c r="M874" s="18"/>
      <c r="N874" s="18"/>
      <c r="O874" s="18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>
      <c r="A875" s="1"/>
      <c r="B875" s="1"/>
      <c r="C875" s="18"/>
      <c r="D875" s="47"/>
      <c r="E875" s="18"/>
      <c r="F875" s="18"/>
      <c r="G875" s="18"/>
      <c r="H875" s="18"/>
      <c r="I875" s="25"/>
      <c r="J875" s="18"/>
      <c r="K875" s="18"/>
      <c r="L875" s="18"/>
      <c r="M875" s="18"/>
      <c r="N875" s="18"/>
      <c r="O875" s="18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>
      <c r="A876" s="1"/>
      <c r="B876" s="1"/>
      <c r="C876" s="18"/>
      <c r="D876" s="47"/>
      <c r="E876" s="18"/>
      <c r="F876" s="18"/>
      <c r="G876" s="18"/>
      <c r="H876" s="18"/>
      <c r="I876" s="25"/>
      <c r="J876" s="18"/>
      <c r="K876" s="18"/>
      <c r="L876" s="18"/>
      <c r="M876" s="18"/>
      <c r="N876" s="18"/>
      <c r="O876" s="18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>
      <c r="A877" s="1"/>
      <c r="B877" s="1"/>
      <c r="C877" s="18"/>
      <c r="D877" s="47"/>
      <c r="E877" s="18"/>
      <c r="F877" s="18"/>
      <c r="G877" s="18"/>
      <c r="H877" s="18"/>
      <c r="I877" s="25"/>
      <c r="J877" s="18"/>
      <c r="K877" s="18"/>
      <c r="L877" s="18"/>
      <c r="M877" s="18"/>
      <c r="N877" s="18"/>
      <c r="O877" s="18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>
      <c r="A878" s="1"/>
      <c r="B878" s="1"/>
      <c r="C878" s="18"/>
      <c r="D878" s="47"/>
      <c r="E878" s="18"/>
      <c r="F878" s="18"/>
      <c r="G878" s="18"/>
      <c r="H878" s="18"/>
      <c r="I878" s="25"/>
      <c r="J878" s="18"/>
      <c r="K878" s="18"/>
      <c r="L878" s="18"/>
      <c r="M878" s="18"/>
      <c r="N878" s="18"/>
      <c r="O878" s="18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>
      <c r="A879" s="1"/>
      <c r="B879" s="1"/>
      <c r="C879" s="18"/>
      <c r="D879" s="47"/>
      <c r="E879" s="18"/>
      <c r="F879" s="18"/>
      <c r="G879" s="18"/>
      <c r="H879" s="18"/>
      <c r="I879" s="25"/>
      <c r="J879" s="18"/>
      <c r="K879" s="18"/>
      <c r="L879" s="18"/>
      <c r="M879" s="18"/>
      <c r="N879" s="18"/>
      <c r="O879" s="18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>
      <c r="A880" s="1"/>
      <c r="B880" s="1"/>
      <c r="C880" s="18"/>
      <c r="D880" s="47"/>
      <c r="E880" s="18"/>
      <c r="F880" s="18"/>
      <c r="G880" s="18"/>
      <c r="H880" s="18"/>
      <c r="I880" s="25"/>
      <c r="J880" s="18"/>
      <c r="K880" s="18"/>
      <c r="L880" s="18"/>
      <c r="M880" s="18"/>
      <c r="N880" s="18"/>
      <c r="O880" s="18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>
      <c r="A881" s="1"/>
      <c r="B881" s="1"/>
      <c r="C881" s="18"/>
      <c r="D881" s="47"/>
      <c r="E881" s="18"/>
      <c r="F881" s="18"/>
      <c r="G881" s="18"/>
      <c r="H881" s="18"/>
      <c r="I881" s="25"/>
      <c r="J881" s="18"/>
      <c r="K881" s="18"/>
      <c r="L881" s="18"/>
      <c r="M881" s="18"/>
      <c r="N881" s="18"/>
      <c r="O881" s="18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>
      <c r="A882" s="1"/>
      <c r="B882" s="1"/>
      <c r="C882" s="18"/>
      <c r="D882" s="47"/>
      <c r="E882" s="18"/>
      <c r="F882" s="18"/>
      <c r="G882" s="18"/>
      <c r="H882" s="18"/>
      <c r="I882" s="25"/>
      <c r="J882" s="18"/>
      <c r="K882" s="18"/>
      <c r="L882" s="18"/>
      <c r="M882" s="18"/>
      <c r="N882" s="18"/>
      <c r="O882" s="18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>
      <c r="A883" s="1"/>
      <c r="B883" s="1"/>
      <c r="C883" s="18"/>
      <c r="D883" s="47"/>
      <c r="E883" s="18"/>
      <c r="F883" s="18"/>
      <c r="G883" s="18"/>
      <c r="H883" s="18"/>
      <c r="I883" s="25"/>
      <c r="J883" s="18"/>
      <c r="K883" s="18"/>
      <c r="L883" s="18"/>
      <c r="M883" s="18"/>
      <c r="N883" s="18"/>
      <c r="O883" s="18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>
      <c r="A884" s="1"/>
      <c r="B884" s="1"/>
      <c r="C884" s="18"/>
      <c r="D884" s="47"/>
      <c r="E884" s="18"/>
      <c r="F884" s="18"/>
      <c r="G884" s="18"/>
      <c r="H884" s="18"/>
      <c r="I884" s="25"/>
      <c r="J884" s="18"/>
      <c r="K884" s="18"/>
      <c r="L884" s="18"/>
      <c r="M884" s="18"/>
      <c r="N884" s="18"/>
      <c r="O884" s="18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>
      <c r="A885" s="1"/>
      <c r="B885" s="1"/>
      <c r="C885" s="18"/>
      <c r="D885" s="47"/>
      <c r="E885" s="18"/>
      <c r="F885" s="18"/>
      <c r="G885" s="18"/>
      <c r="H885" s="18"/>
      <c r="I885" s="25"/>
      <c r="J885" s="18"/>
      <c r="K885" s="18"/>
      <c r="L885" s="18"/>
      <c r="M885" s="18"/>
      <c r="N885" s="18"/>
      <c r="O885" s="18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>
      <c r="A886" s="1"/>
      <c r="B886" s="1"/>
      <c r="C886" s="18"/>
      <c r="D886" s="47"/>
      <c r="E886" s="18"/>
      <c r="F886" s="18"/>
      <c r="G886" s="18"/>
      <c r="H886" s="18"/>
      <c r="I886" s="25"/>
      <c r="J886" s="18"/>
      <c r="K886" s="18"/>
      <c r="L886" s="18"/>
      <c r="M886" s="18"/>
      <c r="N886" s="18"/>
      <c r="O886" s="18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>
      <c r="A887" s="1"/>
      <c r="B887" s="1"/>
      <c r="C887" s="18"/>
      <c r="D887" s="47"/>
      <c r="E887" s="18"/>
      <c r="F887" s="18"/>
      <c r="G887" s="18"/>
      <c r="H887" s="18"/>
      <c r="I887" s="25"/>
      <c r="J887" s="18"/>
      <c r="K887" s="18"/>
      <c r="L887" s="18"/>
      <c r="M887" s="18"/>
      <c r="N887" s="18"/>
      <c r="O887" s="18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>
      <c r="A888" s="1"/>
      <c r="B888" s="1"/>
      <c r="C888" s="18"/>
      <c r="D888" s="47"/>
      <c r="E888" s="18"/>
      <c r="F888" s="18"/>
      <c r="G888" s="18"/>
      <c r="H888" s="18"/>
      <c r="I888" s="25"/>
      <c r="J888" s="18"/>
      <c r="K888" s="18"/>
      <c r="L888" s="18"/>
      <c r="M888" s="18"/>
      <c r="N888" s="18"/>
      <c r="O888" s="18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>
      <c r="A889" s="1"/>
      <c r="B889" s="1"/>
      <c r="C889" s="18"/>
      <c r="D889" s="47"/>
      <c r="E889" s="18"/>
      <c r="F889" s="18"/>
      <c r="G889" s="18"/>
      <c r="H889" s="18"/>
      <c r="I889" s="25"/>
      <c r="J889" s="18"/>
      <c r="K889" s="18"/>
      <c r="L889" s="18"/>
      <c r="M889" s="18"/>
      <c r="N889" s="18"/>
      <c r="O889" s="18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>
      <c r="A890" s="1"/>
      <c r="B890" s="1"/>
      <c r="C890" s="18"/>
      <c r="D890" s="47"/>
      <c r="E890" s="18"/>
      <c r="F890" s="18"/>
      <c r="G890" s="18"/>
      <c r="H890" s="18"/>
      <c r="I890" s="25"/>
      <c r="J890" s="18"/>
      <c r="K890" s="18"/>
      <c r="L890" s="18"/>
      <c r="M890" s="18"/>
      <c r="N890" s="18"/>
      <c r="O890" s="18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>
      <c r="A891" s="1"/>
      <c r="B891" s="1"/>
      <c r="C891" s="18"/>
      <c r="D891" s="47"/>
      <c r="E891" s="18"/>
      <c r="F891" s="18"/>
      <c r="G891" s="18"/>
      <c r="H891" s="18"/>
      <c r="I891" s="25"/>
      <c r="J891" s="18"/>
      <c r="K891" s="18"/>
      <c r="L891" s="18"/>
      <c r="M891" s="18"/>
      <c r="N891" s="18"/>
      <c r="O891" s="18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>
      <c r="A892" s="1"/>
      <c r="B892" s="1"/>
      <c r="C892" s="18"/>
      <c r="D892" s="47"/>
      <c r="E892" s="18"/>
      <c r="F892" s="18"/>
      <c r="G892" s="18"/>
      <c r="H892" s="18"/>
      <c r="I892" s="25"/>
      <c r="J892" s="18"/>
      <c r="K892" s="18"/>
      <c r="L892" s="18"/>
      <c r="M892" s="18"/>
      <c r="N892" s="18"/>
      <c r="O892" s="18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>
      <c r="A893" s="1"/>
      <c r="B893" s="1"/>
      <c r="C893" s="18"/>
      <c r="D893" s="47"/>
      <c r="E893" s="18"/>
      <c r="F893" s="18"/>
      <c r="G893" s="18"/>
      <c r="H893" s="18"/>
      <c r="I893" s="25"/>
      <c r="J893" s="18"/>
      <c r="K893" s="18"/>
      <c r="L893" s="18"/>
      <c r="M893" s="18"/>
      <c r="N893" s="18"/>
      <c r="O893" s="18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>
      <c r="A894" s="1"/>
      <c r="B894" s="1"/>
      <c r="C894" s="18"/>
      <c r="D894" s="47"/>
      <c r="E894" s="18"/>
      <c r="F894" s="18"/>
      <c r="G894" s="18"/>
      <c r="H894" s="18"/>
      <c r="I894" s="25"/>
      <c r="J894" s="18"/>
      <c r="K894" s="18"/>
      <c r="L894" s="18"/>
      <c r="M894" s="18"/>
      <c r="N894" s="18"/>
      <c r="O894" s="18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>
      <c r="A895" s="1"/>
      <c r="B895" s="1"/>
      <c r="C895" s="18"/>
      <c r="D895" s="47"/>
      <c r="E895" s="18"/>
      <c r="F895" s="18"/>
      <c r="G895" s="18"/>
      <c r="H895" s="18"/>
      <c r="I895" s="25"/>
      <c r="J895" s="18"/>
      <c r="K895" s="18"/>
      <c r="L895" s="18"/>
      <c r="M895" s="18"/>
      <c r="N895" s="18"/>
      <c r="O895" s="18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>
      <c r="A896" s="1"/>
      <c r="B896" s="1"/>
      <c r="C896" s="18"/>
      <c r="D896" s="47"/>
      <c r="E896" s="18"/>
      <c r="F896" s="18"/>
      <c r="G896" s="18"/>
      <c r="H896" s="18"/>
      <c r="I896" s="25"/>
      <c r="J896" s="18"/>
      <c r="K896" s="18"/>
      <c r="L896" s="18"/>
      <c r="M896" s="18"/>
      <c r="N896" s="18"/>
      <c r="O896" s="18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>
      <c r="A897" s="1"/>
      <c r="B897" s="1"/>
      <c r="C897" s="18"/>
      <c r="D897" s="47"/>
      <c r="E897" s="18"/>
      <c r="F897" s="18"/>
      <c r="G897" s="18"/>
      <c r="H897" s="18"/>
      <c r="I897" s="25"/>
      <c r="J897" s="18"/>
      <c r="K897" s="18"/>
      <c r="L897" s="18"/>
      <c r="M897" s="18"/>
      <c r="N897" s="18"/>
      <c r="O897" s="18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>
      <c r="A898" s="1"/>
      <c r="B898" s="1"/>
      <c r="C898" s="18"/>
      <c r="D898" s="47"/>
      <c r="E898" s="18"/>
      <c r="F898" s="18"/>
      <c r="G898" s="18"/>
      <c r="H898" s="18"/>
      <c r="I898" s="25"/>
      <c r="J898" s="18"/>
      <c r="K898" s="18"/>
      <c r="L898" s="18"/>
      <c r="M898" s="18"/>
      <c r="N898" s="18"/>
      <c r="O898" s="18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>
      <c r="A899" s="1"/>
      <c r="B899" s="1"/>
      <c r="C899" s="18"/>
      <c r="D899" s="47"/>
      <c r="E899" s="18"/>
      <c r="F899" s="18"/>
      <c r="G899" s="18"/>
      <c r="H899" s="18"/>
      <c r="I899" s="25"/>
      <c r="J899" s="18"/>
      <c r="K899" s="18"/>
      <c r="L899" s="18"/>
      <c r="M899" s="18"/>
      <c r="N899" s="18"/>
      <c r="O899" s="18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>
      <c r="A900" s="1"/>
      <c r="B900" s="1"/>
      <c r="C900" s="18"/>
      <c r="D900" s="47"/>
      <c r="E900" s="18"/>
      <c r="F900" s="18"/>
      <c r="G900" s="18"/>
      <c r="H900" s="18"/>
      <c r="I900" s="25"/>
      <c r="J900" s="18"/>
      <c r="K900" s="18"/>
      <c r="L900" s="18"/>
      <c r="M900" s="18"/>
      <c r="N900" s="18"/>
      <c r="O900" s="18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>
      <c r="A901" s="1"/>
      <c r="B901" s="1"/>
      <c r="C901" s="18"/>
      <c r="D901" s="47"/>
      <c r="E901" s="18"/>
      <c r="F901" s="18"/>
      <c r="G901" s="18"/>
      <c r="H901" s="18"/>
      <c r="I901" s="25"/>
      <c r="J901" s="18"/>
      <c r="K901" s="18"/>
      <c r="L901" s="18"/>
      <c r="M901" s="18"/>
      <c r="N901" s="18"/>
      <c r="O901" s="18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>
      <c r="A902" s="1"/>
      <c r="B902" s="1"/>
      <c r="C902" s="18"/>
      <c r="D902" s="47"/>
      <c r="E902" s="18"/>
      <c r="F902" s="18"/>
      <c r="G902" s="18"/>
      <c r="H902" s="18"/>
      <c r="I902" s="25"/>
      <c r="J902" s="18"/>
      <c r="K902" s="18"/>
      <c r="L902" s="18"/>
      <c r="M902" s="18"/>
      <c r="N902" s="18"/>
      <c r="O902" s="18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>
      <c r="A903" s="1"/>
      <c r="B903" s="1"/>
      <c r="C903" s="18"/>
      <c r="D903" s="47"/>
      <c r="E903" s="18"/>
      <c r="F903" s="18"/>
      <c r="G903" s="18"/>
      <c r="H903" s="18"/>
      <c r="I903" s="25"/>
      <c r="J903" s="18"/>
      <c r="K903" s="18"/>
      <c r="L903" s="18"/>
      <c r="M903" s="18"/>
      <c r="N903" s="18"/>
      <c r="O903" s="18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>
      <c r="A904" s="1"/>
      <c r="B904" s="1"/>
      <c r="C904" s="18"/>
      <c r="D904" s="47"/>
      <c r="E904" s="18"/>
      <c r="F904" s="18"/>
      <c r="G904" s="18"/>
      <c r="H904" s="18"/>
      <c r="I904" s="25"/>
      <c r="J904" s="18"/>
      <c r="K904" s="18"/>
      <c r="L904" s="18"/>
      <c r="M904" s="18"/>
      <c r="N904" s="18"/>
      <c r="O904" s="18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>
      <c r="A905" s="1"/>
      <c r="B905" s="1"/>
      <c r="C905" s="18"/>
      <c r="D905" s="47"/>
      <c r="E905" s="18"/>
      <c r="F905" s="18"/>
      <c r="G905" s="18"/>
      <c r="H905" s="18"/>
      <c r="I905" s="25"/>
      <c r="J905" s="18"/>
      <c r="K905" s="18"/>
      <c r="L905" s="18"/>
      <c r="M905" s="18"/>
      <c r="N905" s="18"/>
      <c r="O905" s="18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>
      <c r="A906" s="1"/>
      <c r="B906" s="1"/>
      <c r="C906" s="18"/>
      <c r="D906" s="47"/>
      <c r="E906" s="18"/>
      <c r="F906" s="18"/>
      <c r="G906" s="18"/>
      <c r="H906" s="18"/>
      <c r="I906" s="25"/>
      <c r="J906" s="18"/>
      <c r="K906" s="18"/>
      <c r="L906" s="18"/>
      <c r="M906" s="18"/>
      <c r="N906" s="18"/>
      <c r="O906" s="18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>
      <c r="A907" s="1"/>
      <c r="B907" s="1"/>
      <c r="C907" s="18"/>
      <c r="D907" s="47"/>
      <c r="E907" s="18"/>
      <c r="F907" s="18"/>
      <c r="G907" s="18"/>
      <c r="H907" s="18"/>
      <c r="I907" s="25"/>
      <c r="J907" s="18"/>
      <c r="K907" s="18"/>
      <c r="L907" s="18"/>
      <c r="M907" s="18"/>
      <c r="N907" s="18"/>
      <c r="O907" s="18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>
      <c r="A908" s="1"/>
      <c r="B908" s="1"/>
      <c r="C908" s="18"/>
      <c r="D908" s="47"/>
      <c r="E908" s="18"/>
      <c r="F908" s="18"/>
      <c r="G908" s="18"/>
      <c r="H908" s="18"/>
      <c r="I908" s="25"/>
      <c r="J908" s="18"/>
      <c r="K908" s="18"/>
      <c r="L908" s="18"/>
      <c r="M908" s="18"/>
      <c r="N908" s="18"/>
      <c r="O908" s="18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>
      <c r="A909" s="1"/>
      <c r="B909" s="1"/>
      <c r="C909" s="18"/>
      <c r="D909" s="47"/>
      <c r="E909" s="18"/>
      <c r="F909" s="18"/>
      <c r="G909" s="18"/>
      <c r="H909" s="18"/>
      <c r="I909" s="25"/>
      <c r="J909" s="18"/>
      <c r="K909" s="18"/>
      <c r="L909" s="18"/>
      <c r="M909" s="18"/>
      <c r="N909" s="18"/>
      <c r="O909" s="18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>
      <c r="A910" s="1"/>
      <c r="B910" s="1"/>
      <c r="C910" s="18"/>
      <c r="D910" s="47"/>
      <c r="E910" s="18"/>
      <c r="F910" s="18"/>
      <c r="G910" s="18"/>
      <c r="H910" s="18"/>
      <c r="I910" s="25"/>
      <c r="J910" s="18"/>
      <c r="K910" s="18"/>
      <c r="L910" s="18"/>
      <c r="M910" s="18"/>
      <c r="N910" s="18"/>
      <c r="O910" s="18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>
      <c r="A911" s="1"/>
      <c r="B911" s="1"/>
      <c r="C911" s="18"/>
      <c r="D911" s="47"/>
      <c r="E911" s="18"/>
      <c r="F911" s="18"/>
      <c r="G911" s="18"/>
      <c r="H911" s="18"/>
      <c r="I911" s="25"/>
      <c r="J911" s="18"/>
      <c r="K911" s="18"/>
      <c r="L911" s="18"/>
      <c r="M911" s="18"/>
      <c r="N911" s="18"/>
      <c r="O911" s="18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>
      <c r="A912" s="1"/>
      <c r="B912" s="1"/>
      <c r="C912" s="18"/>
      <c r="D912" s="47"/>
      <c r="E912" s="18"/>
      <c r="F912" s="18"/>
      <c r="G912" s="18"/>
      <c r="H912" s="18"/>
      <c r="I912" s="25"/>
      <c r="J912" s="18"/>
      <c r="K912" s="18"/>
      <c r="L912" s="18"/>
      <c r="M912" s="18"/>
      <c r="N912" s="18"/>
      <c r="O912" s="18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>
      <c r="A913" s="1"/>
      <c r="B913" s="1"/>
      <c r="C913" s="18"/>
      <c r="D913" s="47"/>
      <c r="E913" s="18"/>
      <c r="F913" s="18"/>
      <c r="G913" s="18"/>
      <c r="H913" s="18"/>
      <c r="I913" s="25"/>
      <c r="J913" s="18"/>
      <c r="K913" s="18"/>
      <c r="L913" s="18"/>
      <c r="M913" s="18"/>
      <c r="N913" s="18"/>
      <c r="O913" s="18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>
      <c r="A914" s="1"/>
      <c r="B914" s="1"/>
      <c r="C914" s="18"/>
      <c r="D914" s="47"/>
      <c r="E914" s="18"/>
      <c r="F914" s="18"/>
      <c r="G914" s="18"/>
      <c r="H914" s="18"/>
      <c r="I914" s="25"/>
      <c r="J914" s="18"/>
      <c r="K914" s="18"/>
      <c r="L914" s="18"/>
      <c r="M914" s="18"/>
      <c r="N914" s="18"/>
      <c r="O914" s="18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>
      <c r="A915" s="1"/>
      <c r="B915" s="1"/>
      <c r="C915" s="18"/>
      <c r="D915" s="47"/>
      <c r="E915" s="18"/>
      <c r="F915" s="18"/>
      <c r="G915" s="18"/>
      <c r="H915" s="18"/>
      <c r="I915" s="25"/>
      <c r="J915" s="18"/>
      <c r="K915" s="18"/>
      <c r="L915" s="18"/>
      <c r="M915" s="18"/>
      <c r="N915" s="18"/>
      <c r="O915" s="18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>
      <c r="A916" s="1"/>
      <c r="B916" s="1"/>
      <c r="C916" s="18"/>
      <c r="D916" s="47"/>
      <c r="E916" s="18"/>
      <c r="F916" s="18"/>
      <c r="G916" s="18"/>
      <c r="H916" s="18"/>
      <c r="I916" s="25"/>
      <c r="J916" s="18"/>
      <c r="K916" s="18"/>
      <c r="L916" s="18"/>
      <c r="M916" s="18"/>
      <c r="N916" s="18"/>
      <c r="O916" s="18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>
      <c r="A917" s="1"/>
      <c r="B917" s="1"/>
      <c r="C917" s="18"/>
      <c r="D917" s="47"/>
      <c r="E917" s="18"/>
      <c r="F917" s="18"/>
      <c r="G917" s="18"/>
      <c r="H917" s="18"/>
      <c r="I917" s="25"/>
      <c r="J917" s="18"/>
      <c r="K917" s="18"/>
      <c r="L917" s="18"/>
      <c r="M917" s="18"/>
      <c r="N917" s="18"/>
      <c r="O917" s="18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>
      <c r="A918" s="1"/>
      <c r="B918" s="1"/>
      <c r="C918" s="18"/>
      <c r="D918" s="47"/>
      <c r="E918" s="18"/>
      <c r="F918" s="18"/>
      <c r="G918" s="18"/>
      <c r="H918" s="18"/>
      <c r="I918" s="25"/>
      <c r="J918" s="18"/>
      <c r="K918" s="18"/>
      <c r="L918" s="18"/>
      <c r="M918" s="18"/>
      <c r="N918" s="18"/>
      <c r="O918" s="18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>
      <c r="A919" s="1"/>
      <c r="B919" s="1"/>
      <c r="C919" s="18"/>
      <c r="D919" s="47"/>
      <c r="E919" s="18"/>
      <c r="F919" s="18"/>
      <c r="G919" s="18"/>
      <c r="H919" s="18"/>
      <c r="I919" s="25"/>
      <c r="J919" s="18"/>
      <c r="K919" s="18"/>
      <c r="L919" s="18"/>
      <c r="M919" s="18"/>
      <c r="N919" s="18"/>
      <c r="O919" s="18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>
      <c r="A920" s="1"/>
      <c r="B920" s="1"/>
      <c r="C920" s="18"/>
      <c r="D920" s="47"/>
      <c r="E920" s="18"/>
      <c r="F920" s="18"/>
      <c r="G920" s="18"/>
      <c r="H920" s="18"/>
      <c r="I920" s="25"/>
      <c r="J920" s="18"/>
      <c r="K920" s="18"/>
      <c r="L920" s="18"/>
      <c r="M920" s="18"/>
      <c r="N920" s="18"/>
      <c r="O920" s="18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>
      <c r="A921" s="1"/>
      <c r="B921" s="1"/>
      <c r="C921" s="18"/>
      <c r="D921" s="47"/>
      <c r="E921" s="18"/>
      <c r="F921" s="18"/>
      <c r="G921" s="18"/>
      <c r="H921" s="18"/>
      <c r="I921" s="25"/>
      <c r="J921" s="18"/>
      <c r="K921" s="18"/>
      <c r="L921" s="18"/>
      <c r="M921" s="18"/>
      <c r="N921" s="18"/>
      <c r="O921" s="18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>
      <c r="A922" s="1"/>
      <c r="B922" s="1"/>
      <c r="C922" s="18"/>
      <c r="D922" s="47"/>
      <c r="E922" s="18"/>
      <c r="F922" s="18"/>
      <c r="G922" s="18"/>
      <c r="H922" s="18"/>
      <c r="I922" s="25"/>
      <c r="J922" s="18"/>
      <c r="K922" s="18"/>
      <c r="L922" s="18"/>
      <c r="M922" s="18"/>
      <c r="N922" s="18"/>
      <c r="O922" s="18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>
      <c r="A923" s="1"/>
      <c r="B923" s="1"/>
      <c r="C923" s="18"/>
      <c r="D923" s="47"/>
      <c r="E923" s="18"/>
      <c r="F923" s="18"/>
      <c r="G923" s="18"/>
      <c r="H923" s="18"/>
      <c r="I923" s="25"/>
      <c r="J923" s="18"/>
      <c r="K923" s="18"/>
      <c r="L923" s="18"/>
      <c r="M923" s="18"/>
      <c r="N923" s="18"/>
      <c r="O923" s="18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>
      <c r="A924" s="1"/>
      <c r="B924" s="1"/>
      <c r="C924" s="18"/>
      <c r="D924" s="47"/>
      <c r="E924" s="18"/>
      <c r="F924" s="18"/>
      <c r="G924" s="18"/>
      <c r="H924" s="18"/>
      <c r="I924" s="25"/>
      <c r="J924" s="18"/>
      <c r="K924" s="18"/>
      <c r="L924" s="18"/>
      <c r="M924" s="18"/>
      <c r="N924" s="18"/>
      <c r="O924" s="18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>
      <c r="A925" s="1"/>
      <c r="B925" s="1"/>
      <c r="C925" s="18"/>
      <c r="D925" s="47"/>
      <c r="E925" s="18"/>
      <c r="F925" s="18"/>
      <c r="G925" s="18"/>
      <c r="H925" s="18"/>
      <c r="I925" s="25"/>
      <c r="J925" s="18"/>
      <c r="K925" s="18"/>
      <c r="L925" s="18"/>
      <c r="M925" s="18"/>
      <c r="N925" s="18"/>
      <c r="O925" s="18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>
      <c r="A926" s="1"/>
      <c r="B926" s="1"/>
      <c r="C926" s="18"/>
      <c r="D926" s="47"/>
      <c r="E926" s="18"/>
      <c r="F926" s="18"/>
      <c r="G926" s="18"/>
      <c r="H926" s="18"/>
      <c r="I926" s="25"/>
      <c r="J926" s="18"/>
      <c r="K926" s="18"/>
      <c r="L926" s="18"/>
      <c r="M926" s="18"/>
      <c r="N926" s="18"/>
      <c r="O926" s="18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>
      <c r="A927" s="1"/>
      <c r="B927" s="1"/>
      <c r="C927" s="18"/>
      <c r="D927" s="47"/>
      <c r="E927" s="18"/>
      <c r="F927" s="18"/>
      <c r="G927" s="18"/>
      <c r="H927" s="18"/>
      <c r="I927" s="25"/>
      <c r="J927" s="18"/>
      <c r="K927" s="18"/>
      <c r="L927" s="18"/>
      <c r="M927" s="18"/>
      <c r="N927" s="18"/>
      <c r="O927" s="18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>
      <c r="A928" s="1"/>
      <c r="B928" s="1"/>
      <c r="C928" s="18"/>
      <c r="D928" s="47"/>
      <c r="E928" s="18"/>
      <c r="F928" s="18"/>
      <c r="G928" s="18"/>
      <c r="H928" s="18"/>
      <c r="I928" s="25"/>
      <c r="J928" s="18"/>
      <c r="K928" s="18"/>
      <c r="L928" s="18"/>
      <c r="M928" s="18"/>
      <c r="N928" s="18"/>
      <c r="O928" s="18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>
      <c r="A929" s="1"/>
      <c r="B929" s="1"/>
      <c r="C929" s="18"/>
      <c r="D929" s="47"/>
      <c r="E929" s="18"/>
      <c r="F929" s="18"/>
      <c r="G929" s="18"/>
      <c r="H929" s="18"/>
      <c r="I929" s="25"/>
      <c r="J929" s="18"/>
      <c r="K929" s="18"/>
      <c r="L929" s="18"/>
      <c r="M929" s="18"/>
      <c r="N929" s="18"/>
      <c r="O929" s="18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>
      <c r="A930" s="1"/>
      <c r="B930" s="1"/>
      <c r="C930" s="18"/>
      <c r="D930" s="47"/>
      <c r="E930" s="18"/>
      <c r="F930" s="18"/>
      <c r="G930" s="18"/>
      <c r="H930" s="18"/>
      <c r="I930" s="25"/>
      <c r="J930" s="18"/>
      <c r="K930" s="18"/>
      <c r="L930" s="18"/>
      <c r="M930" s="18"/>
      <c r="N930" s="18"/>
      <c r="O930" s="18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>
      <c r="A931" s="1"/>
      <c r="B931" s="1"/>
      <c r="C931" s="18"/>
      <c r="D931" s="47"/>
      <c r="E931" s="18"/>
      <c r="F931" s="18"/>
      <c r="G931" s="18"/>
      <c r="H931" s="18"/>
      <c r="I931" s="25"/>
      <c r="J931" s="18"/>
      <c r="K931" s="18"/>
      <c r="L931" s="18"/>
      <c r="M931" s="18"/>
      <c r="N931" s="18"/>
      <c r="O931" s="18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>
      <c r="A932" s="1"/>
      <c r="B932" s="1"/>
      <c r="C932" s="18"/>
      <c r="D932" s="47"/>
      <c r="E932" s="18"/>
      <c r="F932" s="18"/>
      <c r="G932" s="18"/>
      <c r="H932" s="18"/>
      <c r="I932" s="25"/>
      <c r="J932" s="18"/>
      <c r="K932" s="18"/>
      <c r="L932" s="18"/>
      <c r="M932" s="18"/>
      <c r="N932" s="18"/>
      <c r="O932" s="18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>
      <c r="A933" s="1"/>
      <c r="B933" s="1"/>
      <c r="C933" s="18"/>
      <c r="D933" s="47"/>
      <c r="E933" s="18"/>
      <c r="F933" s="18"/>
      <c r="G933" s="18"/>
      <c r="H933" s="18"/>
      <c r="I933" s="25"/>
      <c r="J933" s="18"/>
      <c r="K933" s="18"/>
      <c r="L933" s="18"/>
      <c r="M933" s="18"/>
      <c r="N933" s="18"/>
      <c r="O933" s="18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>
      <c r="A934" s="1"/>
      <c r="B934" s="1"/>
      <c r="C934" s="18"/>
      <c r="D934" s="47"/>
      <c r="E934" s="18"/>
      <c r="F934" s="18"/>
      <c r="G934" s="18"/>
      <c r="H934" s="18"/>
      <c r="I934" s="25"/>
      <c r="J934" s="18"/>
      <c r="K934" s="18"/>
      <c r="L934" s="18"/>
      <c r="M934" s="18"/>
      <c r="N934" s="18"/>
      <c r="O934" s="18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>
      <c r="A935" s="1"/>
      <c r="B935" s="1"/>
      <c r="C935" s="18"/>
      <c r="D935" s="47"/>
      <c r="E935" s="18"/>
      <c r="F935" s="18"/>
      <c r="G935" s="18"/>
      <c r="H935" s="18"/>
      <c r="I935" s="25"/>
      <c r="J935" s="18"/>
      <c r="K935" s="18"/>
      <c r="L935" s="18"/>
      <c r="M935" s="18"/>
      <c r="N935" s="18"/>
      <c r="O935" s="18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>
      <c r="A936" s="1"/>
      <c r="B936" s="1"/>
      <c r="C936" s="18"/>
      <c r="D936" s="47"/>
      <c r="E936" s="18"/>
      <c r="F936" s="18"/>
      <c r="G936" s="18"/>
      <c r="H936" s="18"/>
      <c r="I936" s="25"/>
      <c r="J936" s="18"/>
      <c r="K936" s="18"/>
      <c r="L936" s="18"/>
      <c r="M936" s="18"/>
      <c r="N936" s="18"/>
      <c r="O936" s="18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>
      <c r="A937" s="1"/>
      <c r="B937" s="1"/>
      <c r="C937" s="18"/>
      <c r="D937" s="47"/>
      <c r="E937" s="18"/>
      <c r="F937" s="18"/>
      <c r="G937" s="18"/>
      <c r="H937" s="18"/>
      <c r="I937" s="25"/>
      <c r="J937" s="18"/>
      <c r="K937" s="18"/>
      <c r="L937" s="18"/>
      <c r="M937" s="18"/>
      <c r="N937" s="18"/>
      <c r="O937" s="18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>
      <c r="A938" s="1"/>
      <c r="B938" s="1"/>
      <c r="C938" s="18"/>
      <c r="D938" s="47"/>
      <c r="E938" s="18"/>
      <c r="F938" s="18"/>
      <c r="G938" s="18"/>
      <c r="H938" s="18"/>
      <c r="I938" s="25"/>
      <c r="J938" s="18"/>
      <c r="K938" s="18"/>
      <c r="L938" s="18"/>
      <c r="M938" s="18"/>
      <c r="N938" s="18"/>
      <c r="O938" s="18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>
      <c r="A939" s="1"/>
      <c r="B939" s="1"/>
      <c r="C939" s="18"/>
      <c r="D939" s="47"/>
      <c r="E939" s="18"/>
      <c r="F939" s="18"/>
      <c r="G939" s="18"/>
      <c r="H939" s="18"/>
      <c r="I939" s="25"/>
      <c r="J939" s="18"/>
      <c r="K939" s="18"/>
      <c r="L939" s="18"/>
      <c r="M939" s="18"/>
      <c r="N939" s="18"/>
      <c r="O939" s="18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>
      <c r="A940" s="1"/>
      <c r="B940" s="1"/>
      <c r="C940" s="18"/>
      <c r="D940" s="47"/>
      <c r="E940" s="18"/>
      <c r="F940" s="18"/>
      <c r="G940" s="18"/>
      <c r="H940" s="18"/>
      <c r="I940" s="25"/>
      <c r="J940" s="18"/>
      <c r="K940" s="18"/>
      <c r="L940" s="18"/>
      <c r="M940" s="18"/>
      <c r="N940" s="18"/>
      <c r="O940" s="18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>
      <c r="A941" s="1"/>
      <c r="B941" s="1"/>
      <c r="C941" s="18"/>
      <c r="D941" s="47"/>
      <c r="E941" s="18"/>
      <c r="F941" s="18"/>
      <c r="G941" s="18"/>
      <c r="H941" s="18"/>
      <c r="I941" s="25"/>
      <c r="J941" s="18"/>
      <c r="K941" s="18"/>
      <c r="L941" s="18"/>
      <c r="M941" s="18"/>
      <c r="N941" s="18"/>
      <c r="O941" s="18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>
      <c r="A942" s="1"/>
      <c r="B942" s="1"/>
      <c r="C942" s="18"/>
      <c r="D942" s="47"/>
      <c r="E942" s="18"/>
      <c r="F942" s="18"/>
      <c r="G942" s="18"/>
      <c r="H942" s="18"/>
      <c r="I942" s="25"/>
      <c r="J942" s="18"/>
      <c r="K942" s="18"/>
      <c r="L942" s="18"/>
      <c r="M942" s="18"/>
      <c r="N942" s="18"/>
      <c r="O942" s="18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>
      <c r="A943" s="1"/>
      <c r="B943" s="1"/>
      <c r="C943" s="18"/>
      <c r="D943" s="47"/>
      <c r="E943" s="18"/>
      <c r="F943" s="18"/>
      <c r="G943" s="18"/>
      <c r="H943" s="18"/>
      <c r="I943" s="25"/>
      <c r="J943" s="18"/>
      <c r="K943" s="18"/>
      <c r="L943" s="18"/>
      <c r="M943" s="18"/>
      <c r="N943" s="18"/>
      <c r="O943" s="18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>
      <c r="A944" s="1"/>
      <c r="B944" s="1"/>
      <c r="C944" s="18"/>
      <c r="D944" s="47"/>
      <c r="E944" s="18"/>
      <c r="F944" s="18"/>
      <c r="G944" s="18"/>
      <c r="H944" s="18"/>
      <c r="I944" s="25"/>
      <c r="J944" s="18"/>
      <c r="K944" s="18"/>
      <c r="L944" s="18"/>
      <c r="M944" s="18"/>
      <c r="N944" s="18"/>
      <c r="O944" s="18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>
      <c r="A945" s="1"/>
      <c r="B945" s="1"/>
      <c r="C945" s="18"/>
      <c r="D945" s="47"/>
      <c r="E945" s="18"/>
      <c r="F945" s="18"/>
      <c r="G945" s="18"/>
      <c r="H945" s="18"/>
      <c r="I945" s="25"/>
      <c r="J945" s="18"/>
      <c r="K945" s="18"/>
      <c r="L945" s="18"/>
      <c r="M945" s="18"/>
      <c r="N945" s="18"/>
      <c r="O945" s="18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>
      <c r="A946" s="1"/>
      <c r="B946" s="1"/>
      <c r="C946" s="18"/>
      <c r="D946" s="47"/>
      <c r="E946" s="18"/>
      <c r="F946" s="18"/>
      <c r="G946" s="18"/>
      <c r="H946" s="18"/>
      <c r="I946" s="25"/>
      <c r="J946" s="18"/>
      <c r="K946" s="18"/>
      <c r="L946" s="18"/>
      <c r="M946" s="18"/>
      <c r="N946" s="18"/>
      <c r="O946" s="18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>
      <c r="A947" s="1"/>
      <c r="B947" s="1"/>
      <c r="C947" s="18"/>
      <c r="D947" s="47"/>
      <c r="E947" s="18"/>
      <c r="F947" s="18"/>
      <c r="G947" s="18"/>
      <c r="H947" s="18"/>
      <c r="I947" s="25"/>
      <c r="J947" s="18"/>
      <c r="K947" s="18"/>
      <c r="L947" s="18"/>
      <c r="M947" s="18"/>
      <c r="N947" s="18"/>
      <c r="O947" s="18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>
      <c r="A948" s="1"/>
      <c r="B948" s="1"/>
      <c r="C948" s="18"/>
      <c r="D948" s="47"/>
      <c r="E948" s="18"/>
      <c r="F948" s="18"/>
      <c r="G948" s="18"/>
      <c r="H948" s="18"/>
      <c r="I948" s="25"/>
      <c r="J948" s="18"/>
      <c r="K948" s="18"/>
      <c r="L948" s="18"/>
      <c r="M948" s="18"/>
      <c r="N948" s="18"/>
      <c r="O948" s="18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>
      <c r="A949" s="1"/>
      <c r="B949" s="1"/>
      <c r="C949" s="18"/>
      <c r="D949" s="47"/>
      <c r="E949" s="18"/>
      <c r="F949" s="18"/>
      <c r="G949" s="18"/>
      <c r="H949" s="18"/>
      <c r="I949" s="25"/>
      <c r="J949" s="18"/>
      <c r="K949" s="18"/>
      <c r="L949" s="18"/>
      <c r="M949" s="18"/>
      <c r="N949" s="18"/>
      <c r="O949" s="18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>
      <c r="A950" s="1"/>
      <c r="B950" s="1"/>
      <c r="C950" s="18"/>
      <c r="D950" s="47"/>
      <c r="E950" s="18"/>
      <c r="F950" s="18"/>
      <c r="G950" s="18"/>
      <c r="H950" s="18"/>
      <c r="I950" s="25"/>
      <c r="J950" s="18"/>
      <c r="K950" s="18"/>
      <c r="L950" s="18"/>
      <c r="M950" s="18"/>
      <c r="N950" s="18"/>
      <c r="O950" s="18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>
      <c r="A951" s="1"/>
      <c r="B951" s="1"/>
      <c r="C951" s="18"/>
      <c r="D951" s="47"/>
      <c r="E951" s="18"/>
      <c r="F951" s="18"/>
      <c r="G951" s="18"/>
      <c r="H951" s="18"/>
      <c r="I951" s="25"/>
      <c r="J951" s="18"/>
      <c r="K951" s="18"/>
      <c r="L951" s="18"/>
      <c r="M951" s="18"/>
      <c r="N951" s="18"/>
      <c r="O951" s="18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>
      <c r="A952" s="1"/>
      <c r="B952" s="1"/>
      <c r="C952" s="18"/>
      <c r="D952" s="47"/>
      <c r="E952" s="18"/>
      <c r="F952" s="18"/>
      <c r="G952" s="18"/>
      <c r="H952" s="18"/>
      <c r="I952" s="25"/>
      <c r="J952" s="18"/>
      <c r="K952" s="18"/>
      <c r="L952" s="18"/>
      <c r="M952" s="18"/>
      <c r="N952" s="18"/>
      <c r="O952" s="18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>
      <c r="A953" s="1"/>
      <c r="B953" s="1"/>
      <c r="C953" s="18"/>
      <c r="D953" s="47"/>
      <c r="E953" s="18"/>
      <c r="F953" s="18"/>
      <c r="G953" s="18"/>
      <c r="H953" s="18"/>
      <c r="I953" s="25"/>
      <c r="J953" s="18"/>
      <c r="K953" s="18"/>
      <c r="L953" s="18"/>
      <c r="M953" s="18"/>
      <c r="N953" s="18"/>
      <c r="O953" s="18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>
      <c r="A954" s="1"/>
      <c r="B954" s="1"/>
      <c r="C954" s="18"/>
      <c r="D954" s="47"/>
      <c r="E954" s="18"/>
      <c r="F954" s="18"/>
      <c r="G954" s="18"/>
      <c r="H954" s="18"/>
      <c r="I954" s="25"/>
      <c r="J954" s="18"/>
      <c r="K954" s="18"/>
      <c r="L954" s="18"/>
      <c r="M954" s="18"/>
      <c r="N954" s="18"/>
      <c r="O954" s="18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>
      <c r="A955" s="1"/>
      <c r="B955" s="1"/>
      <c r="C955" s="18"/>
      <c r="D955" s="47"/>
      <c r="E955" s="18"/>
      <c r="F955" s="18"/>
      <c r="G955" s="18"/>
      <c r="H955" s="18"/>
      <c r="I955" s="25"/>
      <c r="J955" s="18"/>
      <c r="K955" s="18"/>
      <c r="L955" s="18"/>
      <c r="M955" s="18"/>
      <c r="N955" s="18"/>
      <c r="O955" s="18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>
      <c r="A956" s="1"/>
      <c r="B956" s="1"/>
      <c r="C956" s="18"/>
      <c r="D956" s="47"/>
      <c r="E956" s="18"/>
      <c r="F956" s="18"/>
      <c r="G956" s="18"/>
      <c r="H956" s="18"/>
      <c r="I956" s="25"/>
      <c r="J956" s="18"/>
      <c r="K956" s="18"/>
      <c r="L956" s="18"/>
      <c r="M956" s="18"/>
      <c r="N956" s="18"/>
      <c r="O956" s="18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>
      <c r="A957" s="1"/>
      <c r="B957" s="1"/>
      <c r="C957" s="18"/>
      <c r="D957" s="47"/>
      <c r="E957" s="18"/>
      <c r="F957" s="18"/>
      <c r="G957" s="18"/>
      <c r="H957" s="18"/>
      <c r="I957" s="25"/>
      <c r="J957" s="18"/>
      <c r="K957" s="18"/>
      <c r="L957" s="18"/>
      <c r="M957" s="18"/>
      <c r="N957" s="18"/>
      <c r="O957" s="18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>
      <c r="A958" s="1"/>
      <c r="B958" s="1"/>
      <c r="C958" s="18"/>
      <c r="D958" s="47"/>
      <c r="E958" s="18"/>
      <c r="F958" s="18"/>
      <c r="G958" s="18"/>
      <c r="H958" s="18"/>
      <c r="I958" s="25"/>
      <c r="J958" s="18"/>
      <c r="K958" s="18"/>
      <c r="L958" s="18"/>
      <c r="M958" s="18"/>
      <c r="N958" s="18"/>
      <c r="O958" s="18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>
      <c r="A959" s="1"/>
      <c r="B959" s="1"/>
      <c r="C959" s="18"/>
      <c r="D959" s="47"/>
      <c r="E959" s="18"/>
      <c r="F959" s="18"/>
      <c r="G959" s="18"/>
      <c r="H959" s="18"/>
      <c r="I959" s="25"/>
      <c r="J959" s="18"/>
      <c r="K959" s="18"/>
      <c r="L959" s="18"/>
      <c r="M959" s="18"/>
      <c r="N959" s="18"/>
      <c r="O959" s="18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>
      <c r="A960" s="1"/>
      <c r="B960" s="1"/>
      <c r="C960" s="18"/>
      <c r="D960" s="47"/>
      <c r="E960" s="18"/>
      <c r="F960" s="18"/>
      <c r="G960" s="18"/>
      <c r="H960" s="18"/>
      <c r="I960" s="25"/>
      <c r="J960" s="18"/>
      <c r="K960" s="18"/>
      <c r="L960" s="18"/>
      <c r="M960" s="18"/>
      <c r="N960" s="18"/>
      <c r="O960" s="18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>
      <c r="A961" s="1"/>
      <c r="B961" s="1"/>
      <c r="C961" s="18"/>
      <c r="D961" s="47"/>
      <c r="E961" s="18"/>
      <c r="F961" s="18"/>
      <c r="G961" s="18"/>
      <c r="H961" s="18"/>
      <c r="I961" s="25"/>
      <c r="J961" s="18"/>
      <c r="K961" s="18"/>
      <c r="L961" s="18"/>
      <c r="M961" s="18"/>
      <c r="N961" s="18"/>
      <c r="O961" s="18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>
      <c r="A962" s="1"/>
      <c r="B962" s="1"/>
      <c r="C962" s="18"/>
      <c r="D962" s="47"/>
      <c r="E962" s="18"/>
      <c r="F962" s="18"/>
      <c r="G962" s="18"/>
      <c r="H962" s="18"/>
      <c r="I962" s="25"/>
      <c r="J962" s="18"/>
      <c r="K962" s="18"/>
      <c r="L962" s="18"/>
      <c r="M962" s="18"/>
      <c r="N962" s="18"/>
      <c r="O962" s="18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>
      <c r="A963" s="1"/>
      <c r="B963" s="1"/>
      <c r="C963" s="18"/>
      <c r="D963" s="47"/>
      <c r="E963" s="18"/>
      <c r="F963" s="18"/>
      <c r="G963" s="18"/>
      <c r="H963" s="18"/>
      <c r="I963" s="25"/>
      <c r="J963" s="18"/>
      <c r="K963" s="18"/>
      <c r="L963" s="18"/>
      <c r="M963" s="18"/>
      <c r="N963" s="18"/>
      <c r="O963" s="18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>
      <c r="A964" s="1"/>
      <c r="B964" s="1"/>
      <c r="C964" s="18"/>
      <c r="D964" s="47"/>
      <c r="E964" s="18"/>
      <c r="F964" s="18"/>
      <c r="G964" s="18"/>
      <c r="H964" s="18"/>
      <c r="I964" s="25"/>
      <c r="J964" s="18"/>
      <c r="K964" s="18"/>
      <c r="L964" s="18"/>
      <c r="M964" s="18"/>
      <c r="N964" s="18"/>
      <c r="O964" s="18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>
      <c r="A965" s="1"/>
      <c r="B965" s="1"/>
      <c r="C965" s="18"/>
      <c r="D965" s="47"/>
      <c r="E965" s="18"/>
      <c r="F965" s="18"/>
      <c r="G965" s="18"/>
      <c r="H965" s="18"/>
      <c r="I965" s="25"/>
      <c r="J965" s="18"/>
      <c r="K965" s="18"/>
      <c r="L965" s="18"/>
      <c r="M965" s="18"/>
      <c r="N965" s="18"/>
      <c r="O965" s="18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>
      <c r="A966" s="1"/>
      <c r="B966" s="1"/>
      <c r="C966" s="18"/>
      <c r="D966" s="47"/>
      <c r="E966" s="18"/>
      <c r="F966" s="18"/>
      <c r="G966" s="18"/>
      <c r="H966" s="18"/>
      <c r="I966" s="25"/>
      <c r="J966" s="18"/>
      <c r="K966" s="18"/>
      <c r="L966" s="18"/>
      <c r="M966" s="18"/>
      <c r="N966" s="18"/>
      <c r="O966" s="18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>
      <c r="A967" s="1"/>
      <c r="B967" s="1"/>
      <c r="C967" s="18"/>
      <c r="D967" s="47"/>
      <c r="E967" s="18"/>
      <c r="F967" s="18"/>
      <c r="G967" s="18"/>
      <c r="H967" s="18"/>
      <c r="I967" s="25"/>
      <c r="J967" s="18"/>
      <c r="K967" s="18"/>
      <c r="L967" s="18"/>
      <c r="M967" s="18"/>
      <c r="N967" s="18"/>
      <c r="O967" s="18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>
      <c r="A968" s="1"/>
      <c r="B968" s="1"/>
      <c r="C968" s="18"/>
      <c r="D968" s="47"/>
      <c r="E968" s="18"/>
      <c r="F968" s="18"/>
      <c r="G968" s="18"/>
      <c r="H968" s="18"/>
      <c r="I968" s="25"/>
      <c r="J968" s="18"/>
      <c r="K968" s="18"/>
      <c r="L968" s="18"/>
      <c r="M968" s="18"/>
      <c r="N968" s="18"/>
      <c r="O968" s="18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>
      <c r="A969" s="1"/>
      <c r="B969" s="1"/>
      <c r="C969" s="18"/>
      <c r="D969" s="47"/>
      <c r="E969" s="18"/>
      <c r="F969" s="18"/>
      <c r="G969" s="18"/>
      <c r="H969" s="18"/>
      <c r="I969" s="25"/>
      <c r="J969" s="18"/>
      <c r="K969" s="18"/>
      <c r="L969" s="18"/>
      <c r="M969" s="18"/>
      <c r="N969" s="18"/>
      <c r="O969" s="18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>
      <c r="A970" s="1"/>
      <c r="B970" s="1"/>
      <c r="C970" s="18"/>
      <c r="D970" s="47"/>
      <c r="E970" s="18"/>
      <c r="F970" s="18"/>
      <c r="G970" s="18"/>
      <c r="H970" s="18"/>
      <c r="I970" s="25"/>
      <c r="J970" s="18"/>
      <c r="K970" s="18"/>
      <c r="L970" s="18"/>
      <c r="M970" s="18"/>
      <c r="N970" s="18"/>
      <c r="O970" s="18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>
      <c r="A971" s="1"/>
      <c r="B971" s="1"/>
      <c r="C971" s="18"/>
      <c r="D971" s="47"/>
      <c r="E971" s="18"/>
      <c r="F971" s="18"/>
      <c r="G971" s="18"/>
      <c r="H971" s="18"/>
      <c r="I971" s="25"/>
      <c r="J971" s="18"/>
      <c r="K971" s="18"/>
      <c r="L971" s="18"/>
      <c r="M971" s="18"/>
      <c r="N971" s="18"/>
      <c r="O971" s="18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>
      <c r="A972" s="1"/>
      <c r="B972" s="1"/>
      <c r="C972" s="18"/>
      <c r="D972" s="47"/>
      <c r="E972" s="18"/>
      <c r="F972" s="18"/>
      <c r="G972" s="18"/>
      <c r="H972" s="18"/>
      <c r="I972" s="25"/>
      <c r="J972" s="18"/>
      <c r="K972" s="18"/>
      <c r="L972" s="18"/>
      <c r="M972" s="18"/>
      <c r="N972" s="18"/>
      <c r="O972" s="18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>
      <c r="A973" s="1"/>
      <c r="B973" s="1"/>
      <c r="C973" s="18"/>
      <c r="D973" s="47"/>
      <c r="E973" s="18"/>
      <c r="F973" s="18"/>
      <c r="G973" s="18"/>
      <c r="H973" s="18"/>
      <c r="I973" s="25"/>
      <c r="J973" s="18"/>
      <c r="K973" s="18"/>
      <c r="L973" s="18"/>
      <c r="M973" s="18"/>
      <c r="N973" s="18"/>
      <c r="O973" s="18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>
      <c r="A974" s="1"/>
      <c r="B974" s="1"/>
      <c r="C974" s="18"/>
      <c r="D974" s="47"/>
      <c r="E974" s="18"/>
      <c r="F974" s="18"/>
      <c r="G974" s="18"/>
      <c r="H974" s="18"/>
      <c r="I974" s="25"/>
      <c r="J974" s="18"/>
      <c r="K974" s="18"/>
      <c r="L974" s="18"/>
      <c r="M974" s="18"/>
      <c r="N974" s="18"/>
      <c r="O974" s="18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>
      <c r="A975" s="1"/>
      <c r="B975" s="1"/>
      <c r="C975" s="18"/>
      <c r="D975" s="47"/>
      <c r="E975" s="18"/>
      <c r="F975" s="18"/>
      <c r="G975" s="18"/>
      <c r="H975" s="18"/>
      <c r="I975" s="25"/>
      <c r="J975" s="18"/>
      <c r="K975" s="18"/>
      <c r="L975" s="18"/>
      <c r="M975" s="18"/>
      <c r="N975" s="18"/>
      <c r="O975" s="18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>
      <c r="A976" s="1"/>
      <c r="B976" s="1"/>
      <c r="C976" s="18"/>
      <c r="D976" s="47"/>
      <c r="E976" s="18"/>
      <c r="F976" s="18"/>
      <c r="G976" s="18"/>
      <c r="H976" s="18"/>
      <c r="I976" s="25"/>
      <c r="J976" s="18"/>
      <c r="K976" s="18"/>
      <c r="L976" s="18"/>
      <c r="M976" s="18"/>
      <c r="N976" s="18"/>
      <c r="O976" s="18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>
      <c r="A977" s="1"/>
      <c r="B977" s="1"/>
      <c r="C977" s="18"/>
      <c r="D977" s="47"/>
      <c r="E977" s="18"/>
      <c r="F977" s="18"/>
      <c r="G977" s="18"/>
      <c r="H977" s="18"/>
      <c r="I977" s="25"/>
      <c r="J977" s="18"/>
      <c r="K977" s="18"/>
      <c r="L977" s="18"/>
      <c r="M977" s="18"/>
      <c r="N977" s="18"/>
      <c r="O977" s="18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>
      <c r="A978" s="1"/>
      <c r="B978" s="1"/>
      <c r="C978" s="18"/>
      <c r="D978" s="47"/>
      <c r="E978" s="18"/>
      <c r="F978" s="18"/>
      <c r="G978" s="18"/>
      <c r="H978" s="18"/>
      <c r="I978" s="25"/>
      <c r="J978" s="18"/>
      <c r="K978" s="18"/>
      <c r="L978" s="18"/>
      <c r="M978" s="18"/>
      <c r="N978" s="18"/>
      <c r="O978" s="18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>
      <c r="A979" s="1"/>
      <c r="B979" s="1"/>
      <c r="C979" s="18"/>
      <c r="D979" s="47"/>
      <c r="E979" s="18"/>
      <c r="F979" s="18"/>
      <c r="G979" s="18"/>
      <c r="H979" s="18"/>
      <c r="I979" s="25"/>
      <c r="J979" s="18"/>
      <c r="K979" s="18"/>
      <c r="L979" s="18"/>
      <c r="M979" s="18"/>
      <c r="N979" s="18"/>
      <c r="O979" s="18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>
      <c r="A980" s="1"/>
      <c r="B980" s="1"/>
      <c r="C980" s="18"/>
      <c r="D980" s="47"/>
      <c r="E980" s="18"/>
      <c r="F980" s="18"/>
      <c r="G980" s="18"/>
      <c r="H980" s="18"/>
      <c r="I980" s="25"/>
      <c r="J980" s="18"/>
      <c r="K980" s="18"/>
      <c r="L980" s="18"/>
      <c r="M980" s="18"/>
      <c r="N980" s="18"/>
      <c r="O980" s="18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>
      <c r="A981" s="1"/>
      <c r="B981" s="1"/>
      <c r="C981" s="18"/>
      <c r="D981" s="47"/>
      <c r="E981" s="18"/>
      <c r="F981" s="18"/>
      <c r="G981" s="18"/>
      <c r="H981" s="18"/>
      <c r="I981" s="25"/>
      <c r="J981" s="18"/>
      <c r="K981" s="18"/>
      <c r="L981" s="18"/>
      <c r="M981" s="18"/>
      <c r="N981" s="18"/>
      <c r="O981" s="18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>
      <c r="A982" s="1"/>
      <c r="B982" s="1"/>
      <c r="C982" s="18"/>
      <c r="D982" s="47"/>
      <c r="E982" s="18"/>
      <c r="F982" s="18"/>
      <c r="G982" s="18"/>
      <c r="H982" s="18"/>
      <c r="I982" s="25"/>
      <c r="J982" s="18"/>
      <c r="K982" s="18"/>
      <c r="L982" s="18"/>
      <c r="M982" s="18"/>
      <c r="N982" s="18"/>
      <c r="O982" s="18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>
      <c r="A983" s="1"/>
      <c r="B983" s="1"/>
      <c r="C983" s="18"/>
      <c r="D983" s="47"/>
      <c r="E983" s="18"/>
      <c r="F983" s="18"/>
      <c r="G983" s="18"/>
      <c r="H983" s="18"/>
      <c r="I983" s="25"/>
      <c r="J983" s="18"/>
      <c r="K983" s="18"/>
      <c r="L983" s="18"/>
      <c r="M983" s="18"/>
      <c r="N983" s="18"/>
      <c r="O983" s="18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>
      <c r="A984" s="1"/>
      <c r="B984" s="1"/>
      <c r="C984" s="18"/>
      <c r="D984" s="47"/>
      <c r="E984" s="18"/>
      <c r="F984" s="18"/>
      <c r="G984" s="18"/>
      <c r="H984" s="18"/>
      <c r="I984" s="25"/>
      <c r="J984" s="18"/>
      <c r="K984" s="18"/>
      <c r="L984" s="18"/>
      <c r="M984" s="18"/>
      <c r="N984" s="18"/>
      <c r="O984" s="18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>
      <c r="A985" s="1"/>
      <c r="B985" s="1"/>
      <c r="C985" s="18"/>
      <c r="D985" s="47"/>
      <c r="E985" s="18"/>
      <c r="F985" s="18"/>
      <c r="G985" s="18"/>
      <c r="H985" s="18"/>
      <c r="I985" s="25"/>
      <c r="J985" s="18"/>
      <c r="K985" s="18"/>
      <c r="L985" s="18"/>
      <c r="M985" s="18"/>
      <c r="N985" s="18"/>
      <c r="O985" s="18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>
      <c r="A986" s="1"/>
      <c r="B986" s="1"/>
      <c r="C986" s="18"/>
      <c r="D986" s="47"/>
      <c r="E986" s="18"/>
      <c r="F986" s="18"/>
      <c r="G986" s="18"/>
      <c r="H986" s="18"/>
      <c r="I986" s="25"/>
      <c r="J986" s="18"/>
      <c r="K986" s="18"/>
      <c r="L986" s="18"/>
      <c r="M986" s="18"/>
      <c r="N986" s="18"/>
      <c r="O986" s="18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>
      <c r="A987" s="1"/>
      <c r="B987" s="1"/>
      <c r="C987" s="18"/>
      <c r="D987" s="47"/>
      <c r="E987" s="18"/>
      <c r="F987" s="18"/>
      <c r="G987" s="18"/>
      <c r="H987" s="18"/>
      <c r="I987" s="25"/>
      <c r="J987" s="18"/>
      <c r="K987" s="18"/>
      <c r="L987" s="18"/>
      <c r="M987" s="18"/>
      <c r="N987" s="18"/>
      <c r="O987" s="18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>
      <c r="A988" s="1"/>
      <c r="B988" s="1"/>
      <c r="C988" s="18"/>
      <c r="D988" s="47"/>
      <c r="E988" s="18"/>
      <c r="F988" s="18"/>
      <c r="G988" s="18"/>
      <c r="H988" s="18"/>
      <c r="I988" s="25"/>
      <c r="J988" s="18"/>
      <c r="K988" s="18"/>
      <c r="L988" s="18"/>
      <c r="M988" s="18"/>
      <c r="N988" s="18"/>
      <c r="O988" s="18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>
      <c r="A989" s="1"/>
      <c r="B989" s="1"/>
      <c r="C989" s="18"/>
      <c r="D989" s="47"/>
      <c r="E989" s="18"/>
      <c r="F989" s="18"/>
      <c r="G989" s="18"/>
      <c r="H989" s="18"/>
      <c r="I989" s="25"/>
      <c r="J989" s="18"/>
      <c r="K989" s="18"/>
      <c r="L989" s="18"/>
      <c r="M989" s="18"/>
      <c r="N989" s="18"/>
      <c r="O989" s="18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>
      <c r="A990" s="1"/>
      <c r="B990" s="1"/>
      <c r="C990" s="18"/>
      <c r="D990" s="47"/>
      <c r="E990" s="18"/>
      <c r="F990" s="18"/>
      <c r="G990" s="18"/>
      <c r="H990" s="18"/>
      <c r="I990" s="25"/>
      <c r="J990" s="18"/>
      <c r="K990" s="18"/>
      <c r="L990" s="18"/>
      <c r="M990" s="18"/>
      <c r="N990" s="18"/>
      <c r="O990" s="18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>
      <c r="A991" s="1"/>
      <c r="B991" s="1"/>
      <c r="C991" s="18"/>
      <c r="D991" s="47"/>
      <c r="E991" s="18"/>
      <c r="F991" s="18"/>
      <c r="G991" s="18"/>
      <c r="H991" s="18"/>
      <c r="I991" s="25"/>
      <c r="J991" s="18"/>
      <c r="K991" s="18"/>
      <c r="L991" s="18"/>
      <c r="M991" s="18"/>
      <c r="N991" s="18"/>
      <c r="O991" s="18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>
      <c r="A992" s="1"/>
      <c r="B992" s="1"/>
      <c r="C992" s="18"/>
      <c r="D992" s="47"/>
      <c r="E992" s="18"/>
      <c r="F992" s="18"/>
      <c r="G992" s="18"/>
      <c r="H992" s="18"/>
      <c r="I992" s="25"/>
      <c r="J992" s="18"/>
      <c r="K992" s="18"/>
      <c r="L992" s="18"/>
      <c r="M992" s="18"/>
      <c r="N992" s="18"/>
      <c r="O992" s="18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>
      <c r="A993" s="1"/>
      <c r="B993" s="1"/>
      <c r="C993" s="18"/>
      <c r="D993" s="47"/>
      <c r="E993" s="18"/>
      <c r="F993" s="18"/>
      <c r="G993" s="18"/>
      <c r="H993" s="18"/>
      <c r="I993" s="25"/>
      <c r="J993" s="18"/>
      <c r="K993" s="18"/>
      <c r="L993" s="18"/>
      <c r="M993" s="18"/>
      <c r="N993" s="18"/>
      <c r="O993" s="18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>
      <c r="A994" s="1"/>
      <c r="B994" s="1"/>
      <c r="C994" s="18"/>
      <c r="D994" s="47"/>
      <c r="E994" s="18"/>
      <c r="F994" s="18"/>
      <c r="G994" s="18"/>
      <c r="H994" s="18"/>
      <c r="I994" s="25"/>
      <c r="J994" s="18"/>
      <c r="K994" s="18"/>
      <c r="L994" s="18"/>
      <c r="M994" s="18"/>
      <c r="N994" s="18"/>
      <c r="O994" s="18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>
      <c r="A995" s="1"/>
      <c r="B995" s="1"/>
      <c r="C995" s="18"/>
      <c r="D995" s="47"/>
      <c r="E995" s="18"/>
      <c r="F995" s="18"/>
      <c r="G995" s="18"/>
      <c r="H995" s="18"/>
      <c r="I995" s="25"/>
      <c r="J995" s="18"/>
      <c r="K995" s="18"/>
      <c r="L995" s="18"/>
      <c r="M995" s="18"/>
      <c r="N995" s="18"/>
      <c r="O995" s="18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>
      <c r="A996" s="1"/>
      <c r="B996" s="1"/>
      <c r="C996" s="18"/>
      <c r="D996" s="47"/>
      <c r="E996" s="18"/>
      <c r="F996" s="18"/>
      <c r="G996" s="18"/>
      <c r="H996" s="18"/>
      <c r="I996" s="25"/>
      <c r="J996" s="18"/>
      <c r="K996" s="18"/>
      <c r="L996" s="18"/>
      <c r="M996" s="18"/>
      <c r="N996" s="18"/>
      <c r="O996" s="18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</sheetData>
  <conditionalFormatting sqref="F1:F996">
    <cfRule type="containsText" dxfId="0" priority="1" operator="containsText" text="Propulsion">
      <formula>NOT(ISERROR(SEARCH(("Propulsion"),(F1))))</formula>
    </cfRule>
  </conditionalFormatting>
  <conditionalFormatting sqref="F1:F996">
    <cfRule type="containsText" dxfId="1" priority="2" operator="containsText" text="Avionics">
      <formula>NOT(ISERROR(SEARCH(("Avionics"),(F1))))</formula>
    </cfRule>
  </conditionalFormatting>
  <conditionalFormatting sqref="F1:F996">
    <cfRule type="containsText" dxfId="2" priority="3" operator="containsText" text="Structures">
      <formula>NOT(ISERROR(SEARCH(("Structures"),(F1))))</formula>
    </cfRule>
  </conditionalFormatting>
  <conditionalFormatting sqref="F1:F996">
    <cfRule type="containsText" dxfId="3" priority="4" operator="containsText" text="Systems">
      <formula>NOT(ISERROR(SEARCH(("Systems"),(F1))))</formula>
    </cfRule>
  </conditionalFormatting>
  <hyperlinks>
    <hyperlink r:id="rId1" ref="N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0"/>
    <col customWidth="1" hidden="1" min="2" max="2" width="8.0"/>
    <col customWidth="1" min="3" max="3" width="17.29"/>
    <col customWidth="1" min="4" max="4" width="11.29"/>
    <col customWidth="1" min="5" max="5" width="18.29"/>
    <col customWidth="1" min="6" max="6" width="15.14"/>
    <col customWidth="1" min="7" max="7" width="16.71"/>
    <col customWidth="1" min="8" max="8" width="15.71"/>
    <col customWidth="1" min="9" max="9" width="16.14"/>
    <col customWidth="1" min="10" max="10" width="12.0"/>
    <col customWidth="1" min="11" max="11" width="8.29"/>
    <col customWidth="1" min="12" max="12" width="18.57"/>
    <col customWidth="1" min="13" max="13" width="15.86"/>
    <col customWidth="1" min="14" max="14" width="11.14"/>
  </cols>
  <sheetData>
    <row r="1">
      <c r="A1" s="1"/>
      <c r="B1" s="2">
        <v>12000.0</v>
      </c>
      <c r="C1" s="3" t="s">
        <v>0</v>
      </c>
      <c r="D1" s="4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5" t="s">
        <v>6</v>
      </c>
      <c r="J1" s="3" t="s">
        <v>7</v>
      </c>
      <c r="K1" s="3" t="s">
        <v>8</v>
      </c>
      <c r="L1" s="6" t="s">
        <v>9</v>
      </c>
      <c r="M1" s="6" t="s">
        <v>10</v>
      </c>
      <c r="N1" s="6" t="s">
        <v>11</v>
      </c>
      <c r="O1" s="3" t="s">
        <v>12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ht="17.25" customHeight="1">
      <c r="A2" s="7"/>
      <c r="B2" s="8" t="s">
        <v>13</v>
      </c>
      <c r="C2" s="9">
        <f t="shared" ref="C2:C248" si="1">B2+$B$1</f>
        <v>12001</v>
      </c>
      <c r="D2" s="10" t="s">
        <v>334</v>
      </c>
      <c r="E2" s="23" t="s">
        <v>335</v>
      </c>
      <c r="F2" s="2" t="s">
        <v>336</v>
      </c>
      <c r="G2" s="2" t="s">
        <v>26</v>
      </c>
      <c r="H2" s="2" t="s">
        <v>18</v>
      </c>
      <c r="I2" s="12" t="s">
        <v>337</v>
      </c>
      <c r="J2" s="2" t="s">
        <v>338</v>
      </c>
      <c r="K2" s="52" t="s">
        <v>21</v>
      </c>
      <c r="L2" s="14" t="s">
        <v>29</v>
      </c>
      <c r="M2" s="14" t="s">
        <v>339</v>
      </c>
      <c r="N2" s="17" t="s">
        <v>340</v>
      </c>
      <c r="O2" s="2" t="s">
        <v>96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>
      <c r="A3" s="7"/>
      <c r="B3" s="8" t="s">
        <v>34</v>
      </c>
      <c r="C3" s="9">
        <f t="shared" si="1"/>
        <v>12002</v>
      </c>
      <c r="D3" s="10" t="s">
        <v>334</v>
      </c>
      <c r="E3" s="23"/>
      <c r="F3" s="2"/>
      <c r="G3" s="2"/>
      <c r="H3" s="2"/>
      <c r="I3" s="12"/>
      <c r="J3" s="2"/>
      <c r="K3" s="2"/>
      <c r="L3" s="14"/>
      <c r="M3" s="15"/>
      <c r="N3" s="14"/>
      <c r="O3" s="1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>
      <c r="A4" s="7"/>
      <c r="B4" s="8" t="s">
        <v>40</v>
      </c>
      <c r="C4" s="9">
        <f t="shared" si="1"/>
        <v>12003</v>
      </c>
      <c r="D4" s="10"/>
      <c r="E4" s="11"/>
      <c r="F4" s="2"/>
      <c r="G4" s="2"/>
      <c r="H4" s="2"/>
      <c r="I4" s="12"/>
      <c r="J4" s="2"/>
      <c r="K4" s="2"/>
      <c r="L4" s="14"/>
      <c r="M4" s="15"/>
      <c r="N4" s="14"/>
      <c r="O4" s="18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>
      <c r="A5" s="7"/>
      <c r="B5" s="8" t="s">
        <v>41</v>
      </c>
      <c r="C5" s="9">
        <f t="shared" si="1"/>
        <v>12004</v>
      </c>
      <c r="D5" s="10"/>
      <c r="E5" s="11"/>
      <c r="F5" s="2"/>
      <c r="G5" s="2"/>
      <c r="H5" s="2"/>
      <c r="I5" s="12"/>
      <c r="J5" s="2"/>
      <c r="K5" s="2"/>
      <c r="L5" s="14"/>
      <c r="M5" s="15"/>
      <c r="N5" s="14"/>
      <c r="O5" s="18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>
      <c r="A6" s="7"/>
      <c r="B6" s="8" t="s">
        <v>42</v>
      </c>
      <c r="C6" s="9">
        <f t="shared" si="1"/>
        <v>12005</v>
      </c>
      <c r="D6" s="10"/>
      <c r="E6" s="11"/>
      <c r="F6" s="2"/>
      <c r="G6" s="2"/>
      <c r="H6" s="2"/>
      <c r="I6" s="12"/>
      <c r="J6" s="2"/>
      <c r="K6" s="2"/>
      <c r="L6" s="14"/>
      <c r="M6" s="15"/>
      <c r="N6" s="14"/>
      <c r="O6" s="18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>
      <c r="A7" s="7"/>
      <c r="B7" s="8" t="s">
        <v>46</v>
      </c>
      <c r="C7" s="9">
        <f t="shared" si="1"/>
        <v>12006</v>
      </c>
      <c r="D7" s="10"/>
      <c r="E7" s="11"/>
      <c r="F7" s="2"/>
      <c r="G7" s="2"/>
      <c r="H7" s="2"/>
      <c r="I7" s="12"/>
      <c r="J7" s="2"/>
      <c r="K7" s="2"/>
      <c r="L7" s="14"/>
      <c r="M7" s="15"/>
      <c r="N7" s="14"/>
      <c r="O7" s="18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>
      <c r="A8" s="7"/>
      <c r="B8" s="8" t="s">
        <v>49</v>
      </c>
      <c r="C8" s="9">
        <f t="shared" si="1"/>
        <v>12007</v>
      </c>
      <c r="D8" s="10"/>
      <c r="E8" s="11"/>
      <c r="F8" s="2"/>
      <c r="G8" s="2"/>
      <c r="H8" s="2"/>
      <c r="I8" s="12"/>
      <c r="J8" s="2"/>
      <c r="K8" s="2"/>
      <c r="L8" s="14"/>
      <c r="M8" s="15"/>
      <c r="N8" s="14"/>
      <c r="O8" s="18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>
      <c r="A9" s="7"/>
      <c r="B9" s="8" t="s">
        <v>50</v>
      </c>
      <c r="C9" s="9">
        <f t="shared" si="1"/>
        <v>12008</v>
      </c>
      <c r="D9" s="10"/>
      <c r="E9" s="11"/>
      <c r="F9" s="2"/>
      <c r="G9" s="2"/>
      <c r="H9" s="2"/>
      <c r="I9" s="12"/>
      <c r="J9" s="2"/>
      <c r="K9" s="2"/>
      <c r="L9" s="14"/>
      <c r="M9" s="15"/>
      <c r="N9" s="14"/>
      <c r="O9" s="18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>
      <c r="A10" s="7"/>
      <c r="B10" s="8" t="s">
        <v>53</v>
      </c>
      <c r="C10" s="9">
        <f t="shared" si="1"/>
        <v>12009</v>
      </c>
      <c r="D10" s="10"/>
      <c r="E10" s="11"/>
      <c r="F10" s="2"/>
      <c r="G10" s="2"/>
      <c r="H10" s="2"/>
      <c r="I10" s="12"/>
      <c r="J10" s="2"/>
      <c r="K10" s="2"/>
      <c r="L10" s="14"/>
      <c r="M10" s="15"/>
      <c r="N10" s="14"/>
      <c r="O10" s="1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>
      <c r="A11" s="7"/>
      <c r="B11" s="8" t="s">
        <v>56</v>
      </c>
      <c r="C11" s="9">
        <f t="shared" si="1"/>
        <v>12010</v>
      </c>
      <c r="D11" s="10"/>
      <c r="E11" s="11"/>
      <c r="F11" s="2"/>
      <c r="G11" s="2"/>
      <c r="H11" s="2"/>
      <c r="I11" s="12"/>
      <c r="J11" s="1"/>
      <c r="K11" s="2"/>
      <c r="L11" s="14"/>
      <c r="M11" s="19"/>
      <c r="N11" s="20"/>
      <c r="O11" s="1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>
      <c r="A12" s="7"/>
      <c r="B12" s="8" t="s">
        <v>57</v>
      </c>
      <c r="C12" s="9">
        <f t="shared" si="1"/>
        <v>12011</v>
      </c>
      <c r="D12" s="10"/>
      <c r="E12" s="11"/>
      <c r="F12" s="2"/>
      <c r="G12" s="2"/>
      <c r="H12" s="2"/>
      <c r="I12" s="12"/>
      <c r="J12" s="2"/>
      <c r="K12" s="2"/>
      <c r="L12" s="14"/>
      <c r="M12" s="16"/>
      <c r="N12" s="14"/>
      <c r="O12" s="1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>
      <c r="A13" s="7"/>
      <c r="B13" s="8" t="s">
        <v>61</v>
      </c>
      <c r="C13" s="9">
        <f t="shared" si="1"/>
        <v>12012</v>
      </c>
      <c r="D13" s="10"/>
      <c r="E13" s="11"/>
      <c r="F13" s="2"/>
      <c r="G13" s="2"/>
      <c r="H13" s="2"/>
      <c r="I13" s="12"/>
      <c r="J13" s="2"/>
      <c r="K13" s="2"/>
      <c r="L13" s="14"/>
      <c r="M13" s="19"/>
      <c r="N13" s="14"/>
      <c r="O13" s="1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>
      <c r="A14" s="7"/>
      <c r="B14" s="8" t="s">
        <v>64</v>
      </c>
      <c r="C14" s="9">
        <f t="shared" si="1"/>
        <v>12013</v>
      </c>
      <c r="D14" s="10"/>
      <c r="E14" s="11"/>
      <c r="F14" s="18"/>
      <c r="G14" s="18"/>
      <c r="H14" s="2"/>
      <c r="I14" s="12"/>
      <c r="J14" s="2"/>
      <c r="K14" s="2"/>
      <c r="L14" s="18"/>
      <c r="M14" s="18"/>
      <c r="N14" s="18"/>
      <c r="O14" s="18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>
      <c r="A15" s="7"/>
      <c r="B15" s="8" t="s">
        <v>65</v>
      </c>
      <c r="C15" s="9">
        <f t="shared" si="1"/>
        <v>12014</v>
      </c>
      <c r="D15" s="10"/>
      <c r="E15" s="11"/>
      <c r="F15" s="18"/>
      <c r="G15" s="2"/>
      <c r="H15" s="2"/>
      <c r="I15" s="12"/>
      <c r="J15" s="2"/>
      <c r="K15" s="2"/>
      <c r="L15" s="2"/>
      <c r="M15" s="21"/>
      <c r="N15" s="14"/>
      <c r="O15" s="18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>
      <c r="A16" s="7"/>
      <c r="B16" s="8" t="s">
        <v>71</v>
      </c>
      <c r="C16" s="9">
        <f t="shared" si="1"/>
        <v>12015</v>
      </c>
      <c r="D16" s="10"/>
      <c r="E16" s="11"/>
      <c r="F16" s="18"/>
      <c r="G16" s="2"/>
      <c r="H16" s="18"/>
      <c r="I16" s="12"/>
      <c r="J16" s="2"/>
      <c r="K16" s="2"/>
      <c r="L16" s="2"/>
      <c r="M16" s="21"/>
      <c r="N16" s="14"/>
      <c r="O16" s="18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>
      <c r="A17" s="7"/>
      <c r="B17" s="8" t="s">
        <v>72</v>
      </c>
      <c r="C17" s="9">
        <f t="shared" si="1"/>
        <v>12016</v>
      </c>
      <c r="D17" s="10"/>
      <c r="E17" s="11"/>
      <c r="F17" s="18"/>
      <c r="G17" s="2"/>
      <c r="H17" s="18"/>
      <c r="I17" s="12"/>
      <c r="J17" s="2"/>
      <c r="K17" s="2"/>
      <c r="L17" s="2"/>
      <c r="M17" s="21"/>
      <c r="N17" s="14"/>
      <c r="O17" s="18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>
      <c r="A18" s="7"/>
      <c r="B18" s="8" t="s">
        <v>73</v>
      </c>
      <c r="C18" s="9">
        <f t="shared" si="1"/>
        <v>12017</v>
      </c>
      <c r="D18" s="10"/>
      <c r="E18" s="11"/>
      <c r="F18" s="18"/>
      <c r="G18" s="2"/>
      <c r="H18" s="18"/>
      <c r="I18" s="12"/>
      <c r="J18" s="2"/>
      <c r="K18" s="2"/>
      <c r="L18" s="2"/>
      <c r="M18" s="21"/>
      <c r="N18" s="14"/>
      <c r="O18" s="1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>
      <c r="A19" s="7"/>
      <c r="B19" s="8" t="s">
        <v>75</v>
      </c>
      <c r="C19" s="9">
        <f t="shared" si="1"/>
        <v>12018</v>
      </c>
      <c r="D19" s="10"/>
      <c r="E19" s="11"/>
      <c r="F19" s="18"/>
      <c r="G19" s="2"/>
      <c r="H19" s="18"/>
      <c r="I19" s="12"/>
      <c r="J19" s="2"/>
      <c r="K19" s="2"/>
      <c r="L19" s="2"/>
      <c r="M19" s="21"/>
      <c r="N19" s="14"/>
      <c r="O19" s="18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>
      <c r="A20" s="7"/>
      <c r="B20" s="8" t="s">
        <v>79</v>
      </c>
      <c r="C20" s="9">
        <f t="shared" si="1"/>
        <v>12019</v>
      </c>
      <c r="D20" s="10"/>
      <c r="E20" s="11"/>
      <c r="F20" s="18"/>
      <c r="G20" s="2"/>
      <c r="H20" s="18"/>
      <c r="I20" s="22"/>
      <c r="J20" s="2"/>
      <c r="K20" s="2"/>
      <c r="L20" s="2"/>
      <c r="M20" s="21"/>
      <c r="N20" s="14"/>
      <c r="O20" s="18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>
      <c r="A21" s="7"/>
      <c r="B21" s="8" t="s">
        <v>80</v>
      </c>
      <c r="C21" s="9">
        <f t="shared" si="1"/>
        <v>12020</v>
      </c>
      <c r="D21" s="10"/>
      <c r="E21" s="11"/>
      <c r="F21" s="18"/>
      <c r="G21" s="2"/>
      <c r="H21" s="18"/>
      <c r="I21" s="22"/>
      <c r="J21" s="2"/>
      <c r="K21" s="2"/>
      <c r="L21" s="2"/>
      <c r="M21" s="21"/>
      <c r="N21" s="14"/>
      <c r="O21" s="18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>
      <c r="A22" s="7"/>
      <c r="B22" s="8" t="s">
        <v>81</v>
      </c>
      <c r="C22" s="9">
        <f t="shared" si="1"/>
        <v>12021</v>
      </c>
      <c r="D22" s="10"/>
      <c r="E22" s="23"/>
      <c r="F22" s="18"/>
      <c r="G22" s="2"/>
      <c r="H22" s="18"/>
      <c r="I22" s="12"/>
      <c r="J22" s="2"/>
      <c r="K22" s="2"/>
      <c r="L22" s="2"/>
      <c r="M22" s="18"/>
      <c r="N22" s="24"/>
      <c r="O22" s="18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>
      <c r="A23" s="7"/>
      <c r="B23" s="8" t="s">
        <v>88</v>
      </c>
      <c r="C23" s="9">
        <f t="shared" si="1"/>
        <v>12022</v>
      </c>
      <c r="D23" s="10"/>
      <c r="E23" s="23"/>
      <c r="F23" s="18"/>
      <c r="G23" s="2"/>
      <c r="H23" s="18"/>
      <c r="I23" s="12"/>
      <c r="J23" s="2"/>
      <c r="K23" s="2"/>
      <c r="L23" s="2"/>
      <c r="M23" s="21"/>
      <c r="N23" s="14"/>
      <c r="O23" s="18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>
      <c r="A24" s="7"/>
      <c r="B24" s="8" t="s">
        <v>89</v>
      </c>
      <c r="C24" s="9">
        <f t="shared" si="1"/>
        <v>12023</v>
      </c>
      <c r="D24" s="10"/>
      <c r="E24" s="23"/>
      <c r="F24" s="18"/>
      <c r="G24" s="2"/>
      <c r="H24" s="18"/>
      <c r="I24" s="12"/>
      <c r="J24" s="2"/>
      <c r="K24" s="2"/>
      <c r="L24" s="2"/>
      <c r="M24" s="21"/>
      <c r="N24" s="14"/>
      <c r="O24" s="18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>
      <c r="A25" s="7"/>
      <c r="B25" s="8" t="s">
        <v>93</v>
      </c>
      <c r="C25" s="9">
        <f t="shared" si="1"/>
        <v>12024</v>
      </c>
      <c r="D25" s="10"/>
      <c r="E25" s="23"/>
      <c r="F25" s="18"/>
      <c r="G25" s="2"/>
      <c r="H25" s="18"/>
      <c r="I25" s="12"/>
      <c r="J25" s="2"/>
      <c r="K25" s="2"/>
      <c r="L25" s="2"/>
      <c r="M25" s="21"/>
      <c r="N25" s="14"/>
      <c r="O25" s="18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>
      <c r="A26" s="7"/>
      <c r="B26" s="8" t="s">
        <v>94</v>
      </c>
      <c r="C26" s="9">
        <f t="shared" si="1"/>
        <v>12025</v>
      </c>
      <c r="D26" s="10"/>
      <c r="E26" s="23"/>
      <c r="F26" s="18"/>
      <c r="G26" s="2"/>
      <c r="H26" s="18"/>
      <c r="I26" s="12"/>
      <c r="J26" s="2"/>
      <c r="K26" s="2"/>
      <c r="L26" s="2"/>
      <c r="M26" s="21"/>
      <c r="N26" s="24"/>
      <c r="O26" s="18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>
      <c r="A27" s="7"/>
      <c r="B27" s="8" t="s">
        <v>95</v>
      </c>
      <c r="C27" s="9">
        <f t="shared" si="1"/>
        <v>12026</v>
      </c>
      <c r="D27" s="10"/>
      <c r="E27" s="23"/>
      <c r="F27" s="18"/>
      <c r="G27" s="2"/>
      <c r="H27" s="18"/>
      <c r="I27" s="12"/>
      <c r="J27" s="2"/>
      <c r="K27" s="2"/>
      <c r="L27" s="2"/>
      <c r="M27" s="21"/>
      <c r="N27" s="24"/>
      <c r="O27" s="18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>
      <c r="A28" s="7"/>
      <c r="B28" s="8" t="s">
        <v>97</v>
      </c>
      <c r="C28" s="9">
        <f t="shared" si="1"/>
        <v>12029</v>
      </c>
      <c r="D28" s="10"/>
      <c r="E28" s="11"/>
      <c r="F28" s="18"/>
      <c r="G28" s="2"/>
      <c r="H28" s="18"/>
      <c r="I28" s="25"/>
      <c r="J28" s="2"/>
      <c r="K28" s="2"/>
      <c r="L28" s="2"/>
      <c r="M28" s="26"/>
      <c r="N28" s="2"/>
      <c r="O28" s="18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>
      <c r="A29" s="7"/>
      <c r="B29" s="8" t="s">
        <v>102</v>
      </c>
      <c r="C29" s="9">
        <f t="shared" si="1"/>
        <v>12030</v>
      </c>
      <c r="D29" s="10"/>
      <c r="E29" s="11"/>
      <c r="F29" s="18"/>
      <c r="G29" s="2"/>
      <c r="H29" s="18"/>
      <c r="I29" s="25"/>
      <c r="J29" s="2"/>
      <c r="K29" s="2"/>
      <c r="L29" s="2"/>
      <c r="M29" s="26"/>
      <c r="N29" s="2"/>
      <c r="O29" s="18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>
      <c r="A30" s="7"/>
      <c r="B30" s="8" t="s">
        <v>103</v>
      </c>
      <c r="C30" s="9">
        <f t="shared" si="1"/>
        <v>12031</v>
      </c>
      <c r="D30" s="10"/>
      <c r="E30" s="11"/>
      <c r="F30" s="2"/>
      <c r="G30" s="2"/>
      <c r="H30" s="18"/>
      <c r="I30" s="25"/>
      <c r="J30" s="2"/>
      <c r="K30" s="2"/>
      <c r="L30" s="2"/>
      <c r="M30" s="26"/>
      <c r="N30" s="2"/>
      <c r="O30" s="18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>
      <c r="A31" s="7"/>
      <c r="B31" s="8" t="s">
        <v>104</v>
      </c>
      <c r="C31" s="9">
        <f t="shared" si="1"/>
        <v>12032</v>
      </c>
      <c r="D31" s="10"/>
      <c r="E31" s="11"/>
      <c r="F31" s="2"/>
      <c r="G31" s="2"/>
      <c r="H31" s="18"/>
      <c r="I31" s="25"/>
      <c r="J31" s="2"/>
      <c r="K31" s="2"/>
      <c r="L31" s="2"/>
      <c r="M31" s="26"/>
      <c r="N31" s="2"/>
      <c r="O31" s="18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>
      <c r="A32" s="7"/>
      <c r="B32" s="8" t="s">
        <v>105</v>
      </c>
      <c r="C32" s="9">
        <f t="shared" si="1"/>
        <v>12033</v>
      </c>
      <c r="D32" s="10"/>
      <c r="E32" s="11"/>
      <c r="F32" s="2"/>
      <c r="G32" s="2"/>
      <c r="H32" s="18"/>
      <c r="I32" s="25"/>
      <c r="J32" s="2"/>
      <c r="K32" s="2"/>
      <c r="L32" s="2"/>
      <c r="M32" s="26"/>
      <c r="N32" s="2"/>
      <c r="O32" s="18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>
      <c r="A33" s="7"/>
      <c r="B33" s="8" t="s">
        <v>106</v>
      </c>
      <c r="C33" s="9">
        <f t="shared" si="1"/>
        <v>12034</v>
      </c>
      <c r="D33" s="10"/>
      <c r="E33" s="11"/>
      <c r="F33" s="2"/>
      <c r="G33" s="2"/>
      <c r="I33" s="12"/>
      <c r="J33" s="2"/>
      <c r="K33" s="2"/>
      <c r="L33" s="2"/>
      <c r="M33" s="26"/>
      <c r="N33" s="18"/>
      <c r="O33" s="18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>
      <c r="A34" s="7"/>
      <c r="B34" s="8" t="s">
        <v>107</v>
      </c>
      <c r="C34" s="9">
        <f t="shared" si="1"/>
        <v>12035</v>
      </c>
      <c r="D34" s="10"/>
      <c r="E34" s="11"/>
      <c r="F34" s="2"/>
      <c r="G34" s="2"/>
      <c r="H34" s="18"/>
      <c r="I34" s="12"/>
      <c r="J34" s="2"/>
      <c r="K34" s="2"/>
      <c r="L34" s="2"/>
      <c r="M34" s="26"/>
      <c r="N34" s="18"/>
      <c r="O34" s="18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>
      <c r="A35" s="7"/>
      <c r="B35" s="8" t="s">
        <v>110</v>
      </c>
      <c r="C35" s="9">
        <f t="shared" si="1"/>
        <v>12036</v>
      </c>
      <c r="D35" s="10"/>
      <c r="E35" s="11"/>
      <c r="F35" s="2"/>
      <c r="G35" s="2"/>
      <c r="H35" s="18"/>
      <c r="I35" s="12"/>
      <c r="J35" s="2"/>
      <c r="K35" s="2"/>
      <c r="L35" s="2"/>
      <c r="M35" s="26"/>
      <c r="N35" s="18"/>
      <c r="O35" s="18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>
      <c r="A36" s="7"/>
      <c r="B36" s="8" t="s">
        <v>113</v>
      </c>
      <c r="C36" s="9">
        <f t="shared" si="1"/>
        <v>12037</v>
      </c>
      <c r="D36" s="28"/>
      <c r="E36" s="29"/>
      <c r="F36" s="18"/>
      <c r="G36" s="18"/>
      <c r="H36" s="18"/>
      <c r="I36" s="25"/>
      <c r="J36" s="18"/>
      <c r="K36" s="18"/>
      <c r="L36" s="18"/>
      <c r="M36" s="18"/>
      <c r="N36" s="18"/>
      <c r="O36" s="18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>
      <c r="A37" s="7"/>
      <c r="B37" s="8" t="s">
        <v>114</v>
      </c>
      <c r="C37" s="9">
        <f t="shared" si="1"/>
        <v>12038</v>
      </c>
      <c r="D37" s="28"/>
      <c r="E37" s="29"/>
      <c r="F37" s="18"/>
      <c r="G37" s="18"/>
      <c r="H37" s="18"/>
      <c r="I37" s="25"/>
      <c r="J37" s="18"/>
      <c r="K37" s="18"/>
      <c r="L37" s="18"/>
      <c r="M37" s="18"/>
      <c r="N37" s="18"/>
      <c r="O37" s="18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>
      <c r="A38" s="7"/>
      <c r="B38" s="8" t="s">
        <v>116</v>
      </c>
      <c r="C38" s="9">
        <f t="shared" si="1"/>
        <v>12039</v>
      </c>
      <c r="D38" s="28"/>
      <c r="E38" s="29"/>
      <c r="F38" s="18"/>
      <c r="G38" s="18"/>
      <c r="H38" s="18"/>
      <c r="I38" s="25"/>
      <c r="J38" s="18"/>
      <c r="K38" s="18"/>
      <c r="L38" s="18"/>
      <c r="M38" s="18"/>
      <c r="N38" s="18"/>
      <c r="O38" s="18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>
      <c r="A39" s="7"/>
      <c r="B39" s="8" t="s">
        <v>123</v>
      </c>
      <c r="C39" s="9">
        <f t="shared" si="1"/>
        <v>12040</v>
      </c>
      <c r="D39" s="28"/>
      <c r="E39" s="29"/>
      <c r="F39" s="18"/>
      <c r="G39" s="18"/>
      <c r="H39" s="18"/>
      <c r="I39" s="25"/>
      <c r="J39" s="18"/>
      <c r="K39" s="18"/>
      <c r="L39" s="18"/>
      <c r="M39" s="18"/>
      <c r="N39" s="18"/>
      <c r="O39" s="18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>
      <c r="A40" s="7"/>
      <c r="B40" s="8" t="s">
        <v>125</v>
      </c>
      <c r="C40" s="9">
        <f t="shared" si="1"/>
        <v>12041</v>
      </c>
      <c r="D40" s="28"/>
      <c r="E40" s="29"/>
      <c r="F40" s="18"/>
      <c r="G40" s="18"/>
      <c r="H40" s="18"/>
      <c r="I40" s="25"/>
      <c r="J40" s="18"/>
      <c r="K40" s="18"/>
      <c r="L40" s="18"/>
      <c r="M40" s="18"/>
      <c r="N40" s="18"/>
      <c r="O40" s="18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>
      <c r="A41" s="7"/>
      <c r="B41" s="8" t="s">
        <v>126</v>
      </c>
      <c r="C41" s="9">
        <f t="shared" si="1"/>
        <v>12042</v>
      </c>
      <c r="D41" s="28"/>
      <c r="E41" s="29"/>
      <c r="F41" s="18"/>
      <c r="G41" s="18"/>
      <c r="H41" s="18"/>
      <c r="I41" s="25"/>
      <c r="J41" s="18"/>
      <c r="K41" s="18"/>
      <c r="L41" s="18"/>
      <c r="M41" s="18"/>
      <c r="N41" s="18"/>
      <c r="O41" s="18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>
      <c r="A42" s="7"/>
      <c r="B42" s="8" t="s">
        <v>127</v>
      </c>
      <c r="C42" s="9">
        <f t="shared" si="1"/>
        <v>12043</v>
      </c>
      <c r="D42" s="10"/>
      <c r="E42" s="31"/>
      <c r="F42" s="2"/>
      <c r="G42" s="2"/>
      <c r="H42" s="2"/>
      <c r="I42" s="12"/>
      <c r="J42" s="2"/>
      <c r="K42" s="2"/>
      <c r="L42" s="2"/>
      <c r="M42" s="26"/>
      <c r="N42" s="32"/>
      <c r="O42" s="18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>
      <c r="A43" s="7"/>
      <c r="B43" s="8" t="s">
        <v>128</v>
      </c>
      <c r="C43" s="9">
        <f t="shared" si="1"/>
        <v>12044</v>
      </c>
      <c r="D43" s="10"/>
      <c r="E43" s="31"/>
      <c r="F43" s="2"/>
      <c r="G43" s="2"/>
      <c r="H43" s="2"/>
      <c r="I43" s="12"/>
      <c r="J43" s="2"/>
      <c r="K43" s="2"/>
      <c r="L43" s="2"/>
      <c r="M43" s="26"/>
      <c r="N43" s="32"/>
      <c r="O43" s="18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>
      <c r="A44" s="7"/>
      <c r="B44" s="8" t="s">
        <v>129</v>
      </c>
      <c r="C44" s="9">
        <f t="shared" si="1"/>
        <v>12045</v>
      </c>
      <c r="D44" s="10"/>
      <c r="E44" s="31"/>
      <c r="F44" s="2"/>
      <c r="G44" s="2"/>
      <c r="H44" s="2"/>
      <c r="I44" s="12"/>
      <c r="J44" s="2"/>
      <c r="K44" s="2"/>
      <c r="L44" s="2"/>
      <c r="M44" s="26"/>
      <c r="N44" s="32"/>
      <c r="O44" s="18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>
      <c r="A45" s="7"/>
      <c r="B45" s="8" t="s">
        <v>130</v>
      </c>
      <c r="C45" s="9">
        <f t="shared" si="1"/>
        <v>12046</v>
      </c>
      <c r="D45" s="10"/>
      <c r="E45" s="31"/>
      <c r="F45" s="2"/>
      <c r="G45" s="2"/>
      <c r="H45" s="2"/>
      <c r="I45" s="12"/>
      <c r="J45" s="2"/>
      <c r="K45" s="2"/>
      <c r="L45" s="2"/>
      <c r="M45" s="26"/>
      <c r="N45" s="32"/>
      <c r="O45" s="18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>
      <c r="A46" s="7"/>
      <c r="B46" s="8" t="s">
        <v>131</v>
      </c>
      <c r="C46" s="9">
        <f t="shared" si="1"/>
        <v>12047</v>
      </c>
      <c r="D46" s="10"/>
      <c r="E46" s="31"/>
      <c r="F46" s="2"/>
      <c r="G46" s="2"/>
      <c r="H46" s="2"/>
      <c r="I46" s="25"/>
      <c r="J46" s="2"/>
      <c r="K46" s="18"/>
      <c r="L46" s="18"/>
      <c r="M46" s="18"/>
      <c r="N46" s="32"/>
      <c r="O46" s="18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>
      <c r="A47" s="7"/>
      <c r="B47" s="8" t="s">
        <v>132</v>
      </c>
      <c r="C47" s="9">
        <f t="shared" si="1"/>
        <v>12048</v>
      </c>
      <c r="D47" s="10"/>
      <c r="E47" s="31"/>
      <c r="F47" s="2"/>
      <c r="G47" s="2"/>
      <c r="H47" s="2"/>
      <c r="I47" s="25"/>
      <c r="J47" s="2"/>
      <c r="K47" s="18"/>
      <c r="L47" s="18"/>
      <c r="M47" s="18"/>
      <c r="N47" s="32"/>
      <c r="O47" s="18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>
      <c r="A48" s="7"/>
      <c r="B48" s="8" t="s">
        <v>133</v>
      </c>
      <c r="C48" s="9">
        <f t="shared" si="1"/>
        <v>12049</v>
      </c>
      <c r="D48" s="10"/>
      <c r="E48" s="31"/>
      <c r="F48" s="2"/>
      <c r="G48" s="2"/>
      <c r="H48" s="2"/>
      <c r="I48" s="25"/>
      <c r="J48" s="2"/>
      <c r="K48" s="2"/>
      <c r="L48" s="2"/>
      <c r="M48" s="26"/>
      <c r="N48" s="32"/>
      <c r="O48" s="18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>
      <c r="A49" s="7"/>
      <c r="B49" s="8" t="s">
        <v>134</v>
      </c>
      <c r="C49" s="9">
        <f t="shared" si="1"/>
        <v>12050</v>
      </c>
      <c r="D49" s="10"/>
      <c r="E49" s="31"/>
      <c r="F49" s="2"/>
      <c r="G49" s="2"/>
      <c r="H49" s="2"/>
      <c r="I49" s="25"/>
      <c r="J49" s="2"/>
      <c r="K49" s="2"/>
      <c r="L49" s="2"/>
      <c r="M49" s="26"/>
      <c r="N49" s="32"/>
      <c r="O49" s="18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>
      <c r="A50" s="7"/>
      <c r="B50" s="8" t="s">
        <v>135</v>
      </c>
      <c r="C50" s="9">
        <f t="shared" si="1"/>
        <v>12051</v>
      </c>
      <c r="D50" s="10"/>
      <c r="E50" s="31"/>
      <c r="F50" s="2"/>
      <c r="G50" s="2"/>
      <c r="H50" s="2"/>
      <c r="I50" s="25"/>
      <c r="J50" s="2"/>
      <c r="K50" s="2"/>
      <c r="L50" s="2"/>
      <c r="M50" s="26"/>
      <c r="N50" s="32"/>
      <c r="O50" s="18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>
      <c r="A51" s="7"/>
      <c r="B51" s="8" t="s">
        <v>136</v>
      </c>
      <c r="C51" s="9">
        <f t="shared" si="1"/>
        <v>12052</v>
      </c>
      <c r="D51" s="10"/>
      <c r="E51" s="31"/>
      <c r="F51" s="2"/>
      <c r="G51" s="2"/>
      <c r="H51" s="2"/>
      <c r="I51" s="12"/>
      <c r="J51" s="2"/>
      <c r="K51" s="2"/>
      <c r="L51" s="2"/>
      <c r="M51" s="26"/>
      <c r="N51" s="32"/>
      <c r="O51" s="18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>
      <c r="A52" s="7"/>
      <c r="B52" s="8" t="s">
        <v>137</v>
      </c>
      <c r="C52" s="9">
        <f t="shared" si="1"/>
        <v>12053</v>
      </c>
      <c r="D52" s="10"/>
      <c r="E52" s="31"/>
      <c r="F52" s="2"/>
      <c r="G52" s="2"/>
      <c r="H52" s="2"/>
      <c r="I52" s="12"/>
      <c r="J52" s="2"/>
      <c r="K52" s="18"/>
      <c r="L52" s="18"/>
      <c r="M52" s="18"/>
      <c r="N52" s="32"/>
      <c r="O52" s="18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>
      <c r="A53" s="7"/>
      <c r="B53" s="8" t="s">
        <v>138</v>
      </c>
      <c r="C53" s="9">
        <f t="shared" si="1"/>
        <v>12054</v>
      </c>
      <c r="D53" s="10"/>
      <c r="E53" s="31"/>
      <c r="F53" s="2"/>
      <c r="G53" s="2"/>
      <c r="H53" s="2"/>
      <c r="I53" s="12"/>
      <c r="J53" s="2"/>
      <c r="K53" s="18"/>
      <c r="L53" s="18"/>
      <c r="M53" s="18"/>
      <c r="N53" s="32"/>
      <c r="O53" s="18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>
      <c r="A54" s="7"/>
      <c r="B54" s="8" t="s">
        <v>139</v>
      </c>
      <c r="C54" s="9">
        <f t="shared" si="1"/>
        <v>12055</v>
      </c>
      <c r="D54" s="10"/>
      <c r="E54" s="31"/>
      <c r="F54" s="2"/>
      <c r="G54" s="2"/>
      <c r="H54" s="2"/>
      <c r="I54" s="25"/>
      <c r="J54" s="2"/>
      <c r="K54" s="2"/>
      <c r="L54" s="2"/>
      <c r="M54" s="26"/>
      <c r="N54" s="35"/>
      <c r="O54" s="18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>
      <c r="A55" s="7"/>
      <c r="B55" s="8" t="s">
        <v>140</v>
      </c>
      <c r="C55" s="9">
        <f t="shared" si="1"/>
        <v>12056</v>
      </c>
      <c r="D55" s="10"/>
      <c r="E55" s="31"/>
      <c r="F55" s="2"/>
      <c r="G55" s="2"/>
      <c r="H55" s="2"/>
      <c r="I55" s="25"/>
      <c r="J55" s="2"/>
      <c r="K55" s="2"/>
      <c r="L55" s="2"/>
      <c r="M55" s="26"/>
      <c r="N55" s="32"/>
      <c r="O55" s="18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>
      <c r="A56" s="7"/>
      <c r="B56" s="8" t="s">
        <v>141</v>
      </c>
      <c r="C56" s="9">
        <f t="shared" si="1"/>
        <v>12057</v>
      </c>
      <c r="D56" s="10"/>
      <c r="E56" s="31"/>
      <c r="F56" s="2"/>
      <c r="G56" s="2"/>
      <c r="H56" s="2"/>
      <c r="I56" s="25"/>
      <c r="J56" s="2"/>
      <c r="K56" s="18"/>
      <c r="L56" s="18"/>
      <c r="M56" s="18"/>
      <c r="N56" s="32"/>
      <c r="O56" s="18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>
      <c r="A57" s="7"/>
      <c r="B57" s="8" t="s">
        <v>142</v>
      </c>
      <c r="C57" s="9">
        <f t="shared" si="1"/>
        <v>12058</v>
      </c>
      <c r="D57" s="10"/>
      <c r="E57" s="36"/>
      <c r="F57" s="2"/>
      <c r="G57" s="2"/>
      <c r="H57" s="2"/>
      <c r="I57" s="25"/>
      <c r="J57" s="2"/>
      <c r="K57" s="2"/>
      <c r="L57" s="2"/>
      <c r="M57" s="26"/>
      <c r="N57" s="32"/>
      <c r="O57" s="18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>
      <c r="A58" s="7"/>
      <c r="B58" s="8" t="s">
        <v>143</v>
      </c>
      <c r="C58" s="9">
        <f t="shared" si="1"/>
        <v>12059</v>
      </c>
      <c r="D58" s="10"/>
      <c r="E58" s="31"/>
      <c r="F58" s="2"/>
      <c r="G58" s="2"/>
      <c r="H58" s="2"/>
      <c r="I58" s="25"/>
      <c r="J58" s="2"/>
      <c r="K58" s="2"/>
      <c r="L58" s="2"/>
      <c r="M58" s="21"/>
      <c r="N58" s="32"/>
      <c r="O58" s="18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>
      <c r="A59" s="7"/>
      <c r="B59" s="8" t="s">
        <v>144</v>
      </c>
      <c r="C59" s="9">
        <f t="shared" si="1"/>
        <v>12060</v>
      </c>
      <c r="D59" s="10"/>
      <c r="E59" s="31"/>
      <c r="F59" s="2"/>
      <c r="G59" s="2"/>
      <c r="H59" s="2"/>
      <c r="I59" s="25"/>
      <c r="J59" s="2"/>
      <c r="K59" s="2"/>
      <c r="L59" s="2"/>
      <c r="M59" s="26"/>
      <c r="N59" s="32"/>
      <c r="O59" s="18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>
      <c r="A60" s="7"/>
      <c r="B60" s="8" t="s">
        <v>145</v>
      </c>
      <c r="C60" s="9">
        <f t="shared" si="1"/>
        <v>12061</v>
      </c>
      <c r="D60" s="10"/>
      <c r="E60" s="11"/>
      <c r="F60" s="2"/>
      <c r="G60" s="2"/>
      <c r="H60" s="2"/>
      <c r="I60" s="25"/>
      <c r="J60" s="2"/>
      <c r="K60" s="2"/>
      <c r="L60" s="2"/>
      <c r="M60" s="26"/>
      <c r="N60" s="37"/>
      <c r="O60" s="18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>
      <c r="A61" s="7"/>
      <c r="B61" s="8" t="s">
        <v>146</v>
      </c>
      <c r="C61" s="9">
        <f t="shared" si="1"/>
        <v>12062</v>
      </c>
      <c r="D61" s="10"/>
      <c r="E61" s="11"/>
      <c r="F61" s="2"/>
      <c r="G61" s="2"/>
      <c r="H61" s="2"/>
      <c r="I61" s="25"/>
      <c r="J61" s="2"/>
      <c r="K61" s="2"/>
      <c r="L61" s="2"/>
      <c r="M61" s="26"/>
      <c r="N61" s="37"/>
      <c r="O61" s="18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>
      <c r="A62" s="7"/>
      <c r="B62" s="8" t="s">
        <v>147</v>
      </c>
      <c r="C62" s="9">
        <f t="shared" si="1"/>
        <v>12063</v>
      </c>
      <c r="D62" s="10"/>
      <c r="E62" s="11"/>
      <c r="F62" s="2"/>
      <c r="H62" s="2"/>
      <c r="I62" s="38"/>
      <c r="J62" s="2"/>
      <c r="K62" s="38"/>
      <c r="L62" s="38"/>
      <c r="M62" s="26"/>
      <c r="N62" s="32"/>
      <c r="O62" s="18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>
      <c r="A63" s="7"/>
      <c r="B63" s="8" t="s">
        <v>148</v>
      </c>
      <c r="C63" s="9">
        <f t="shared" si="1"/>
        <v>12064</v>
      </c>
      <c r="D63" s="10"/>
      <c r="E63" s="11"/>
      <c r="F63" s="2"/>
      <c r="G63" s="2"/>
      <c r="H63" s="2"/>
      <c r="I63" s="12"/>
      <c r="J63" s="2"/>
      <c r="K63" s="2"/>
      <c r="L63" s="2"/>
      <c r="M63" s="26"/>
      <c r="N63" s="37"/>
      <c r="O63" s="18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>
      <c r="A64" s="7"/>
      <c r="B64" s="8" t="s">
        <v>149</v>
      </c>
      <c r="C64" s="9">
        <f t="shared" si="1"/>
        <v>12065</v>
      </c>
      <c r="D64" s="10"/>
      <c r="E64" s="11"/>
      <c r="F64" s="2"/>
      <c r="G64" s="2"/>
      <c r="H64" s="2"/>
      <c r="I64" s="12"/>
      <c r="J64" s="2"/>
      <c r="K64" s="2"/>
      <c r="L64" s="2"/>
      <c r="M64" s="26"/>
      <c r="N64" s="37"/>
      <c r="O64" s="18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>
      <c r="A65" s="7"/>
      <c r="B65" s="8" t="s">
        <v>150</v>
      </c>
      <c r="C65" s="9">
        <f t="shared" si="1"/>
        <v>12066</v>
      </c>
      <c r="D65" s="10"/>
      <c r="E65" s="11"/>
      <c r="F65" s="2"/>
      <c r="G65" s="2"/>
      <c r="H65" s="2"/>
      <c r="I65" s="25"/>
      <c r="J65" s="2"/>
      <c r="K65" s="2"/>
      <c r="L65" s="2"/>
      <c r="M65" s="26"/>
      <c r="N65" s="37"/>
      <c r="O65" s="18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>
      <c r="A66" s="7"/>
      <c r="B66" s="8" t="s">
        <v>151</v>
      </c>
      <c r="C66" s="9">
        <f t="shared" si="1"/>
        <v>12067</v>
      </c>
      <c r="D66" s="10"/>
      <c r="E66" s="11"/>
      <c r="F66" s="2"/>
      <c r="G66" s="2"/>
      <c r="H66" s="2"/>
      <c r="I66" s="25"/>
      <c r="J66" s="2"/>
      <c r="K66" s="2"/>
      <c r="L66" s="2"/>
      <c r="M66" s="26"/>
      <c r="N66" s="37"/>
      <c r="O66" s="18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>
      <c r="A67" s="7"/>
      <c r="B67" s="8" t="s">
        <v>152</v>
      </c>
      <c r="C67" s="9">
        <f t="shared" si="1"/>
        <v>12068</v>
      </c>
      <c r="D67" s="10"/>
      <c r="E67" s="11"/>
      <c r="F67" s="2"/>
      <c r="G67" s="2"/>
      <c r="H67" s="2"/>
      <c r="I67" s="12"/>
      <c r="J67" s="2"/>
      <c r="K67" s="2"/>
      <c r="L67" s="2"/>
      <c r="M67" s="26"/>
      <c r="N67" s="37"/>
      <c r="O67" s="18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>
      <c r="A68" s="7"/>
      <c r="B68" s="8" t="s">
        <v>153</v>
      </c>
      <c r="C68" s="9">
        <f t="shared" si="1"/>
        <v>12069</v>
      </c>
      <c r="D68" s="10"/>
      <c r="E68" s="11"/>
      <c r="F68" s="2"/>
      <c r="G68" s="2"/>
      <c r="H68" s="2"/>
      <c r="I68" s="12"/>
      <c r="J68" s="2"/>
      <c r="K68" s="2"/>
      <c r="L68" s="2"/>
      <c r="M68" s="26"/>
      <c r="N68" s="37"/>
      <c r="O68" s="18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>
      <c r="A69" s="7"/>
      <c r="B69" s="8" t="s">
        <v>154</v>
      </c>
      <c r="C69" s="9">
        <f t="shared" si="1"/>
        <v>12070</v>
      </c>
      <c r="D69" s="10"/>
      <c r="E69" s="11"/>
      <c r="F69" s="2"/>
      <c r="G69" s="2"/>
      <c r="H69" s="2"/>
      <c r="I69" s="12"/>
      <c r="J69" s="2"/>
      <c r="K69" s="2"/>
      <c r="L69" s="2"/>
      <c r="M69" s="26"/>
      <c r="N69" s="37"/>
      <c r="O69" s="18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>
      <c r="A70" s="7"/>
      <c r="B70" s="8" t="s">
        <v>155</v>
      </c>
      <c r="C70" s="9">
        <f t="shared" si="1"/>
        <v>12071</v>
      </c>
      <c r="D70" s="10"/>
      <c r="E70" s="11"/>
      <c r="F70" s="2"/>
      <c r="G70" s="2"/>
      <c r="H70" s="2"/>
      <c r="I70" s="12"/>
      <c r="J70" s="2"/>
      <c r="K70" s="2"/>
      <c r="L70" s="2"/>
      <c r="M70" s="26"/>
      <c r="N70" s="37"/>
      <c r="O70" s="18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>
      <c r="A71" s="7"/>
      <c r="B71" s="8" t="s">
        <v>156</v>
      </c>
      <c r="C71" s="9">
        <f t="shared" si="1"/>
        <v>12072</v>
      </c>
      <c r="D71" s="10"/>
      <c r="E71" s="11"/>
      <c r="F71" s="2"/>
      <c r="G71" s="2"/>
      <c r="H71" s="2"/>
      <c r="I71" s="25"/>
      <c r="J71" s="2"/>
      <c r="K71" s="2"/>
      <c r="L71" s="2"/>
      <c r="M71" s="26"/>
      <c r="N71" s="37"/>
      <c r="O71" s="18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>
      <c r="A72" s="7"/>
      <c r="B72" s="8" t="s">
        <v>157</v>
      </c>
      <c r="C72" s="9">
        <f t="shared" si="1"/>
        <v>12073</v>
      </c>
      <c r="D72" s="10"/>
      <c r="E72" s="11"/>
      <c r="F72" s="2"/>
      <c r="G72" s="2"/>
      <c r="H72" s="2"/>
      <c r="I72" s="25"/>
      <c r="J72" s="2"/>
      <c r="K72" s="2"/>
      <c r="L72" s="2"/>
      <c r="M72" s="26"/>
      <c r="N72" s="37"/>
      <c r="O72" s="18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>
      <c r="A73" s="7"/>
      <c r="B73" s="8" t="s">
        <v>158</v>
      </c>
      <c r="C73" s="9">
        <f t="shared" si="1"/>
        <v>12074</v>
      </c>
      <c r="D73" s="10"/>
      <c r="E73" s="11"/>
      <c r="F73" s="2"/>
      <c r="G73" s="2"/>
      <c r="H73" s="2"/>
      <c r="I73" s="12"/>
      <c r="J73" s="2"/>
      <c r="K73" s="2"/>
      <c r="L73" s="2"/>
      <c r="M73" s="26"/>
      <c r="N73" s="37"/>
      <c r="O73" s="18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>
      <c r="A74" s="7"/>
      <c r="B74" s="8" t="s">
        <v>159</v>
      </c>
      <c r="C74" s="9">
        <f t="shared" si="1"/>
        <v>12075</v>
      </c>
      <c r="D74" s="10"/>
      <c r="E74" s="31"/>
      <c r="F74" s="2"/>
      <c r="G74" s="2"/>
      <c r="H74" s="2"/>
      <c r="I74" s="12"/>
      <c r="J74" s="2"/>
      <c r="K74" s="2"/>
      <c r="L74" s="2"/>
      <c r="M74" s="26"/>
      <c r="N74" s="32"/>
      <c r="O74" s="18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>
      <c r="A75" s="7"/>
      <c r="B75" s="8" t="s">
        <v>160</v>
      </c>
      <c r="C75" s="9">
        <f t="shared" si="1"/>
        <v>12076</v>
      </c>
      <c r="D75" s="10"/>
      <c r="E75" s="31"/>
      <c r="F75" s="2"/>
      <c r="G75" s="2"/>
      <c r="H75" s="2"/>
      <c r="I75" s="12"/>
      <c r="J75" s="2"/>
      <c r="K75" s="2"/>
      <c r="L75" s="2"/>
      <c r="M75" s="26"/>
      <c r="N75" s="32"/>
      <c r="O75" s="18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>
      <c r="A76" s="7"/>
      <c r="B76" s="8" t="s">
        <v>161</v>
      </c>
      <c r="C76" s="9">
        <f t="shared" si="1"/>
        <v>12077</v>
      </c>
      <c r="D76" s="10"/>
      <c r="E76" s="31"/>
      <c r="F76" s="2"/>
      <c r="G76" s="2"/>
      <c r="H76" s="2"/>
      <c r="I76" s="12"/>
      <c r="J76" s="2"/>
      <c r="K76" s="2"/>
      <c r="L76" s="2"/>
      <c r="M76" s="26"/>
      <c r="N76" s="32"/>
      <c r="O76" s="18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>
      <c r="A77" s="7"/>
      <c r="B77" s="8" t="s">
        <v>162</v>
      </c>
      <c r="C77" s="9">
        <f t="shared" si="1"/>
        <v>12078</v>
      </c>
      <c r="D77" s="10"/>
      <c r="E77" s="31"/>
      <c r="F77" s="2"/>
      <c r="G77" s="2"/>
      <c r="H77" s="2"/>
      <c r="I77" s="12"/>
      <c r="J77" s="2"/>
      <c r="K77" s="2"/>
      <c r="L77" s="2"/>
      <c r="M77" s="26"/>
      <c r="N77" s="32"/>
      <c r="O77" s="18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>
      <c r="A78" s="7"/>
      <c r="B78" s="8" t="s">
        <v>163</v>
      </c>
      <c r="C78" s="9">
        <f t="shared" si="1"/>
        <v>12079</v>
      </c>
      <c r="D78" s="10"/>
      <c r="E78" s="31"/>
      <c r="F78" s="2"/>
      <c r="G78" s="2"/>
      <c r="H78" s="2"/>
      <c r="I78" s="12"/>
      <c r="J78" s="2"/>
      <c r="K78" s="2"/>
      <c r="L78" s="2"/>
      <c r="M78" s="26"/>
      <c r="N78" s="32"/>
      <c r="O78" s="18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>
      <c r="A79" s="7"/>
      <c r="B79" s="8" t="s">
        <v>164</v>
      </c>
      <c r="C79" s="9">
        <f t="shared" si="1"/>
        <v>12080</v>
      </c>
      <c r="D79" s="10"/>
      <c r="E79" s="31"/>
      <c r="F79" s="2"/>
      <c r="G79" s="2"/>
      <c r="H79" s="2"/>
      <c r="I79" s="12"/>
      <c r="J79" s="2"/>
      <c r="K79" s="2"/>
      <c r="L79" s="2"/>
      <c r="M79" s="26"/>
      <c r="N79" s="32"/>
      <c r="O79" s="18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>
      <c r="A80" s="7"/>
      <c r="B80" s="8" t="s">
        <v>165</v>
      </c>
      <c r="C80" s="9">
        <f t="shared" si="1"/>
        <v>12081</v>
      </c>
      <c r="D80" s="10"/>
      <c r="E80" s="31"/>
      <c r="F80" s="2"/>
      <c r="G80" s="2"/>
      <c r="H80" s="2"/>
      <c r="I80" s="12"/>
      <c r="J80" s="2"/>
      <c r="K80" s="2"/>
      <c r="L80" s="2"/>
      <c r="M80" s="26"/>
      <c r="N80" s="32"/>
      <c r="O80" s="18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>
      <c r="A81" s="7"/>
      <c r="B81" s="8" t="s">
        <v>166</v>
      </c>
      <c r="C81" s="9">
        <f t="shared" si="1"/>
        <v>12082</v>
      </c>
      <c r="D81" s="10"/>
      <c r="E81" s="31"/>
      <c r="F81" s="2"/>
      <c r="G81" s="2"/>
      <c r="H81" s="2"/>
      <c r="I81" s="12"/>
      <c r="J81" s="2"/>
      <c r="K81" s="2"/>
      <c r="L81" s="2"/>
      <c r="M81" s="26"/>
      <c r="N81" s="32"/>
      <c r="O81" s="18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>
      <c r="A82" s="7"/>
      <c r="B82" s="8" t="s">
        <v>167</v>
      </c>
      <c r="C82" s="9">
        <f t="shared" si="1"/>
        <v>12083</v>
      </c>
      <c r="D82" s="10"/>
      <c r="E82" s="31"/>
      <c r="F82" s="2"/>
      <c r="G82" s="2"/>
      <c r="H82" s="2"/>
      <c r="I82" s="12"/>
      <c r="J82" s="2"/>
      <c r="K82" s="2"/>
      <c r="L82" s="2"/>
      <c r="M82" s="26"/>
      <c r="N82" s="32"/>
      <c r="O82" s="18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>
      <c r="A83" s="7"/>
      <c r="B83" s="8" t="s">
        <v>168</v>
      </c>
      <c r="C83" s="9">
        <f t="shared" si="1"/>
        <v>12084</v>
      </c>
      <c r="D83" s="10"/>
      <c r="E83" s="31"/>
      <c r="F83" s="2"/>
      <c r="G83" s="2"/>
      <c r="H83" s="2"/>
      <c r="I83" s="12"/>
      <c r="J83" s="2"/>
      <c r="K83" s="2"/>
      <c r="L83" s="2"/>
      <c r="M83" s="26"/>
      <c r="N83" s="32"/>
      <c r="O83" s="18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>
      <c r="A84" s="7"/>
      <c r="B84" s="8" t="s">
        <v>169</v>
      </c>
      <c r="C84" s="9">
        <f t="shared" si="1"/>
        <v>12085</v>
      </c>
      <c r="D84" s="10"/>
      <c r="E84" s="31"/>
      <c r="F84" s="2"/>
      <c r="G84" s="2"/>
      <c r="H84" s="2"/>
      <c r="I84" s="12"/>
      <c r="J84" s="2"/>
      <c r="K84" s="2"/>
      <c r="L84" s="2"/>
      <c r="M84" s="26"/>
      <c r="N84" s="32"/>
      <c r="O84" s="18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>
      <c r="A85" s="7"/>
      <c r="B85" s="8" t="s">
        <v>170</v>
      </c>
      <c r="C85" s="9">
        <f t="shared" si="1"/>
        <v>12086</v>
      </c>
      <c r="D85" s="10"/>
      <c r="E85" s="11"/>
      <c r="F85" s="2"/>
      <c r="G85" s="2"/>
      <c r="H85" s="2"/>
      <c r="I85" s="25"/>
      <c r="J85" s="18"/>
      <c r="K85" s="2"/>
      <c r="L85" s="2"/>
      <c r="M85" s="21"/>
      <c r="N85" s="37"/>
      <c r="O85" s="18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>
      <c r="A86" s="7"/>
      <c r="B86" s="8" t="s">
        <v>171</v>
      </c>
      <c r="C86" s="9">
        <f t="shared" si="1"/>
        <v>12087</v>
      </c>
      <c r="D86" s="10"/>
      <c r="E86" s="11"/>
      <c r="F86" s="2"/>
      <c r="G86" s="2"/>
      <c r="H86" s="2"/>
      <c r="I86" s="25"/>
      <c r="J86" s="18"/>
      <c r="K86" s="2"/>
      <c r="N86" s="18"/>
      <c r="O86" s="18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>
      <c r="A87" s="7"/>
      <c r="B87" s="8" t="s">
        <v>172</v>
      </c>
      <c r="C87" s="9">
        <f t="shared" si="1"/>
        <v>12088</v>
      </c>
      <c r="D87" s="28"/>
      <c r="E87" s="29"/>
      <c r="F87" s="18"/>
      <c r="G87" s="18"/>
      <c r="H87" s="18"/>
      <c r="I87" s="25"/>
      <c r="J87" s="18"/>
      <c r="K87" s="18"/>
      <c r="L87" s="18"/>
      <c r="M87" s="18"/>
      <c r="N87" s="18"/>
      <c r="O87" s="18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>
      <c r="A88" s="7"/>
      <c r="B88" s="8" t="s">
        <v>173</v>
      </c>
      <c r="C88" s="9">
        <f t="shared" si="1"/>
        <v>12089</v>
      </c>
      <c r="D88" s="28"/>
      <c r="E88" s="29"/>
      <c r="F88" s="18"/>
      <c r="G88" s="18"/>
      <c r="H88" s="18"/>
      <c r="I88" s="25"/>
      <c r="J88" s="18"/>
      <c r="K88" s="18"/>
      <c r="L88" s="18"/>
      <c r="M88" s="18"/>
      <c r="N88" s="18"/>
      <c r="O88" s="18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>
      <c r="A89" s="7"/>
      <c r="B89" s="8" t="s">
        <v>174</v>
      </c>
      <c r="C89" s="9">
        <f t="shared" si="1"/>
        <v>12090</v>
      </c>
      <c r="D89" s="28"/>
      <c r="E89" s="29"/>
      <c r="F89" s="18"/>
      <c r="G89" s="18"/>
      <c r="H89" s="18"/>
      <c r="I89" s="25"/>
      <c r="J89" s="18"/>
      <c r="K89" s="18"/>
      <c r="L89" s="18"/>
      <c r="M89" s="18"/>
      <c r="N89" s="18"/>
      <c r="O89" s="18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>
      <c r="A90" s="7"/>
      <c r="B90" s="8" t="s">
        <v>175</v>
      </c>
      <c r="C90" s="9">
        <f t="shared" si="1"/>
        <v>12091</v>
      </c>
      <c r="D90" s="28"/>
      <c r="E90" s="29"/>
      <c r="F90" s="18"/>
      <c r="G90" s="18"/>
      <c r="H90" s="18"/>
      <c r="I90" s="25"/>
      <c r="J90" s="18"/>
      <c r="K90" s="18"/>
      <c r="L90" s="18"/>
      <c r="M90" s="18"/>
      <c r="N90" s="18"/>
      <c r="O90" s="18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>
      <c r="A91" s="7"/>
      <c r="B91" s="8" t="s">
        <v>176</v>
      </c>
      <c r="C91" s="9">
        <f t="shared" si="1"/>
        <v>12092</v>
      </c>
      <c r="D91" s="28"/>
      <c r="E91" s="29"/>
      <c r="F91" s="18"/>
      <c r="G91" s="18"/>
      <c r="H91" s="18"/>
      <c r="I91" s="25"/>
      <c r="J91" s="18"/>
      <c r="K91" s="18"/>
      <c r="L91" s="18"/>
      <c r="M91" s="18"/>
      <c r="N91" s="18"/>
      <c r="O91" s="18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>
      <c r="A92" s="7"/>
      <c r="B92" s="8" t="s">
        <v>177</v>
      </c>
      <c r="C92" s="9">
        <f t="shared" si="1"/>
        <v>12093</v>
      </c>
      <c r="D92" s="28"/>
      <c r="E92" s="29"/>
      <c r="F92" s="18"/>
      <c r="G92" s="18"/>
      <c r="H92" s="18"/>
      <c r="I92" s="25"/>
      <c r="J92" s="18"/>
      <c r="K92" s="18"/>
      <c r="L92" s="18"/>
      <c r="M92" s="18"/>
      <c r="N92" s="18"/>
      <c r="O92" s="18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>
      <c r="A93" s="7"/>
      <c r="B93" s="8" t="s">
        <v>178</v>
      </c>
      <c r="C93" s="9">
        <f t="shared" si="1"/>
        <v>12094</v>
      </c>
      <c r="D93" s="28"/>
      <c r="E93" s="29"/>
      <c r="F93" s="18"/>
      <c r="G93" s="18"/>
      <c r="H93" s="18"/>
      <c r="I93" s="25"/>
      <c r="J93" s="18"/>
      <c r="K93" s="18"/>
      <c r="L93" s="18"/>
      <c r="M93" s="18"/>
      <c r="N93" s="18"/>
      <c r="O93" s="18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>
      <c r="A94" s="7"/>
      <c r="B94" s="8" t="s">
        <v>179</v>
      </c>
      <c r="C94" s="9">
        <f t="shared" si="1"/>
        <v>12095</v>
      </c>
      <c r="D94" s="28"/>
      <c r="E94" s="29"/>
      <c r="F94" s="18"/>
      <c r="G94" s="18"/>
      <c r="H94" s="18"/>
      <c r="I94" s="25"/>
      <c r="J94" s="18"/>
      <c r="K94" s="18"/>
      <c r="L94" s="18"/>
      <c r="M94" s="18"/>
      <c r="N94" s="18"/>
      <c r="O94" s="18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>
      <c r="A95" s="7"/>
      <c r="B95" s="8" t="s">
        <v>180</v>
      </c>
      <c r="C95" s="9">
        <f t="shared" si="1"/>
        <v>12096</v>
      </c>
      <c r="D95" s="28"/>
      <c r="E95" s="29"/>
      <c r="F95" s="18"/>
      <c r="G95" s="18"/>
      <c r="H95" s="18"/>
      <c r="I95" s="25"/>
      <c r="J95" s="18"/>
      <c r="K95" s="18"/>
      <c r="L95" s="18"/>
      <c r="M95" s="18"/>
      <c r="N95" s="18"/>
      <c r="O95" s="18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>
      <c r="A96" s="7"/>
      <c r="B96" s="8" t="s">
        <v>181</v>
      </c>
      <c r="C96" s="9">
        <f t="shared" si="1"/>
        <v>12097</v>
      </c>
      <c r="D96" s="28"/>
      <c r="E96" s="29"/>
      <c r="F96" s="18"/>
      <c r="G96" s="18"/>
      <c r="H96" s="18"/>
      <c r="I96" s="25"/>
      <c r="J96" s="18"/>
      <c r="K96" s="18"/>
      <c r="L96" s="18"/>
      <c r="M96" s="18"/>
      <c r="N96" s="18"/>
      <c r="O96" s="18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>
      <c r="A97" s="7"/>
      <c r="B97" s="8" t="s">
        <v>182</v>
      </c>
      <c r="C97" s="9">
        <f t="shared" si="1"/>
        <v>12098</v>
      </c>
      <c r="D97" s="28"/>
      <c r="E97" s="29"/>
      <c r="F97" s="18"/>
      <c r="G97" s="18"/>
      <c r="H97" s="18"/>
      <c r="I97" s="25"/>
      <c r="J97" s="18"/>
      <c r="K97" s="18"/>
      <c r="L97" s="18"/>
      <c r="M97" s="18"/>
      <c r="N97" s="18"/>
      <c r="O97" s="18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>
      <c r="A98" s="7"/>
      <c r="B98" s="8" t="s">
        <v>183</v>
      </c>
      <c r="C98" s="9">
        <f t="shared" si="1"/>
        <v>12099</v>
      </c>
      <c r="D98" s="28"/>
      <c r="E98" s="29"/>
      <c r="F98" s="18"/>
      <c r="G98" s="18"/>
      <c r="H98" s="18"/>
      <c r="I98" s="25"/>
      <c r="J98" s="18"/>
      <c r="K98" s="18"/>
      <c r="L98" s="18"/>
      <c r="M98" s="18"/>
      <c r="N98" s="18"/>
      <c r="O98" s="18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>
      <c r="A99" s="7"/>
      <c r="B99" s="8" t="s">
        <v>184</v>
      </c>
      <c r="C99" s="9">
        <f t="shared" si="1"/>
        <v>12100</v>
      </c>
      <c r="D99" s="28"/>
      <c r="E99" s="29"/>
      <c r="F99" s="18"/>
      <c r="G99" s="18"/>
      <c r="H99" s="18"/>
      <c r="I99" s="25"/>
      <c r="J99" s="18"/>
      <c r="K99" s="18"/>
      <c r="L99" s="18"/>
      <c r="M99" s="18"/>
      <c r="N99" s="18"/>
      <c r="O99" s="18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>
      <c r="A100" s="7"/>
      <c r="B100" s="8" t="s">
        <v>185</v>
      </c>
      <c r="C100" s="9">
        <f t="shared" si="1"/>
        <v>12101</v>
      </c>
      <c r="D100" s="10"/>
      <c r="E100" s="11"/>
      <c r="F100" s="2"/>
      <c r="G100" s="2"/>
      <c r="H100" s="2"/>
      <c r="I100" s="25"/>
      <c r="J100" s="2"/>
      <c r="K100" s="2"/>
      <c r="L100" s="2"/>
      <c r="M100" s="26"/>
      <c r="N100" s="18"/>
      <c r="O100" s="18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>
      <c r="A101" s="7"/>
      <c r="B101" s="8" t="s">
        <v>186</v>
      </c>
      <c r="C101" s="9">
        <f t="shared" si="1"/>
        <v>12102</v>
      </c>
      <c r="D101" s="10"/>
      <c r="E101" s="11"/>
      <c r="F101" s="2"/>
      <c r="G101" s="2"/>
      <c r="H101" s="2"/>
      <c r="I101" s="12"/>
      <c r="J101" s="2"/>
      <c r="K101" s="2"/>
      <c r="L101" s="2"/>
      <c r="M101" s="26"/>
      <c r="N101" s="18"/>
      <c r="O101" s="18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>
      <c r="A102" s="7"/>
      <c r="B102" s="8" t="s">
        <v>187</v>
      </c>
      <c r="C102" s="9">
        <f t="shared" si="1"/>
        <v>12103</v>
      </c>
      <c r="D102" s="10"/>
      <c r="E102" s="11"/>
      <c r="F102" s="2"/>
      <c r="G102" s="2"/>
      <c r="H102" s="2"/>
      <c r="I102" s="25"/>
      <c r="J102" s="2"/>
      <c r="K102" s="2"/>
      <c r="L102" s="2"/>
      <c r="M102" s="26"/>
      <c r="N102" s="18"/>
      <c r="O102" s="18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>
      <c r="A103" s="7"/>
      <c r="B103" s="8" t="s">
        <v>188</v>
      </c>
      <c r="C103" s="9">
        <f t="shared" si="1"/>
        <v>12104</v>
      </c>
      <c r="D103" s="10"/>
      <c r="E103" s="11"/>
      <c r="F103" s="2"/>
      <c r="G103" s="2"/>
      <c r="H103" s="2"/>
      <c r="I103" s="25"/>
      <c r="J103" s="2"/>
      <c r="K103" s="2"/>
      <c r="L103" s="2"/>
      <c r="M103" s="26"/>
      <c r="N103" s="18"/>
      <c r="O103" s="18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>
      <c r="A104" s="7"/>
      <c r="B104" s="8" t="s">
        <v>189</v>
      </c>
      <c r="C104" s="9">
        <f t="shared" si="1"/>
        <v>12105</v>
      </c>
      <c r="D104" s="10"/>
      <c r="E104" s="11"/>
      <c r="F104" s="2"/>
      <c r="G104" s="2"/>
      <c r="H104" s="2"/>
      <c r="I104" s="12"/>
      <c r="J104" s="2"/>
      <c r="K104" s="2"/>
      <c r="L104" s="2"/>
      <c r="M104" s="21"/>
      <c r="N104" s="2"/>
      <c r="O104" s="18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>
      <c r="A105" s="7"/>
      <c r="B105" s="8" t="s">
        <v>190</v>
      </c>
      <c r="C105" s="9">
        <f t="shared" si="1"/>
        <v>12106</v>
      </c>
      <c r="D105" s="10"/>
      <c r="E105" s="11"/>
      <c r="F105" s="2"/>
      <c r="G105" s="2"/>
      <c r="H105" s="2"/>
      <c r="I105" s="12"/>
      <c r="J105" s="2"/>
      <c r="K105" s="2"/>
      <c r="L105" s="2"/>
      <c r="M105" s="21"/>
      <c r="N105" s="2"/>
      <c r="O105" s="18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>
      <c r="A106" s="7"/>
      <c r="B106" s="8" t="s">
        <v>191</v>
      </c>
      <c r="C106" s="9">
        <f t="shared" si="1"/>
        <v>12107</v>
      </c>
      <c r="D106" s="10"/>
      <c r="E106" s="11"/>
      <c r="F106" s="2"/>
      <c r="G106" s="2"/>
      <c r="H106" s="2"/>
      <c r="I106" s="12"/>
      <c r="J106" s="2"/>
      <c r="K106" s="2"/>
      <c r="L106" s="2"/>
      <c r="M106" s="21"/>
      <c r="N106" s="2"/>
      <c r="O106" s="18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>
      <c r="A107" s="7"/>
      <c r="B107" s="8" t="s">
        <v>192</v>
      </c>
      <c r="C107" s="9">
        <f t="shared" si="1"/>
        <v>12108</v>
      </c>
      <c r="D107" s="10"/>
      <c r="E107" s="11"/>
      <c r="F107" s="2"/>
      <c r="G107" s="2"/>
      <c r="H107" s="2"/>
      <c r="I107" s="12"/>
      <c r="J107" s="2"/>
      <c r="K107" s="2"/>
      <c r="L107" s="2"/>
      <c r="M107" s="26"/>
      <c r="N107" s="2"/>
      <c r="O107" s="18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>
      <c r="A108" s="7"/>
      <c r="B108" s="8" t="s">
        <v>193</v>
      </c>
      <c r="C108" s="9">
        <f t="shared" si="1"/>
        <v>12109</v>
      </c>
      <c r="D108" s="10"/>
      <c r="E108" s="11"/>
      <c r="F108" s="2"/>
      <c r="G108" s="2"/>
      <c r="H108" s="2"/>
      <c r="I108" s="12"/>
      <c r="J108" s="2"/>
      <c r="K108" s="2"/>
      <c r="L108" s="2"/>
      <c r="M108" s="26"/>
      <c r="N108" s="2"/>
      <c r="O108" s="18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>
      <c r="A109" s="7"/>
      <c r="B109" s="8" t="s">
        <v>194</v>
      </c>
      <c r="C109" s="9">
        <f t="shared" si="1"/>
        <v>12110</v>
      </c>
      <c r="D109" s="10"/>
      <c r="E109" s="11"/>
      <c r="F109" s="2"/>
      <c r="G109" s="2"/>
      <c r="H109" s="2"/>
      <c r="I109" s="12"/>
      <c r="J109" s="2"/>
      <c r="K109" s="2"/>
      <c r="L109" s="2"/>
      <c r="M109" s="26"/>
      <c r="N109" s="2"/>
      <c r="O109" s="18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>
      <c r="A110" s="7"/>
      <c r="B110" s="8" t="s">
        <v>195</v>
      </c>
      <c r="C110" s="9">
        <f t="shared" si="1"/>
        <v>12111</v>
      </c>
      <c r="D110" s="10"/>
      <c r="E110" s="11"/>
      <c r="F110" s="2"/>
      <c r="G110" s="2"/>
      <c r="H110" s="2"/>
      <c r="I110" s="12"/>
      <c r="J110" s="2"/>
      <c r="K110" s="2"/>
      <c r="L110" s="2"/>
      <c r="M110" s="26"/>
      <c r="N110" s="2"/>
      <c r="O110" s="18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>
      <c r="A111" s="7"/>
      <c r="B111" s="8" t="s">
        <v>196</v>
      </c>
      <c r="C111" s="9">
        <f t="shared" si="1"/>
        <v>12112</v>
      </c>
      <c r="D111" s="10"/>
      <c r="E111" s="11"/>
      <c r="F111" s="2"/>
      <c r="G111" s="2"/>
      <c r="H111" s="2"/>
      <c r="I111" s="12"/>
      <c r="J111" s="2"/>
      <c r="K111" s="2"/>
      <c r="L111" s="2"/>
      <c r="M111" s="26"/>
      <c r="N111" s="2"/>
      <c r="O111" s="18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>
      <c r="A112" s="7"/>
      <c r="B112" s="8" t="s">
        <v>197</v>
      </c>
      <c r="C112" s="9">
        <f t="shared" si="1"/>
        <v>12113</v>
      </c>
      <c r="D112" s="10"/>
      <c r="E112" s="11"/>
      <c r="F112" s="2"/>
      <c r="G112" s="2"/>
      <c r="H112" s="2"/>
      <c r="I112" s="12"/>
      <c r="J112" s="2"/>
      <c r="K112" s="2"/>
      <c r="L112" s="2"/>
      <c r="M112" s="26"/>
      <c r="N112" s="2"/>
      <c r="O112" s="18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>
      <c r="A113" s="7"/>
      <c r="B113" s="8" t="s">
        <v>198</v>
      </c>
      <c r="C113" s="9">
        <f t="shared" si="1"/>
        <v>12114</v>
      </c>
      <c r="D113" s="28"/>
      <c r="E113" s="11"/>
      <c r="F113" s="2"/>
      <c r="G113" s="2"/>
      <c r="H113" s="2"/>
      <c r="I113" s="12"/>
      <c r="J113" s="2"/>
      <c r="K113" s="2"/>
      <c r="L113" s="2"/>
      <c r="M113" s="26"/>
      <c r="N113" s="2"/>
      <c r="O113" s="18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>
      <c r="A114" s="7"/>
      <c r="B114" s="8" t="s">
        <v>199</v>
      </c>
      <c r="C114" s="9">
        <f t="shared" si="1"/>
        <v>12115</v>
      </c>
      <c r="D114" s="28"/>
      <c r="E114" s="11"/>
      <c r="F114" s="2"/>
      <c r="G114" s="2"/>
      <c r="H114" s="2"/>
      <c r="I114" s="12"/>
      <c r="J114" s="2"/>
      <c r="K114" s="2"/>
      <c r="L114" s="2"/>
      <c r="M114" s="26"/>
      <c r="N114" s="2"/>
      <c r="O114" s="18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>
      <c r="A115" s="7"/>
      <c r="B115" s="8" t="s">
        <v>200</v>
      </c>
      <c r="C115" s="9">
        <f t="shared" si="1"/>
        <v>12116</v>
      </c>
      <c r="D115" s="28"/>
      <c r="E115" s="11"/>
      <c r="F115" s="2"/>
      <c r="G115" s="2"/>
      <c r="H115" s="2"/>
      <c r="I115" s="12"/>
      <c r="J115" s="2"/>
      <c r="K115" s="2"/>
      <c r="L115" s="2"/>
      <c r="M115" s="26"/>
      <c r="N115" s="2"/>
      <c r="O115" s="18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>
      <c r="A116" s="7"/>
      <c r="B116" s="8" t="s">
        <v>201</v>
      </c>
      <c r="C116" s="9">
        <f t="shared" si="1"/>
        <v>12117</v>
      </c>
      <c r="D116" s="28"/>
      <c r="E116" s="11"/>
      <c r="F116" s="2"/>
      <c r="G116" s="2"/>
      <c r="H116" s="2"/>
      <c r="I116" s="12"/>
      <c r="J116" s="2"/>
      <c r="K116" s="2"/>
      <c r="L116" s="2"/>
      <c r="M116" s="26"/>
      <c r="N116" s="2"/>
      <c r="O116" s="18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>
      <c r="A117" s="7"/>
      <c r="B117" s="8" t="s">
        <v>202</v>
      </c>
      <c r="C117" s="9">
        <f t="shared" si="1"/>
        <v>12118</v>
      </c>
      <c r="D117" s="28"/>
      <c r="E117" s="11"/>
      <c r="F117" s="2"/>
      <c r="G117" s="2"/>
      <c r="H117" s="2"/>
      <c r="I117" s="12"/>
      <c r="J117" s="2"/>
      <c r="K117" s="2"/>
      <c r="L117" s="2"/>
      <c r="M117" s="26"/>
      <c r="N117" s="2"/>
      <c r="O117" s="18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>
      <c r="A118" s="7"/>
      <c r="B118" s="8" t="s">
        <v>203</v>
      </c>
      <c r="C118" s="9">
        <f t="shared" si="1"/>
        <v>12119</v>
      </c>
      <c r="D118" s="28"/>
      <c r="E118" s="11"/>
      <c r="F118" s="2"/>
      <c r="G118" s="2"/>
      <c r="H118" s="2"/>
      <c r="I118" s="12"/>
      <c r="J118" s="2"/>
      <c r="K118" s="2"/>
      <c r="L118" s="2"/>
      <c r="M118" s="26"/>
      <c r="N118" s="2"/>
      <c r="O118" s="18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>
      <c r="A119" s="7"/>
      <c r="B119" s="8" t="s">
        <v>204</v>
      </c>
      <c r="C119" s="9">
        <f t="shared" si="1"/>
        <v>12120</v>
      </c>
      <c r="D119" s="28"/>
      <c r="E119" s="11"/>
      <c r="F119" s="2"/>
      <c r="G119" s="2"/>
      <c r="H119" s="2"/>
      <c r="I119" s="12"/>
      <c r="J119" s="2"/>
      <c r="K119" s="2"/>
      <c r="L119" s="2"/>
      <c r="M119" s="26"/>
      <c r="N119" s="2"/>
      <c r="O119" s="18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>
      <c r="A120" s="7"/>
      <c r="B120" s="8" t="s">
        <v>205</v>
      </c>
      <c r="C120" s="9">
        <f t="shared" si="1"/>
        <v>12121</v>
      </c>
      <c r="D120" s="28"/>
      <c r="E120" s="11"/>
      <c r="F120" s="2"/>
      <c r="G120" s="2"/>
      <c r="H120" s="2"/>
      <c r="I120" s="12"/>
      <c r="J120" s="2"/>
      <c r="K120" s="2"/>
      <c r="L120" s="2"/>
      <c r="M120" s="26"/>
      <c r="N120" s="2"/>
      <c r="O120" s="18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>
      <c r="A121" s="7"/>
      <c r="B121" s="8" t="s">
        <v>206</v>
      </c>
      <c r="C121" s="9">
        <f t="shared" si="1"/>
        <v>12122</v>
      </c>
      <c r="D121" s="28"/>
      <c r="E121" s="11"/>
      <c r="F121" s="2"/>
      <c r="G121" s="2"/>
      <c r="H121" s="2"/>
      <c r="I121" s="12"/>
      <c r="J121" s="2"/>
      <c r="K121" s="2"/>
      <c r="L121" s="2"/>
      <c r="M121" s="26"/>
      <c r="N121" s="2"/>
      <c r="O121" s="18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>
      <c r="A122" s="7"/>
      <c r="B122" s="8" t="s">
        <v>207</v>
      </c>
      <c r="C122" s="9">
        <f t="shared" si="1"/>
        <v>12123</v>
      </c>
      <c r="D122" s="28"/>
      <c r="E122" s="11"/>
      <c r="F122" s="2"/>
      <c r="G122" s="2"/>
      <c r="H122" s="2"/>
      <c r="I122" s="12"/>
      <c r="J122" s="2"/>
      <c r="K122" s="2"/>
      <c r="L122" s="2"/>
      <c r="M122" s="26"/>
      <c r="N122" s="2"/>
      <c r="O122" s="18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>
      <c r="A123" s="7"/>
      <c r="B123" s="8" t="s">
        <v>208</v>
      </c>
      <c r="C123" s="9">
        <f t="shared" si="1"/>
        <v>12124</v>
      </c>
      <c r="D123" s="28"/>
      <c r="E123" s="11"/>
      <c r="F123" s="2"/>
      <c r="G123" s="2"/>
      <c r="H123" s="2"/>
      <c r="I123" s="12"/>
      <c r="J123" s="2"/>
      <c r="K123" s="2"/>
      <c r="L123" s="2"/>
      <c r="M123" s="26"/>
      <c r="N123" s="2"/>
      <c r="O123" s="18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>
      <c r="A124" s="7"/>
      <c r="B124" s="8" t="s">
        <v>209</v>
      </c>
      <c r="C124" s="9">
        <f t="shared" si="1"/>
        <v>12125</v>
      </c>
      <c r="D124" s="28"/>
      <c r="E124" s="11"/>
      <c r="F124" s="2"/>
      <c r="G124" s="2"/>
      <c r="H124" s="2"/>
      <c r="I124" s="12"/>
      <c r="J124" s="2"/>
      <c r="K124" s="2"/>
      <c r="L124" s="2"/>
      <c r="M124" s="26"/>
      <c r="N124" s="2"/>
      <c r="O124" s="18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>
      <c r="A125" s="7"/>
      <c r="B125" s="8" t="s">
        <v>210</v>
      </c>
      <c r="C125" s="9">
        <f t="shared" si="1"/>
        <v>12126</v>
      </c>
      <c r="D125" s="28"/>
      <c r="E125" s="11"/>
      <c r="F125" s="2"/>
      <c r="G125" s="2"/>
      <c r="H125" s="2"/>
      <c r="I125" s="12"/>
      <c r="J125" s="2"/>
      <c r="K125" s="2"/>
      <c r="L125" s="2"/>
      <c r="M125" s="26"/>
      <c r="N125" s="2"/>
      <c r="O125" s="18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>
      <c r="A126" s="7"/>
      <c r="B126" s="8" t="s">
        <v>211</v>
      </c>
      <c r="C126" s="9">
        <f t="shared" si="1"/>
        <v>12127</v>
      </c>
      <c r="D126" s="28"/>
      <c r="E126" s="11"/>
      <c r="F126" s="2"/>
      <c r="G126" s="2"/>
      <c r="H126" s="2"/>
      <c r="I126" s="12"/>
      <c r="J126" s="2"/>
      <c r="K126" s="2"/>
      <c r="L126" s="2"/>
      <c r="M126" s="26"/>
      <c r="N126" s="2"/>
      <c r="O126" s="18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>
      <c r="A127" s="7"/>
      <c r="B127" s="8" t="s">
        <v>212</v>
      </c>
      <c r="C127" s="9">
        <f t="shared" si="1"/>
        <v>12128</v>
      </c>
      <c r="D127" s="28"/>
      <c r="E127" s="11"/>
      <c r="F127" s="2"/>
      <c r="G127" s="2"/>
      <c r="H127" s="2"/>
      <c r="I127" s="12"/>
      <c r="J127" s="2"/>
      <c r="K127" s="2"/>
      <c r="L127" s="2"/>
      <c r="M127" s="26"/>
      <c r="N127" s="2"/>
      <c r="O127" s="18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>
      <c r="A128" s="7"/>
      <c r="B128" s="8" t="s">
        <v>213</v>
      </c>
      <c r="C128" s="9">
        <f t="shared" si="1"/>
        <v>12129</v>
      </c>
      <c r="D128" s="28"/>
      <c r="E128" s="11"/>
      <c r="F128" s="2"/>
      <c r="G128" s="2"/>
      <c r="H128" s="2"/>
      <c r="I128" s="12"/>
      <c r="J128" s="2"/>
      <c r="K128" s="2"/>
      <c r="L128" s="2"/>
      <c r="M128" s="26"/>
      <c r="N128" s="2"/>
      <c r="O128" s="18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>
      <c r="A129" s="7"/>
      <c r="B129" s="8" t="s">
        <v>214</v>
      </c>
      <c r="C129" s="9">
        <f t="shared" si="1"/>
        <v>12130</v>
      </c>
      <c r="D129" s="10"/>
      <c r="E129" s="11"/>
      <c r="F129" s="2"/>
      <c r="G129" s="2"/>
      <c r="H129" s="2"/>
      <c r="I129" s="12"/>
      <c r="J129" s="2"/>
      <c r="K129" s="2"/>
      <c r="L129" s="2"/>
      <c r="M129" s="26"/>
      <c r="N129" s="18"/>
      <c r="O129" s="18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>
      <c r="A130" s="7"/>
      <c r="B130" s="8" t="s">
        <v>215</v>
      </c>
      <c r="C130" s="9">
        <f t="shared" si="1"/>
        <v>12131</v>
      </c>
      <c r="D130" s="10"/>
      <c r="E130" s="11"/>
      <c r="F130" s="2"/>
      <c r="G130" s="2"/>
      <c r="H130" s="2"/>
      <c r="I130" s="25"/>
      <c r="J130" s="2"/>
      <c r="K130" s="2"/>
      <c r="L130" s="2"/>
      <c r="M130" s="26"/>
      <c r="N130" s="18"/>
      <c r="O130" s="18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>
      <c r="A131" s="7"/>
      <c r="B131" s="8" t="s">
        <v>216</v>
      </c>
      <c r="C131" s="9">
        <f t="shared" si="1"/>
        <v>12132</v>
      </c>
      <c r="D131" s="28"/>
      <c r="E131" s="29"/>
      <c r="F131" s="18"/>
      <c r="G131" s="18"/>
      <c r="H131" s="18"/>
      <c r="I131" s="25"/>
      <c r="J131" s="18"/>
      <c r="K131" s="18"/>
      <c r="L131" s="18"/>
      <c r="M131" s="18"/>
      <c r="N131" s="18"/>
      <c r="O131" s="18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>
      <c r="A132" s="7"/>
      <c r="B132" s="8" t="s">
        <v>217</v>
      </c>
      <c r="C132" s="9">
        <f t="shared" si="1"/>
        <v>12133</v>
      </c>
      <c r="D132" s="28"/>
      <c r="E132" s="29"/>
      <c r="F132" s="18"/>
      <c r="G132" s="18"/>
      <c r="H132" s="18"/>
      <c r="I132" s="25"/>
      <c r="J132" s="18"/>
      <c r="K132" s="18"/>
      <c r="L132" s="18"/>
      <c r="M132" s="18"/>
      <c r="N132" s="18"/>
      <c r="O132" s="18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>
      <c r="A133" s="7"/>
      <c r="B133" s="8" t="s">
        <v>218</v>
      </c>
      <c r="C133" s="9">
        <f t="shared" si="1"/>
        <v>12134</v>
      </c>
      <c r="D133" s="10"/>
      <c r="E133" s="11"/>
      <c r="F133" s="18"/>
      <c r="G133" s="2"/>
      <c r="H133" s="2"/>
      <c r="I133" s="12"/>
      <c r="J133" s="2"/>
      <c r="K133" s="2"/>
      <c r="L133" s="2"/>
      <c r="M133" s="21"/>
      <c r="N133" s="2"/>
      <c r="O133" s="18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>
      <c r="A134" s="7"/>
      <c r="B134" s="8" t="s">
        <v>219</v>
      </c>
      <c r="C134" s="9">
        <f t="shared" si="1"/>
        <v>12135</v>
      </c>
      <c r="D134" s="10"/>
      <c r="E134" s="11"/>
      <c r="F134" s="18"/>
      <c r="G134" s="2"/>
      <c r="H134" s="2"/>
      <c r="I134" s="12"/>
      <c r="J134" s="2"/>
      <c r="K134" s="2"/>
      <c r="L134" s="2"/>
      <c r="M134" s="41"/>
      <c r="N134" s="2"/>
      <c r="O134" s="18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>
      <c r="A135" s="7"/>
      <c r="B135" s="8" t="s">
        <v>220</v>
      </c>
      <c r="C135" s="9">
        <f t="shared" si="1"/>
        <v>12136</v>
      </c>
      <c r="D135" s="28"/>
      <c r="E135" s="11"/>
      <c r="F135" s="18"/>
      <c r="G135" s="2"/>
      <c r="H135" s="2"/>
      <c r="I135" s="12"/>
      <c r="J135" s="2"/>
      <c r="K135" s="2"/>
      <c r="L135" s="2"/>
      <c r="M135" s="21"/>
      <c r="N135" s="2"/>
      <c r="O135" s="18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>
      <c r="A136" s="7"/>
      <c r="B136" s="8" t="s">
        <v>221</v>
      </c>
      <c r="C136" s="9">
        <f t="shared" si="1"/>
        <v>12137</v>
      </c>
      <c r="D136" s="28"/>
      <c r="E136" s="11"/>
      <c r="F136" s="18"/>
      <c r="G136" s="2"/>
      <c r="H136" s="2"/>
      <c r="I136" s="12"/>
      <c r="J136" s="18"/>
      <c r="K136" s="2"/>
      <c r="L136" s="2"/>
      <c r="M136" s="21"/>
      <c r="N136" s="2"/>
      <c r="O136" s="18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>
      <c r="A137" s="7"/>
      <c r="B137" s="8" t="s">
        <v>222</v>
      </c>
      <c r="C137" s="9">
        <f t="shared" si="1"/>
        <v>12138</v>
      </c>
      <c r="D137" s="28"/>
      <c r="E137" s="11"/>
      <c r="F137" s="18"/>
      <c r="G137" s="2"/>
      <c r="H137" s="2"/>
      <c r="I137" s="12"/>
      <c r="J137" s="2"/>
      <c r="K137" s="2"/>
      <c r="L137" s="2"/>
      <c r="M137" s="21"/>
      <c r="N137" s="2"/>
      <c r="O137" s="18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>
      <c r="A138" s="7"/>
      <c r="B138" s="8" t="s">
        <v>223</v>
      </c>
      <c r="C138" s="9">
        <f t="shared" si="1"/>
        <v>12139</v>
      </c>
      <c r="D138" s="28"/>
      <c r="E138" s="11"/>
      <c r="F138" s="18"/>
      <c r="G138" s="2"/>
      <c r="H138" s="2"/>
      <c r="I138" s="12"/>
      <c r="J138" s="2"/>
      <c r="K138" s="2"/>
      <c r="L138" s="2"/>
      <c r="M138" s="21"/>
      <c r="N138" s="2"/>
      <c r="O138" s="18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>
      <c r="A139" s="7"/>
      <c r="B139" s="8" t="s">
        <v>224</v>
      </c>
      <c r="C139" s="9">
        <f t="shared" si="1"/>
        <v>12140</v>
      </c>
      <c r="D139" s="28"/>
      <c r="E139" s="11"/>
      <c r="F139" s="18"/>
      <c r="G139" s="2"/>
      <c r="H139" s="2"/>
      <c r="I139" s="12"/>
      <c r="J139" s="18"/>
      <c r="K139" s="2"/>
      <c r="L139" s="2"/>
      <c r="M139" s="21"/>
      <c r="N139" s="2"/>
      <c r="O139" s="18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>
      <c r="A140" s="7"/>
      <c r="B140" s="8" t="s">
        <v>225</v>
      </c>
      <c r="C140" s="9">
        <f t="shared" si="1"/>
        <v>12141</v>
      </c>
      <c r="D140" s="28"/>
      <c r="E140" s="11"/>
      <c r="F140" s="18"/>
      <c r="G140" s="2"/>
      <c r="H140" s="2"/>
      <c r="I140" s="12"/>
      <c r="J140" s="2"/>
      <c r="K140" s="2"/>
      <c r="L140" s="2"/>
      <c r="M140" s="21"/>
      <c r="N140" s="2"/>
      <c r="O140" s="18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>
      <c r="A141" s="7"/>
      <c r="B141" s="8" t="s">
        <v>226</v>
      </c>
      <c r="C141" s="9">
        <f t="shared" si="1"/>
        <v>12142</v>
      </c>
      <c r="D141" s="28"/>
      <c r="E141" s="11"/>
      <c r="F141" s="18"/>
      <c r="G141" s="2"/>
      <c r="H141" s="2"/>
      <c r="I141" s="12"/>
      <c r="J141" s="2"/>
      <c r="K141" s="2"/>
      <c r="L141" s="2"/>
      <c r="M141" s="21"/>
      <c r="N141" s="2"/>
      <c r="O141" s="18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>
      <c r="A142" s="7"/>
      <c r="B142" s="8" t="s">
        <v>227</v>
      </c>
      <c r="C142" s="9">
        <f t="shared" si="1"/>
        <v>12143</v>
      </c>
      <c r="D142" s="28"/>
      <c r="E142" s="11"/>
      <c r="F142" s="18"/>
      <c r="G142" s="2"/>
      <c r="H142" s="2"/>
      <c r="I142" s="12"/>
      <c r="J142" s="2"/>
      <c r="K142" s="2"/>
      <c r="L142" s="2"/>
      <c r="M142" s="21"/>
      <c r="N142" s="2"/>
      <c r="O142" s="18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>
      <c r="A143" s="7"/>
      <c r="B143" s="8" t="s">
        <v>228</v>
      </c>
      <c r="C143" s="9">
        <f t="shared" si="1"/>
        <v>12144</v>
      </c>
      <c r="D143" s="28"/>
      <c r="E143" s="11"/>
      <c r="F143" s="18"/>
      <c r="G143" s="2"/>
      <c r="H143" s="2"/>
      <c r="I143" s="12"/>
      <c r="J143" s="2"/>
      <c r="K143" s="2"/>
      <c r="L143" s="2"/>
      <c r="M143" s="21"/>
      <c r="N143" s="2"/>
      <c r="O143" s="18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>
      <c r="A144" s="7"/>
      <c r="B144" s="8" t="s">
        <v>229</v>
      </c>
      <c r="C144" s="9">
        <f t="shared" si="1"/>
        <v>12145</v>
      </c>
      <c r="D144" s="28"/>
      <c r="E144" s="11"/>
      <c r="F144" s="18"/>
      <c r="G144" s="2"/>
      <c r="H144" s="2"/>
      <c r="I144" s="12"/>
      <c r="J144" s="18"/>
      <c r="K144" s="2"/>
      <c r="L144" s="2"/>
      <c r="M144" s="21"/>
      <c r="N144" s="2"/>
      <c r="O144" s="18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>
      <c r="A145" s="7"/>
      <c r="B145" s="8" t="s">
        <v>230</v>
      </c>
      <c r="C145" s="9">
        <f t="shared" si="1"/>
        <v>12146</v>
      </c>
      <c r="D145" s="28"/>
      <c r="E145" s="11"/>
      <c r="F145" s="18"/>
      <c r="G145" s="2"/>
      <c r="H145" s="2"/>
      <c r="I145" s="12"/>
      <c r="J145" s="2"/>
      <c r="K145" s="2"/>
      <c r="L145" s="2"/>
      <c r="M145" s="21"/>
      <c r="N145" s="2"/>
      <c r="O145" s="18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>
      <c r="A146" s="7"/>
      <c r="B146" s="8" t="s">
        <v>231</v>
      </c>
      <c r="C146" s="9">
        <f t="shared" si="1"/>
        <v>12148</v>
      </c>
      <c r="D146" s="28"/>
      <c r="E146" s="11"/>
      <c r="F146" s="18"/>
      <c r="G146" s="2"/>
      <c r="H146" s="2"/>
      <c r="I146" s="12"/>
      <c r="J146" s="2"/>
      <c r="K146" s="2"/>
      <c r="L146" s="2"/>
      <c r="M146" s="21"/>
      <c r="N146" s="12"/>
      <c r="O146" s="18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>
      <c r="A147" s="7"/>
      <c r="B147" s="8" t="s">
        <v>232</v>
      </c>
      <c r="C147" s="9">
        <f t="shared" si="1"/>
        <v>12149</v>
      </c>
      <c r="D147" s="28"/>
      <c r="E147" s="11"/>
      <c r="F147" s="18"/>
      <c r="G147" s="2"/>
      <c r="H147" s="2"/>
      <c r="I147" s="12"/>
      <c r="J147" s="2"/>
      <c r="K147" s="2"/>
      <c r="L147" s="2"/>
      <c r="M147" s="21"/>
      <c r="N147" s="12"/>
      <c r="O147" s="18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>
      <c r="A148" s="7"/>
      <c r="B148" s="8" t="s">
        <v>233</v>
      </c>
      <c r="C148" s="9">
        <f t="shared" si="1"/>
        <v>12150</v>
      </c>
      <c r="D148" s="28"/>
      <c r="E148" s="23"/>
      <c r="F148" s="18"/>
      <c r="G148" s="2"/>
      <c r="H148" s="2"/>
      <c r="I148" s="12"/>
      <c r="J148" s="2"/>
      <c r="K148" s="2"/>
      <c r="L148" s="2"/>
      <c r="M148" s="21"/>
      <c r="N148" s="12"/>
      <c r="O148" s="18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>
      <c r="A149" s="7"/>
      <c r="B149" s="8" t="s">
        <v>234</v>
      </c>
      <c r="C149" s="9">
        <f t="shared" si="1"/>
        <v>12151</v>
      </c>
      <c r="D149" s="28"/>
      <c r="E149" s="11"/>
      <c r="F149" s="18"/>
      <c r="G149" s="2"/>
      <c r="H149" s="2"/>
      <c r="I149" s="12"/>
      <c r="J149" s="2"/>
      <c r="K149" s="2"/>
      <c r="L149" s="2"/>
      <c r="M149" s="21"/>
      <c r="N149" s="12"/>
      <c r="O149" s="18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>
      <c r="A150" s="7"/>
      <c r="B150" s="8" t="s">
        <v>235</v>
      </c>
      <c r="C150" s="9">
        <f t="shared" si="1"/>
        <v>12152</v>
      </c>
      <c r="D150" s="28"/>
      <c r="E150" s="11"/>
      <c r="F150" s="18"/>
      <c r="G150" s="2"/>
      <c r="H150" s="2"/>
      <c r="I150" s="12"/>
      <c r="J150" s="2"/>
      <c r="K150" s="2"/>
      <c r="L150" s="2"/>
      <c r="M150" s="21"/>
      <c r="N150" s="12"/>
      <c r="O150" s="18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>
      <c r="A151" s="7"/>
      <c r="B151" s="8" t="s">
        <v>236</v>
      </c>
      <c r="C151" s="9">
        <f t="shared" si="1"/>
        <v>12153</v>
      </c>
      <c r="D151" s="28"/>
      <c r="E151" s="11"/>
      <c r="F151" s="18"/>
      <c r="G151" s="2"/>
      <c r="H151" s="2"/>
      <c r="I151" s="12"/>
      <c r="J151" s="2"/>
      <c r="K151" s="2"/>
      <c r="L151" s="2"/>
      <c r="M151" s="21"/>
      <c r="N151" s="12"/>
      <c r="O151" s="18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>
      <c r="A152" s="7"/>
      <c r="B152" s="8" t="s">
        <v>237</v>
      </c>
      <c r="C152" s="9">
        <f t="shared" si="1"/>
        <v>12154</v>
      </c>
      <c r="D152" s="28"/>
      <c r="E152" s="11"/>
      <c r="F152" s="18"/>
      <c r="G152" s="2"/>
      <c r="H152" s="2"/>
      <c r="I152" s="12"/>
      <c r="J152" s="2"/>
      <c r="K152" s="2"/>
      <c r="L152" s="2"/>
      <c r="M152" s="21"/>
      <c r="N152" s="12"/>
      <c r="O152" s="18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>
      <c r="A153" s="7"/>
      <c r="B153" s="8" t="s">
        <v>238</v>
      </c>
      <c r="C153" s="9">
        <f t="shared" si="1"/>
        <v>12155</v>
      </c>
      <c r="D153" s="28"/>
      <c r="E153" s="11"/>
      <c r="F153" s="18"/>
      <c r="G153" s="2"/>
      <c r="H153" s="2"/>
      <c r="I153" s="12"/>
      <c r="J153" s="2"/>
      <c r="K153" s="2"/>
      <c r="L153" s="2"/>
      <c r="M153" s="21"/>
      <c r="N153" s="12"/>
      <c r="O153" s="18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>
      <c r="A154" s="7"/>
      <c r="B154" s="8" t="s">
        <v>239</v>
      </c>
      <c r="C154" s="9">
        <f t="shared" si="1"/>
        <v>12156</v>
      </c>
      <c r="D154" s="28"/>
      <c r="E154" s="11"/>
      <c r="F154" s="18"/>
      <c r="G154" s="2"/>
      <c r="H154" s="2"/>
      <c r="I154" s="12"/>
      <c r="J154" s="2"/>
      <c r="K154" s="2"/>
      <c r="L154" s="2"/>
      <c r="M154" s="21"/>
      <c r="N154" s="12"/>
      <c r="O154" s="18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>
      <c r="A155" s="7"/>
      <c r="B155" s="8" t="s">
        <v>240</v>
      </c>
      <c r="C155" s="9">
        <f t="shared" si="1"/>
        <v>12157</v>
      </c>
      <c r="D155" s="28"/>
      <c r="E155" s="11"/>
      <c r="F155" s="18"/>
      <c r="G155" s="2"/>
      <c r="H155" s="2"/>
      <c r="I155" s="12"/>
      <c r="J155" s="2"/>
      <c r="K155" s="2"/>
      <c r="L155" s="2"/>
      <c r="M155" s="21"/>
      <c r="N155" s="12"/>
      <c r="O155" s="18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>
      <c r="A156" s="7"/>
      <c r="B156" s="8" t="s">
        <v>241</v>
      </c>
      <c r="C156" s="9">
        <f t="shared" si="1"/>
        <v>12158</v>
      </c>
      <c r="D156" s="28"/>
      <c r="E156" s="11"/>
      <c r="F156" s="18"/>
      <c r="G156" s="2"/>
      <c r="H156" s="2"/>
      <c r="I156" s="12"/>
      <c r="J156" s="2"/>
      <c r="K156" s="2"/>
      <c r="L156" s="2"/>
      <c r="M156" s="21"/>
      <c r="N156" s="12"/>
      <c r="O156" s="18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>
      <c r="A157" s="7"/>
      <c r="B157" s="8" t="s">
        <v>242</v>
      </c>
      <c r="C157" s="9">
        <f t="shared" si="1"/>
        <v>12159</v>
      </c>
      <c r="D157" s="28"/>
      <c r="E157" s="11"/>
      <c r="F157" s="18"/>
      <c r="G157" s="2"/>
      <c r="H157" s="2"/>
      <c r="I157" s="12"/>
      <c r="J157" s="2"/>
      <c r="K157" s="2"/>
      <c r="L157" s="2"/>
      <c r="M157" s="21"/>
      <c r="N157" s="12"/>
      <c r="O157" s="18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>
      <c r="A158" s="7"/>
      <c r="B158" s="8" t="s">
        <v>243</v>
      </c>
      <c r="C158" s="9">
        <f t="shared" si="1"/>
        <v>12160</v>
      </c>
      <c r="D158" s="28"/>
      <c r="E158" s="11"/>
      <c r="F158" s="18"/>
      <c r="G158" s="2"/>
      <c r="H158" s="2"/>
      <c r="I158" s="12"/>
      <c r="J158" s="2"/>
      <c r="K158" s="2"/>
      <c r="L158" s="2"/>
      <c r="M158" s="21"/>
      <c r="N158" s="12"/>
      <c r="O158" s="18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>
      <c r="A159" s="7"/>
      <c r="B159" s="8" t="s">
        <v>244</v>
      </c>
      <c r="C159" s="9">
        <f t="shared" si="1"/>
        <v>12161</v>
      </c>
      <c r="D159" s="28"/>
      <c r="E159" s="11"/>
      <c r="F159" s="18"/>
      <c r="G159" s="2"/>
      <c r="H159" s="2"/>
      <c r="I159" s="12"/>
      <c r="J159" s="2"/>
      <c r="K159" s="2"/>
      <c r="L159" s="2"/>
      <c r="M159" s="21"/>
      <c r="N159" s="12"/>
      <c r="O159" s="18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>
      <c r="A160" s="7"/>
      <c r="B160" s="8" t="s">
        <v>245</v>
      </c>
      <c r="C160" s="9">
        <f t="shared" si="1"/>
        <v>12162</v>
      </c>
      <c r="D160" s="28"/>
      <c r="E160" s="23"/>
      <c r="F160" s="18"/>
      <c r="G160" s="2"/>
      <c r="H160" s="2"/>
      <c r="I160" s="12"/>
      <c r="J160" s="2"/>
      <c r="K160" s="2"/>
      <c r="L160" s="2"/>
      <c r="M160" s="21"/>
      <c r="N160" s="2"/>
      <c r="O160" s="18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>
      <c r="A161" s="7"/>
      <c r="B161" s="8" t="s">
        <v>246</v>
      </c>
      <c r="C161" s="9">
        <f t="shared" si="1"/>
        <v>12163</v>
      </c>
      <c r="D161" s="28"/>
      <c r="E161" s="11"/>
      <c r="F161" s="18"/>
      <c r="G161" s="2"/>
      <c r="H161" s="2"/>
      <c r="I161" s="12"/>
      <c r="J161" s="2"/>
      <c r="K161" s="2"/>
      <c r="L161" s="2"/>
      <c r="M161" s="21"/>
      <c r="N161" s="2"/>
      <c r="O161" s="18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>
      <c r="A162" s="7"/>
      <c r="B162" s="8" t="s">
        <v>247</v>
      </c>
      <c r="C162" s="9">
        <f t="shared" si="1"/>
        <v>12164</v>
      </c>
      <c r="D162" s="28"/>
      <c r="E162" s="11"/>
      <c r="F162" s="18"/>
      <c r="G162" s="2"/>
      <c r="H162" s="2"/>
      <c r="I162" s="12"/>
      <c r="J162" s="2"/>
      <c r="K162" s="2"/>
      <c r="L162" s="2"/>
      <c r="M162" s="21"/>
      <c r="N162" s="2"/>
      <c r="O162" s="18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>
      <c r="A163" s="7"/>
      <c r="B163" s="8" t="s">
        <v>248</v>
      </c>
      <c r="C163" s="9">
        <f t="shared" si="1"/>
        <v>12165</v>
      </c>
      <c r="D163" s="28"/>
      <c r="E163" s="11"/>
      <c r="F163" s="18"/>
      <c r="G163" s="2"/>
      <c r="H163" s="2"/>
      <c r="I163" s="12"/>
      <c r="J163" s="2"/>
      <c r="K163" s="2"/>
      <c r="L163" s="2"/>
      <c r="M163" s="21"/>
      <c r="N163" s="2"/>
      <c r="O163" s="18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>
      <c r="A164" s="7"/>
      <c r="B164" s="8" t="s">
        <v>249</v>
      </c>
      <c r="C164" s="9">
        <f t="shared" si="1"/>
        <v>12166</v>
      </c>
      <c r="D164" s="28"/>
      <c r="E164" s="11"/>
      <c r="F164" s="18"/>
      <c r="G164" s="2"/>
      <c r="H164" s="2"/>
      <c r="I164" s="12"/>
      <c r="J164" s="2"/>
      <c r="K164" s="2"/>
      <c r="L164" s="2"/>
      <c r="M164" s="21"/>
      <c r="N164" s="2"/>
      <c r="O164" s="18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>
      <c r="A165" s="7"/>
      <c r="B165" s="8" t="s">
        <v>250</v>
      </c>
      <c r="C165" s="9">
        <f t="shared" si="1"/>
        <v>12167</v>
      </c>
      <c r="D165" s="28"/>
      <c r="E165" s="11"/>
      <c r="F165" s="18"/>
      <c r="G165" s="18"/>
      <c r="H165" s="18"/>
      <c r="I165" s="25"/>
      <c r="J165" s="18"/>
      <c r="K165" s="18"/>
      <c r="L165" s="18"/>
      <c r="M165" s="18"/>
      <c r="N165" s="18"/>
      <c r="O165" s="18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>
      <c r="A166" s="7"/>
      <c r="B166" s="8" t="s">
        <v>251</v>
      </c>
      <c r="C166" s="9">
        <f t="shared" si="1"/>
        <v>12168</v>
      </c>
      <c r="D166" s="28"/>
      <c r="E166" s="11"/>
      <c r="F166" s="18"/>
      <c r="G166" s="18"/>
      <c r="H166" s="18"/>
      <c r="I166" s="25"/>
      <c r="J166" s="18"/>
      <c r="K166" s="18"/>
      <c r="L166" s="18"/>
      <c r="M166" s="18"/>
      <c r="N166" s="18"/>
      <c r="O166" s="18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>
      <c r="A167" s="7"/>
      <c r="B167" s="8" t="s">
        <v>252</v>
      </c>
      <c r="C167" s="9">
        <f t="shared" si="1"/>
        <v>12169</v>
      </c>
      <c r="D167" s="10"/>
      <c r="E167" s="11"/>
      <c r="F167" s="2"/>
      <c r="G167" s="2"/>
      <c r="H167" s="2"/>
      <c r="I167" s="12"/>
      <c r="J167" s="2"/>
      <c r="K167" s="2"/>
      <c r="L167" s="2"/>
      <c r="M167" s="26"/>
      <c r="N167" s="18"/>
      <c r="O167" s="18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>
      <c r="A168" s="7"/>
      <c r="B168" s="8" t="s">
        <v>253</v>
      </c>
      <c r="C168" s="9">
        <f t="shared" si="1"/>
        <v>12170</v>
      </c>
      <c r="D168" s="28"/>
      <c r="E168" s="29"/>
      <c r="F168" s="18"/>
      <c r="G168" s="18"/>
      <c r="H168" s="18"/>
      <c r="I168" s="25"/>
      <c r="J168" s="18"/>
      <c r="K168" s="18"/>
      <c r="L168" s="18"/>
      <c r="M168" s="18"/>
      <c r="N168" s="18"/>
      <c r="O168" s="18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>
      <c r="A169" s="7"/>
      <c r="B169" s="8" t="s">
        <v>254</v>
      </c>
      <c r="C169" s="9">
        <f t="shared" si="1"/>
        <v>12171</v>
      </c>
      <c r="D169" s="28"/>
      <c r="E169" s="29"/>
      <c r="F169" s="18"/>
      <c r="G169" s="18"/>
      <c r="H169" s="18"/>
      <c r="I169" s="25"/>
      <c r="J169" s="18"/>
      <c r="K169" s="18"/>
      <c r="L169" s="18"/>
      <c r="M169" s="18"/>
      <c r="N169" s="18"/>
      <c r="O169" s="18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>
      <c r="A170" s="7"/>
      <c r="B170" s="8" t="s">
        <v>255</v>
      </c>
      <c r="C170" s="9">
        <f t="shared" si="1"/>
        <v>12172</v>
      </c>
      <c r="D170" s="28"/>
      <c r="E170" s="29"/>
      <c r="F170" s="18"/>
      <c r="G170" s="18"/>
      <c r="H170" s="18"/>
      <c r="I170" s="25"/>
      <c r="J170" s="18"/>
      <c r="K170" s="18"/>
      <c r="L170" s="18"/>
      <c r="M170" s="18"/>
      <c r="N170" s="18"/>
      <c r="O170" s="18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>
      <c r="A171" s="7"/>
      <c r="B171" s="8" t="s">
        <v>256</v>
      </c>
      <c r="C171" s="9">
        <f t="shared" si="1"/>
        <v>12173</v>
      </c>
      <c r="D171" s="28"/>
      <c r="E171" s="29"/>
      <c r="F171" s="18"/>
      <c r="G171" s="18"/>
      <c r="H171" s="18"/>
      <c r="I171" s="25"/>
      <c r="J171" s="18"/>
      <c r="K171" s="18"/>
      <c r="L171" s="18"/>
      <c r="M171" s="18"/>
      <c r="N171" s="18"/>
      <c r="O171" s="18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>
      <c r="A172" s="7"/>
      <c r="B172" s="8" t="s">
        <v>257</v>
      </c>
      <c r="C172" s="9">
        <f t="shared" si="1"/>
        <v>12174</v>
      </c>
      <c r="D172" s="28"/>
      <c r="E172" s="29"/>
      <c r="F172" s="18"/>
      <c r="G172" s="18"/>
      <c r="H172" s="18"/>
      <c r="I172" s="25"/>
      <c r="J172" s="18"/>
      <c r="K172" s="18"/>
      <c r="L172" s="18"/>
      <c r="M172" s="18"/>
      <c r="N172" s="18"/>
      <c r="O172" s="18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>
      <c r="A173" s="7"/>
      <c r="B173" s="8" t="s">
        <v>258</v>
      </c>
      <c r="C173" s="9">
        <f t="shared" si="1"/>
        <v>12175</v>
      </c>
      <c r="D173" s="28"/>
      <c r="E173" s="29"/>
      <c r="F173" s="18"/>
      <c r="G173" s="18"/>
      <c r="H173" s="18"/>
      <c r="I173" s="25"/>
      <c r="J173" s="18"/>
      <c r="K173" s="18"/>
      <c r="L173" s="18"/>
      <c r="M173" s="18"/>
      <c r="N173" s="18"/>
      <c r="O173" s="18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>
      <c r="A174" s="7"/>
      <c r="B174" s="8" t="s">
        <v>259</v>
      </c>
      <c r="C174" s="9">
        <f t="shared" si="1"/>
        <v>12176</v>
      </c>
      <c r="D174" s="28"/>
      <c r="E174" s="29"/>
      <c r="F174" s="18"/>
      <c r="G174" s="18"/>
      <c r="H174" s="18"/>
      <c r="I174" s="25"/>
      <c r="J174" s="18"/>
      <c r="K174" s="18"/>
      <c r="L174" s="18"/>
      <c r="M174" s="18"/>
      <c r="N174" s="18"/>
      <c r="O174" s="18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>
      <c r="A175" s="7"/>
      <c r="B175" s="8" t="s">
        <v>260</v>
      </c>
      <c r="C175" s="9">
        <f t="shared" si="1"/>
        <v>12177</v>
      </c>
      <c r="D175" s="28"/>
      <c r="E175" s="29"/>
      <c r="F175" s="18"/>
      <c r="G175" s="18"/>
      <c r="H175" s="18"/>
      <c r="I175" s="25"/>
      <c r="J175" s="18"/>
      <c r="K175" s="18"/>
      <c r="L175" s="18"/>
      <c r="M175" s="18"/>
      <c r="N175" s="18"/>
      <c r="O175" s="18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>
      <c r="A176" s="7"/>
      <c r="B176" s="8" t="s">
        <v>261</v>
      </c>
      <c r="C176" s="9">
        <f t="shared" si="1"/>
        <v>12178</v>
      </c>
      <c r="D176" s="28"/>
      <c r="E176" s="29"/>
      <c r="F176" s="18"/>
      <c r="G176" s="18"/>
      <c r="H176" s="18"/>
      <c r="I176" s="25"/>
      <c r="J176" s="18"/>
      <c r="K176" s="18"/>
      <c r="L176" s="18"/>
      <c r="M176" s="18"/>
      <c r="N176" s="18"/>
      <c r="O176" s="18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>
      <c r="A177" s="7"/>
      <c r="B177" s="8" t="s">
        <v>262</v>
      </c>
      <c r="C177" s="9">
        <f t="shared" si="1"/>
        <v>12179</v>
      </c>
      <c r="D177" s="28"/>
      <c r="E177" s="29"/>
      <c r="F177" s="18"/>
      <c r="G177" s="18"/>
      <c r="H177" s="18"/>
      <c r="I177" s="25"/>
      <c r="J177" s="18"/>
      <c r="K177" s="18"/>
      <c r="L177" s="18"/>
      <c r="M177" s="18"/>
      <c r="N177" s="18"/>
      <c r="O177" s="18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>
      <c r="A178" s="7"/>
      <c r="B178" s="8" t="s">
        <v>263</v>
      </c>
      <c r="C178" s="9">
        <f t="shared" si="1"/>
        <v>12180</v>
      </c>
      <c r="D178" s="28"/>
      <c r="E178" s="29"/>
      <c r="F178" s="18"/>
      <c r="G178" s="18"/>
      <c r="H178" s="18"/>
      <c r="I178" s="25"/>
      <c r="J178" s="18"/>
      <c r="K178" s="18"/>
      <c r="L178" s="18"/>
      <c r="M178" s="18"/>
      <c r="N178" s="18"/>
      <c r="O178" s="18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>
      <c r="A179" s="7"/>
      <c r="B179" s="8" t="s">
        <v>264</v>
      </c>
      <c r="C179" s="9">
        <f t="shared" si="1"/>
        <v>12181</v>
      </c>
      <c r="D179" s="28"/>
      <c r="E179" s="29"/>
      <c r="F179" s="18"/>
      <c r="G179" s="18"/>
      <c r="H179" s="18"/>
      <c r="I179" s="25"/>
      <c r="J179" s="18"/>
      <c r="K179" s="18"/>
      <c r="L179" s="18"/>
      <c r="M179" s="18"/>
      <c r="N179" s="18"/>
      <c r="O179" s="18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>
      <c r="A180" s="7"/>
      <c r="B180" s="8" t="s">
        <v>265</v>
      </c>
      <c r="C180" s="9">
        <f t="shared" si="1"/>
        <v>12182</v>
      </c>
      <c r="D180" s="28"/>
      <c r="E180" s="29"/>
      <c r="F180" s="18"/>
      <c r="G180" s="18"/>
      <c r="H180" s="18"/>
      <c r="I180" s="25"/>
      <c r="J180" s="18"/>
      <c r="K180" s="18"/>
      <c r="L180" s="18"/>
      <c r="M180" s="18"/>
      <c r="N180" s="18"/>
      <c r="O180" s="18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>
      <c r="A181" s="7"/>
      <c r="B181" s="8" t="s">
        <v>266</v>
      </c>
      <c r="C181" s="9">
        <f t="shared" si="1"/>
        <v>12183</v>
      </c>
      <c r="D181" s="28"/>
      <c r="E181" s="29"/>
      <c r="F181" s="18"/>
      <c r="G181" s="18"/>
      <c r="H181" s="18"/>
      <c r="I181" s="25"/>
      <c r="J181" s="18"/>
      <c r="K181" s="18"/>
      <c r="L181" s="18"/>
      <c r="M181" s="18"/>
      <c r="N181" s="18"/>
      <c r="O181" s="18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>
      <c r="A182" s="7"/>
      <c r="B182" s="8" t="s">
        <v>267</v>
      </c>
      <c r="C182" s="9">
        <f t="shared" si="1"/>
        <v>12184</v>
      </c>
      <c r="D182" s="28"/>
      <c r="E182" s="29"/>
      <c r="F182" s="18"/>
      <c r="G182" s="18"/>
      <c r="H182" s="18"/>
      <c r="I182" s="25"/>
      <c r="J182" s="18"/>
      <c r="K182" s="18"/>
      <c r="L182" s="18"/>
      <c r="M182" s="18"/>
      <c r="N182" s="18"/>
      <c r="O182" s="18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>
      <c r="A183" s="7"/>
      <c r="B183" s="8" t="s">
        <v>268</v>
      </c>
      <c r="C183" s="9">
        <f t="shared" si="1"/>
        <v>12185</v>
      </c>
      <c r="D183" s="28"/>
      <c r="E183" s="29"/>
      <c r="F183" s="18"/>
      <c r="G183" s="18"/>
      <c r="H183" s="18"/>
      <c r="I183" s="25"/>
      <c r="J183" s="18"/>
      <c r="K183" s="18"/>
      <c r="L183" s="18"/>
      <c r="M183" s="18"/>
      <c r="N183" s="18"/>
      <c r="O183" s="18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>
      <c r="A184" s="7"/>
      <c r="B184" s="8" t="s">
        <v>269</v>
      </c>
      <c r="C184" s="9">
        <f t="shared" si="1"/>
        <v>12186</v>
      </c>
      <c r="D184" s="28"/>
      <c r="E184" s="29"/>
      <c r="F184" s="18"/>
      <c r="G184" s="18"/>
      <c r="H184" s="18"/>
      <c r="I184" s="25"/>
      <c r="J184" s="18"/>
      <c r="K184" s="18"/>
      <c r="L184" s="18"/>
      <c r="M184" s="18"/>
      <c r="N184" s="18"/>
      <c r="O184" s="18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>
      <c r="A185" s="7"/>
      <c r="B185" s="8" t="s">
        <v>270</v>
      </c>
      <c r="C185" s="9">
        <f t="shared" si="1"/>
        <v>12187</v>
      </c>
      <c r="D185" s="28"/>
      <c r="E185" s="29"/>
      <c r="F185" s="18"/>
      <c r="G185" s="18"/>
      <c r="H185" s="18"/>
      <c r="I185" s="25"/>
      <c r="J185" s="18"/>
      <c r="K185" s="18"/>
      <c r="L185" s="18"/>
      <c r="M185" s="18"/>
      <c r="N185" s="18"/>
      <c r="O185" s="18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>
      <c r="A186" s="7"/>
      <c r="B186" s="8" t="s">
        <v>271</v>
      </c>
      <c r="C186" s="9">
        <f t="shared" si="1"/>
        <v>12188</v>
      </c>
      <c r="D186" s="28"/>
      <c r="E186" s="29"/>
      <c r="F186" s="18"/>
      <c r="G186" s="18"/>
      <c r="H186" s="18"/>
      <c r="I186" s="25"/>
      <c r="J186" s="18"/>
      <c r="K186" s="18"/>
      <c r="L186" s="18"/>
      <c r="M186" s="18"/>
      <c r="N186" s="18"/>
      <c r="O186" s="18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>
      <c r="A187" s="7"/>
      <c r="B187" s="8" t="s">
        <v>272</v>
      </c>
      <c r="C187" s="9">
        <f t="shared" si="1"/>
        <v>12189</v>
      </c>
      <c r="D187" s="28"/>
      <c r="E187" s="29"/>
      <c r="F187" s="18"/>
      <c r="G187" s="18"/>
      <c r="H187" s="18"/>
      <c r="I187" s="25"/>
      <c r="J187" s="18"/>
      <c r="K187" s="18"/>
      <c r="L187" s="18"/>
      <c r="M187" s="18"/>
      <c r="N187" s="18"/>
      <c r="O187" s="18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>
      <c r="A188" s="7"/>
      <c r="B188" s="8" t="s">
        <v>273</v>
      </c>
      <c r="C188" s="9">
        <f t="shared" si="1"/>
        <v>12190</v>
      </c>
      <c r="D188" s="28"/>
      <c r="E188" s="29"/>
      <c r="F188" s="18"/>
      <c r="G188" s="18"/>
      <c r="H188" s="18"/>
      <c r="I188" s="25"/>
      <c r="J188" s="18"/>
      <c r="K188" s="18"/>
      <c r="L188" s="18"/>
      <c r="M188" s="18"/>
      <c r="N188" s="18"/>
      <c r="O188" s="18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>
      <c r="A189" s="7"/>
      <c r="B189" s="8" t="s">
        <v>274</v>
      </c>
      <c r="C189" s="9">
        <f t="shared" si="1"/>
        <v>12191</v>
      </c>
      <c r="D189" s="28"/>
      <c r="E189" s="29"/>
      <c r="F189" s="18"/>
      <c r="G189" s="18"/>
      <c r="H189" s="18"/>
      <c r="I189" s="25"/>
      <c r="J189" s="18"/>
      <c r="K189" s="18"/>
      <c r="L189" s="18"/>
      <c r="M189" s="18"/>
      <c r="N189" s="18"/>
      <c r="O189" s="18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>
      <c r="A190" s="7"/>
      <c r="B190" s="8" t="s">
        <v>275</v>
      </c>
      <c r="C190" s="9">
        <f t="shared" si="1"/>
        <v>12192</v>
      </c>
      <c r="D190" s="28"/>
      <c r="E190" s="29"/>
      <c r="F190" s="18"/>
      <c r="G190" s="18"/>
      <c r="H190" s="18"/>
      <c r="I190" s="25"/>
      <c r="J190" s="18"/>
      <c r="K190" s="18"/>
      <c r="L190" s="18"/>
      <c r="M190" s="18"/>
      <c r="N190" s="18"/>
      <c r="O190" s="18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>
      <c r="A191" s="7"/>
      <c r="B191" s="8" t="s">
        <v>276</v>
      </c>
      <c r="C191" s="9">
        <f t="shared" si="1"/>
        <v>12193</v>
      </c>
      <c r="D191" s="28"/>
      <c r="E191" s="29"/>
      <c r="F191" s="18"/>
      <c r="G191" s="18"/>
      <c r="H191" s="18"/>
      <c r="I191" s="25"/>
      <c r="J191" s="18"/>
      <c r="K191" s="18"/>
      <c r="L191" s="18"/>
      <c r="M191" s="18"/>
      <c r="N191" s="18"/>
      <c r="O191" s="18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>
      <c r="A192" s="7"/>
      <c r="B192" s="8" t="s">
        <v>277</v>
      </c>
      <c r="C192" s="9">
        <f t="shared" si="1"/>
        <v>12194</v>
      </c>
      <c r="D192" s="28"/>
      <c r="E192" s="29"/>
      <c r="F192" s="18"/>
      <c r="G192" s="18"/>
      <c r="H192" s="18"/>
      <c r="I192" s="25"/>
      <c r="J192" s="18"/>
      <c r="K192" s="18"/>
      <c r="L192" s="18"/>
      <c r="M192" s="18"/>
      <c r="N192" s="18"/>
      <c r="O192" s="18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>
      <c r="A193" s="7"/>
      <c r="B193" s="8" t="s">
        <v>278</v>
      </c>
      <c r="C193" s="9">
        <f t="shared" si="1"/>
        <v>12195</v>
      </c>
      <c r="D193" s="28"/>
      <c r="E193" s="29"/>
      <c r="F193" s="18"/>
      <c r="G193" s="18"/>
      <c r="H193" s="18"/>
      <c r="I193" s="25"/>
      <c r="J193" s="18"/>
      <c r="K193" s="18"/>
      <c r="L193" s="18"/>
      <c r="M193" s="18"/>
      <c r="N193" s="18"/>
      <c r="O193" s="18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>
      <c r="A194" s="7"/>
      <c r="B194" s="8" t="s">
        <v>279</v>
      </c>
      <c r="C194" s="9">
        <f t="shared" si="1"/>
        <v>12196</v>
      </c>
      <c r="D194" s="28"/>
      <c r="E194" s="29"/>
      <c r="F194" s="18"/>
      <c r="G194" s="18"/>
      <c r="H194" s="18"/>
      <c r="I194" s="25"/>
      <c r="J194" s="18"/>
      <c r="K194" s="18"/>
      <c r="L194" s="18"/>
      <c r="M194" s="18"/>
      <c r="N194" s="18"/>
      <c r="O194" s="18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>
      <c r="A195" s="7"/>
      <c r="B195" s="8" t="s">
        <v>280</v>
      </c>
      <c r="C195" s="9">
        <f t="shared" si="1"/>
        <v>12197</v>
      </c>
      <c r="D195" s="28"/>
      <c r="E195" s="29"/>
      <c r="F195" s="18"/>
      <c r="G195" s="18"/>
      <c r="H195" s="18"/>
      <c r="I195" s="25"/>
      <c r="J195" s="18"/>
      <c r="K195" s="18"/>
      <c r="L195" s="18"/>
      <c r="M195" s="18"/>
      <c r="N195" s="18"/>
      <c r="O195" s="18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>
      <c r="A196" s="7"/>
      <c r="B196" s="8" t="s">
        <v>281</v>
      </c>
      <c r="C196" s="9">
        <f t="shared" si="1"/>
        <v>12198</v>
      </c>
      <c r="D196" s="28"/>
      <c r="E196" s="29"/>
      <c r="F196" s="18"/>
      <c r="G196" s="18"/>
      <c r="H196" s="18"/>
      <c r="I196" s="25"/>
      <c r="J196" s="18"/>
      <c r="K196" s="18"/>
      <c r="L196" s="18"/>
      <c r="M196" s="18"/>
      <c r="N196" s="18"/>
      <c r="O196" s="18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>
      <c r="A197" s="7"/>
      <c r="B197" s="8" t="s">
        <v>282</v>
      </c>
      <c r="C197" s="9">
        <f t="shared" si="1"/>
        <v>12199</v>
      </c>
      <c r="D197" s="28"/>
      <c r="E197" s="29"/>
      <c r="F197" s="18"/>
      <c r="G197" s="18"/>
      <c r="H197" s="18"/>
      <c r="I197" s="25"/>
      <c r="J197" s="18"/>
      <c r="K197" s="18"/>
      <c r="L197" s="18"/>
      <c r="M197" s="18"/>
      <c r="N197" s="18"/>
      <c r="O197" s="18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>
      <c r="A198" s="7"/>
      <c r="B198" s="8" t="s">
        <v>283</v>
      </c>
      <c r="C198" s="9">
        <f t="shared" si="1"/>
        <v>12200</v>
      </c>
      <c r="D198" s="10"/>
      <c r="E198" s="11"/>
      <c r="F198" s="2"/>
      <c r="G198" s="2"/>
      <c r="H198" s="2"/>
      <c r="I198" s="25"/>
      <c r="J198" s="2"/>
      <c r="K198" s="2"/>
      <c r="L198" s="2"/>
      <c r="M198" s="26"/>
      <c r="N198" s="18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>
      <c r="A199" s="7"/>
      <c r="B199" s="8" t="s">
        <v>284</v>
      </c>
      <c r="C199" s="9">
        <f t="shared" si="1"/>
        <v>12201</v>
      </c>
      <c r="D199" s="10"/>
      <c r="E199" s="11"/>
      <c r="F199" s="2"/>
      <c r="G199" s="2"/>
      <c r="H199" s="2"/>
      <c r="I199" s="25"/>
      <c r="J199" s="2"/>
      <c r="K199" s="2"/>
      <c r="L199" s="2"/>
      <c r="M199" s="26"/>
      <c r="N199" s="18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>
      <c r="A200" s="7"/>
      <c r="B200" s="8" t="s">
        <v>285</v>
      </c>
      <c r="C200" s="9">
        <f t="shared" si="1"/>
        <v>12202</v>
      </c>
      <c r="D200" s="10"/>
      <c r="E200" s="11"/>
      <c r="F200" s="2"/>
      <c r="G200" s="2"/>
      <c r="H200" s="2"/>
      <c r="I200" s="25"/>
      <c r="J200" s="2"/>
      <c r="K200" s="2"/>
      <c r="L200" s="2"/>
      <c r="M200" s="26"/>
      <c r="N200" s="18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>
      <c r="A201" s="7"/>
      <c r="B201" s="8" t="s">
        <v>286</v>
      </c>
      <c r="C201" s="9">
        <f t="shared" si="1"/>
        <v>12203</v>
      </c>
      <c r="D201" s="10"/>
      <c r="E201" s="11"/>
      <c r="F201" s="2"/>
      <c r="G201" s="2"/>
      <c r="H201" s="2"/>
      <c r="I201" s="25"/>
      <c r="J201" s="2"/>
      <c r="K201" s="2"/>
      <c r="L201" s="2"/>
      <c r="M201" s="26"/>
      <c r="N201" s="18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>
      <c r="A202" s="7"/>
      <c r="B202" s="8" t="s">
        <v>287</v>
      </c>
      <c r="C202" s="9">
        <f t="shared" si="1"/>
        <v>12204</v>
      </c>
      <c r="D202" s="10"/>
      <c r="E202" s="11"/>
      <c r="F202" s="2"/>
      <c r="G202" s="2"/>
      <c r="H202" s="2"/>
      <c r="I202" s="25"/>
      <c r="J202" s="2"/>
      <c r="K202" s="2"/>
      <c r="L202" s="2"/>
      <c r="M202" s="26"/>
      <c r="N202" s="18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>
      <c r="A203" s="7"/>
      <c r="B203" s="8" t="s">
        <v>288</v>
      </c>
      <c r="C203" s="9">
        <f t="shared" si="1"/>
        <v>12205</v>
      </c>
      <c r="D203" s="10"/>
      <c r="E203" s="11"/>
      <c r="F203" s="2"/>
      <c r="G203" s="2"/>
      <c r="H203" s="2"/>
      <c r="I203" s="25"/>
      <c r="J203" s="2"/>
      <c r="K203" s="2"/>
      <c r="L203" s="2"/>
      <c r="M203" s="26"/>
      <c r="N203" s="18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>
      <c r="A204" s="7"/>
      <c r="B204" s="8" t="s">
        <v>289</v>
      </c>
      <c r="C204" s="9">
        <f t="shared" si="1"/>
        <v>12206</v>
      </c>
      <c r="D204" s="10"/>
      <c r="E204" s="11"/>
      <c r="F204" s="2"/>
      <c r="G204" s="2"/>
      <c r="H204" s="2"/>
      <c r="I204" s="25"/>
      <c r="J204" s="2"/>
      <c r="K204" s="2"/>
      <c r="L204" s="2"/>
      <c r="M204" s="26"/>
      <c r="N204" s="18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>
      <c r="A205" s="7"/>
      <c r="B205" s="8" t="s">
        <v>290</v>
      </c>
      <c r="C205" s="9">
        <f t="shared" si="1"/>
        <v>12207</v>
      </c>
      <c r="D205" s="10"/>
      <c r="E205" s="11"/>
      <c r="F205" s="2"/>
      <c r="G205" s="2"/>
      <c r="H205" s="2"/>
      <c r="I205" s="25"/>
      <c r="J205" s="2"/>
      <c r="K205" s="2"/>
      <c r="L205" s="2"/>
      <c r="M205" s="26"/>
      <c r="N205" s="18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>
      <c r="A206" s="7"/>
      <c r="B206" s="8" t="s">
        <v>291</v>
      </c>
      <c r="C206" s="9">
        <f t="shared" si="1"/>
        <v>12208</v>
      </c>
      <c r="D206" s="28"/>
      <c r="E206" s="29"/>
      <c r="F206" s="18"/>
      <c r="G206" s="18"/>
      <c r="H206" s="18"/>
      <c r="I206" s="25"/>
      <c r="J206" s="18"/>
      <c r="K206" s="18"/>
      <c r="L206" s="18"/>
      <c r="M206" s="18"/>
      <c r="N206" s="18"/>
      <c r="O206" s="18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>
      <c r="A207" s="7"/>
      <c r="B207" s="8" t="s">
        <v>292</v>
      </c>
      <c r="C207" s="9">
        <f t="shared" si="1"/>
        <v>12209</v>
      </c>
      <c r="D207" s="28"/>
      <c r="E207" s="29"/>
      <c r="F207" s="18"/>
      <c r="G207" s="18"/>
      <c r="H207" s="18"/>
      <c r="I207" s="25"/>
      <c r="J207" s="18"/>
      <c r="K207" s="18"/>
      <c r="L207" s="18"/>
      <c r="M207" s="18"/>
      <c r="N207" s="18"/>
      <c r="O207" s="18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>
      <c r="A208" s="7"/>
      <c r="B208" s="8" t="s">
        <v>293</v>
      </c>
      <c r="C208" s="9">
        <f t="shared" si="1"/>
        <v>12210</v>
      </c>
      <c r="D208" s="28"/>
      <c r="E208" s="29"/>
      <c r="F208" s="18"/>
      <c r="G208" s="18"/>
      <c r="H208" s="18"/>
      <c r="I208" s="25"/>
      <c r="J208" s="18"/>
      <c r="K208" s="18"/>
      <c r="L208" s="18"/>
      <c r="M208" s="18"/>
      <c r="N208" s="18"/>
      <c r="O208" s="18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>
      <c r="A209" s="7"/>
      <c r="B209" s="8" t="s">
        <v>294</v>
      </c>
      <c r="C209" s="9">
        <f t="shared" si="1"/>
        <v>12211</v>
      </c>
      <c r="D209" s="28"/>
      <c r="E209" s="29"/>
      <c r="F209" s="18"/>
      <c r="G209" s="18"/>
      <c r="H209" s="18"/>
      <c r="I209" s="25"/>
      <c r="J209" s="18"/>
      <c r="K209" s="18"/>
      <c r="L209" s="18"/>
      <c r="M209" s="18"/>
      <c r="N209" s="18"/>
      <c r="O209" s="18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>
      <c r="A210" s="7"/>
      <c r="B210" s="8" t="s">
        <v>295</v>
      </c>
      <c r="C210" s="9">
        <f t="shared" si="1"/>
        <v>12212</v>
      </c>
      <c r="D210" s="28"/>
      <c r="E210" s="29"/>
      <c r="F210" s="18"/>
      <c r="G210" s="18"/>
      <c r="H210" s="18"/>
      <c r="I210" s="25"/>
      <c r="J210" s="18"/>
      <c r="K210" s="18"/>
      <c r="L210" s="18"/>
      <c r="M210" s="18"/>
      <c r="N210" s="18"/>
      <c r="O210" s="18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>
      <c r="A211" s="7"/>
      <c r="B211" s="8" t="s">
        <v>296</v>
      </c>
      <c r="C211" s="9">
        <f t="shared" si="1"/>
        <v>12213</v>
      </c>
      <c r="D211" s="28"/>
      <c r="E211" s="29"/>
      <c r="F211" s="18"/>
      <c r="G211" s="18"/>
      <c r="H211" s="18"/>
      <c r="I211" s="25"/>
      <c r="J211" s="18"/>
      <c r="K211" s="18"/>
      <c r="L211" s="18"/>
      <c r="M211" s="18"/>
      <c r="N211" s="18"/>
      <c r="O211" s="18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>
      <c r="A212" s="7"/>
      <c r="B212" s="8" t="s">
        <v>297</v>
      </c>
      <c r="C212" s="9">
        <f t="shared" si="1"/>
        <v>12214</v>
      </c>
      <c r="D212" s="28"/>
      <c r="E212" s="29"/>
      <c r="F212" s="18"/>
      <c r="G212" s="18"/>
      <c r="H212" s="18"/>
      <c r="I212" s="25"/>
      <c r="J212" s="18"/>
      <c r="K212" s="18"/>
      <c r="L212" s="18"/>
      <c r="M212" s="18"/>
      <c r="N212" s="18"/>
      <c r="O212" s="18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>
      <c r="A213" s="7"/>
      <c r="B213" s="8" t="s">
        <v>298</v>
      </c>
      <c r="C213" s="9">
        <f t="shared" si="1"/>
        <v>12215</v>
      </c>
      <c r="D213" s="28"/>
      <c r="E213" s="29"/>
      <c r="F213" s="18"/>
      <c r="G213" s="18"/>
      <c r="H213" s="18"/>
      <c r="I213" s="25"/>
      <c r="J213" s="18"/>
      <c r="K213" s="18"/>
      <c r="L213" s="18"/>
      <c r="M213" s="18"/>
      <c r="N213" s="18"/>
      <c r="O213" s="18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>
      <c r="A214" s="7"/>
      <c r="B214" s="8" t="s">
        <v>299</v>
      </c>
      <c r="C214" s="9">
        <f t="shared" si="1"/>
        <v>12216</v>
      </c>
      <c r="D214" s="28"/>
      <c r="E214" s="29"/>
      <c r="F214" s="18"/>
      <c r="G214" s="18"/>
      <c r="H214" s="18"/>
      <c r="I214" s="25"/>
      <c r="J214" s="18"/>
      <c r="K214" s="18"/>
      <c r="L214" s="18"/>
      <c r="M214" s="18"/>
      <c r="N214" s="18"/>
      <c r="O214" s="18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>
      <c r="A215" s="7"/>
      <c r="B215" s="8" t="s">
        <v>300</v>
      </c>
      <c r="C215" s="9">
        <f t="shared" si="1"/>
        <v>12217</v>
      </c>
      <c r="D215" s="28"/>
      <c r="E215" s="29"/>
      <c r="F215" s="18"/>
      <c r="G215" s="18"/>
      <c r="H215" s="18"/>
      <c r="I215" s="25"/>
      <c r="J215" s="18"/>
      <c r="K215" s="18"/>
      <c r="L215" s="18"/>
      <c r="M215" s="18"/>
      <c r="N215" s="18"/>
      <c r="O215" s="18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>
      <c r="A216" s="7"/>
      <c r="B216" s="8" t="s">
        <v>301</v>
      </c>
      <c r="C216" s="9">
        <f t="shared" si="1"/>
        <v>12218</v>
      </c>
      <c r="D216" s="28"/>
      <c r="E216" s="29"/>
      <c r="F216" s="18"/>
      <c r="G216" s="18"/>
      <c r="H216" s="18"/>
      <c r="I216" s="25"/>
      <c r="J216" s="18"/>
      <c r="K216" s="18"/>
      <c r="L216" s="18"/>
      <c r="M216" s="18"/>
      <c r="N216" s="18"/>
      <c r="O216" s="18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>
      <c r="A217" s="7"/>
      <c r="B217" s="8" t="s">
        <v>302</v>
      </c>
      <c r="C217" s="9">
        <f t="shared" si="1"/>
        <v>12219</v>
      </c>
      <c r="D217" s="28"/>
      <c r="E217" s="29"/>
      <c r="F217" s="18"/>
      <c r="G217" s="18"/>
      <c r="H217" s="18"/>
      <c r="I217" s="25"/>
      <c r="J217" s="18"/>
      <c r="K217" s="18"/>
      <c r="L217" s="18"/>
      <c r="M217" s="18"/>
      <c r="N217" s="18"/>
      <c r="O217" s="18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>
      <c r="A218" s="7"/>
      <c r="B218" s="8" t="s">
        <v>303</v>
      </c>
      <c r="C218" s="9">
        <f t="shared" si="1"/>
        <v>12220</v>
      </c>
      <c r="D218" s="28"/>
      <c r="E218" s="29"/>
      <c r="F218" s="18"/>
      <c r="G218" s="18"/>
      <c r="H218" s="18"/>
      <c r="I218" s="25"/>
      <c r="J218" s="18"/>
      <c r="K218" s="18"/>
      <c r="L218" s="18"/>
      <c r="M218" s="18"/>
      <c r="N218" s="18"/>
      <c r="O218" s="18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>
      <c r="A219" s="7"/>
      <c r="B219" s="8" t="s">
        <v>304</v>
      </c>
      <c r="C219" s="9">
        <f t="shared" si="1"/>
        <v>12221</v>
      </c>
      <c r="D219" s="28"/>
      <c r="E219" s="29"/>
      <c r="F219" s="18"/>
      <c r="G219" s="18"/>
      <c r="H219" s="18"/>
      <c r="I219" s="25"/>
      <c r="J219" s="18"/>
      <c r="K219" s="18"/>
      <c r="L219" s="18"/>
      <c r="M219" s="18"/>
      <c r="N219" s="18"/>
      <c r="O219" s="18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>
      <c r="A220" s="7"/>
      <c r="B220" s="8" t="s">
        <v>305</v>
      </c>
      <c r="C220" s="9">
        <f t="shared" si="1"/>
        <v>12222</v>
      </c>
      <c r="D220" s="28"/>
      <c r="E220" s="29"/>
      <c r="F220" s="18"/>
      <c r="G220" s="18"/>
      <c r="H220" s="18"/>
      <c r="I220" s="25"/>
      <c r="J220" s="18"/>
      <c r="K220" s="18"/>
      <c r="L220" s="18"/>
      <c r="M220" s="18"/>
      <c r="N220" s="18"/>
      <c r="O220" s="18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>
      <c r="A221" s="7"/>
      <c r="B221" s="8" t="s">
        <v>306</v>
      </c>
      <c r="C221" s="9">
        <f t="shared" si="1"/>
        <v>12223</v>
      </c>
      <c r="D221" s="28"/>
      <c r="E221" s="29"/>
      <c r="F221" s="18"/>
      <c r="G221" s="18"/>
      <c r="H221" s="18"/>
      <c r="I221" s="25"/>
      <c r="J221" s="18"/>
      <c r="K221" s="18"/>
      <c r="L221" s="18"/>
      <c r="M221" s="18"/>
      <c r="N221" s="18"/>
      <c r="O221" s="18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>
      <c r="A222" s="7"/>
      <c r="B222" s="8" t="s">
        <v>307</v>
      </c>
      <c r="C222" s="9">
        <f t="shared" si="1"/>
        <v>12224</v>
      </c>
      <c r="D222" s="28"/>
      <c r="E222" s="29"/>
      <c r="F222" s="18"/>
      <c r="G222" s="18"/>
      <c r="H222" s="18"/>
      <c r="I222" s="25"/>
      <c r="J222" s="18"/>
      <c r="K222" s="18"/>
      <c r="L222" s="18"/>
      <c r="M222" s="18"/>
      <c r="N222" s="18"/>
      <c r="O222" s="18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>
      <c r="A223" s="7"/>
      <c r="B223" s="8" t="s">
        <v>308</v>
      </c>
      <c r="C223" s="9">
        <f t="shared" si="1"/>
        <v>12225</v>
      </c>
      <c r="D223" s="28"/>
      <c r="E223" s="29"/>
      <c r="F223" s="18"/>
      <c r="G223" s="18"/>
      <c r="H223" s="18"/>
      <c r="I223" s="25"/>
      <c r="J223" s="18"/>
      <c r="K223" s="18"/>
      <c r="L223" s="18"/>
      <c r="M223" s="18"/>
      <c r="N223" s="18"/>
      <c r="O223" s="18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>
      <c r="A224" s="7"/>
      <c r="B224" s="8" t="s">
        <v>309</v>
      </c>
      <c r="C224" s="9">
        <f t="shared" si="1"/>
        <v>12226</v>
      </c>
      <c r="D224" s="28"/>
      <c r="E224" s="29"/>
      <c r="F224" s="18"/>
      <c r="G224" s="18"/>
      <c r="H224" s="18"/>
      <c r="I224" s="25"/>
      <c r="J224" s="18"/>
      <c r="K224" s="18"/>
      <c r="L224" s="18"/>
      <c r="M224" s="18"/>
      <c r="N224" s="18"/>
      <c r="O224" s="18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>
      <c r="A225" s="7"/>
      <c r="B225" s="8" t="s">
        <v>310</v>
      </c>
      <c r="C225" s="9">
        <f t="shared" si="1"/>
        <v>12227</v>
      </c>
      <c r="D225" s="28"/>
      <c r="E225" s="29"/>
      <c r="F225" s="18"/>
      <c r="G225" s="18"/>
      <c r="H225" s="18"/>
      <c r="I225" s="25"/>
      <c r="J225" s="18"/>
      <c r="K225" s="18"/>
      <c r="L225" s="18"/>
      <c r="M225" s="18"/>
      <c r="N225" s="18"/>
      <c r="O225" s="18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>
      <c r="A226" s="7"/>
      <c r="B226" s="8" t="s">
        <v>311</v>
      </c>
      <c r="C226" s="9">
        <f t="shared" si="1"/>
        <v>12228</v>
      </c>
      <c r="D226" s="28"/>
      <c r="E226" s="29"/>
      <c r="F226" s="18"/>
      <c r="G226" s="18"/>
      <c r="H226" s="18"/>
      <c r="I226" s="25"/>
      <c r="J226" s="18"/>
      <c r="K226" s="18"/>
      <c r="L226" s="18"/>
      <c r="M226" s="18"/>
      <c r="N226" s="18"/>
      <c r="O226" s="18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>
      <c r="A227" s="7"/>
      <c r="B227" s="8" t="s">
        <v>312</v>
      </c>
      <c r="C227" s="9">
        <f t="shared" si="1"/>
        <v>12229</v>
      </c>
      <c r="D227" s="28"/>
      <c r="E227" s="29"/>
      <c r="F227" s="18"/>
      <c r="G227" s="18"/>
      <c r="H227" s="18"/>
      <c r="I227" s="25"/>
      <c r="J227" s="18"/>
      <c r="K227" s="18"/>
      <c r="L227" s="18"/>
      <c r="M227" s="18"/>
      <c r="N227" s="18"/>
      <c r="O227" s="18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>
      <c r="A228" s="7"/>
      <c r="B228" s="8" t="s">
        <v>313</v>
      </c>
      <c r="C228" s="9">
        <f t="shared" si="1"/>
        <v>12230</v>
      </c>
      <c r="D228" s="28"/>
      <c r="E228" s="29"/>
      <c r="F228" s="18"/>
      <c r="G228" s="18"/>
      <c r="H228" s="18"/>
      <c r="I228" s="25"/>
      <c r="J228" s="18"/>
      <c r="K228" s="18"/>
      <c r="L228" s="18"/>
      <c r="M228" s="18"/>
      <c r="N228" s="18"/>
      <c r="O228" s="18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>
      <c r="A229" s="7"/>
      <c r="B229" s="8" t="s">
        <v>314</v>
      </c>
      <c r="C229" s="9">
        <f t="shared" si="1"/>
        <v>12231</v>
      </c>
      <c r="D229" s="28"/>
      <c r="E229" s="29"/>
      <c r="F229" s="18"/>
      <c r="G229" s="18"/>
      <c r="H229" s="18"/>
      <c r="I229" s="25"/>
      <c r="J229" s="18"/>
      <c r="K229" s="18"/>
      <c r="L229" s="18"/>
      <c r="M229" s="18"/>
      <c r="N229" s="18"/>
      <c r="O229" s="18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>
      <c r="A230" s="7"/>
      <c r="B230" s="8" t="s">
        <v>315</v>
      </c>
      <c r="C230" s="9">
        <f t="shared" si="1"/>
        <v>12232</v>
      </c>
      <c r="D230" s="28"/>
      <c r="E230" s="29"/>
      <c r="F230" s="18"/>
      <c r="G230" s="18"/>
      <c r="H230" s="18"/>
      <c r="I230" s="25"/>
      <c r="J230" s="18"/>
      <c r="K230" s="18"/>
      <c r="L230" s="18"/>
      <c r="M230" s="18"/>
      <c r="N230" s="18"/>
      <c r="O230" s="18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>
      <c r="A231" s="7"/>
      <c r="B231" s="8" t="s">
        <v>316</v>
      </c>
      <c r="C231" s="9">
        <f t="shared" si="1"/>
        <v>12233</v>
      </c>
      <c r="D231" s="28"/>
      <c r="E231" s="29"/>
      <c r="F231" s="18"/>
      <c r="G231" s="18"/>
      <c r="H231" s="18"/>
      <c r="I231" s="25"/>
      <c r="J231" s="18"/>
      <c r="K231" s="18"/>
      <c r="L231" s="18"/>
      <c r="M231" s="18"/>
      <c r="N231" s="18"/>
      <c r="O231" s="18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>
      <c r="A232" s="7"/>
      <c r="B232" s="8" t="s">
        <v>317</v>
      </c>
      <c r="C232" s="9">
        <f t="shared" si="1"/>
        <v>12234</v>
      </c>
      <c r="D232" s="28"/>
      <c r="E232" s="29"/>
      <c r="F232" s="18"/>
      <c r="G232" s="18"/>
      <c r="H232" s="18"/>
      <c r="I232" s="25"/>
      <c r="J232" s="18"/>
      <c r="K232" s="18"/>
      <c r="L232" s="18"/>
      <c r="M232" s="18"/>
      <c r="N232" s="18"/>
      <c r="O232" s="18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>
      <c r="A233" s="7"/>
      <c r="B233" s="8" t="s">
        <v>318</v>
      </c>
      <c r="C233" s="9">
        <f t="shared" si="1"/>
        <v>12235</v>
      </c>
      <c r="D233" s="28"/>
      <c r="E233" s="29"/>
      <c r="F233" s="18"/>
      <c r="G233" s="18"/>
      <c r="H233" s="18"/>
      <c r="I233" s="25"/>
      <c r="J233" s="18"/>
      <c r="K233" s="18"/>
      <c r="L233" s="18"/>
      <c r="M233" s="18"/>
      <c r="N233" s="18"/>
      <c r="O233" s="18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>
      <c r="A234" s="7"/>
      <c r="B234" s="8" t="s">
        <v>319</v>
      </c>
      <c r="C234" s="9">
        <f t="shared" si="1"/>
        <v>12236</v>
      </c>
      <c r="D234" s="28"/>
      <c r="E234" s="29"/>
      <c r="F234" s="18"/>
      <c r="G234" s="18"/>
      <c r="H234" s="18"/>
      <c r="I234" s="25"/>
      <c r="J234" s="18"/>
      <c r="K234" s="18"/>
      <c r="L234" s="18"/>
      <c r="M234" s="18"/>
      <c r="N234" s="18"/>
      <c r="O234" s="18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>
      <c r="A235" s="7"/>
      <c r="B235" s="8" t="s">
        <v>320</v>
      </c>
      <c r="C235" s="9">
        <f t="shared" si="1"/>
        <v>12237</v>
      </c>
      <c r="D235" s="28"/>
      <c r="E235" s="29"/>
      <c r="F235" s="18"/>
      <c r="G235" s="18"/>
      <c r="H235" s="18"/>
      <c r="I235" s="25"/>
      <c r="J235" s="18"/>
      <c r="K235" s="18"/>
      <c r="L235" s="18"/>
      <c r="M235" s="18"/>
      <c r="N235" s="18"/>
      <c r="O235" s="18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>
      <c r="A236" s="7"/>
      <c r="B236" s="8" t="s">
        <v>321</v>
      </c>
      <c r="C236" s="9">
        <f t="shared" si="1"/>
        <v>12238</v>
      </c>
      <c r="D236" s="28"/>
      <c r="E236" s="29"/>
      <c r="F236" s="18"/>
      <c r="G236" s="18"/>
      <c r="H236" s="18"/>
      <c r="I236" s="25"/>
      <c r="J236" s="18"/>
      <c r="K236" s="18"/>
      <c r="L236" s="18"/>
      <c r="M236" s="18"/>
      <c r="N236" s="18"/>
      <c r="O236" s="18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>
      <c r="A237" s="7"/>
      <c r="B237" s="8" t="s">
        <v>322</v>
      </c>
      <c r="C237" s="9">
        <f t="shared" si="1"/>
        <v>12239</v>
      </c>
      <c r="D237" s="28"/>
      <c r="E237" s="29"/>
      <c r="F237" s="18"/>
      <c r="G237" s="18"/>
      <c r="H237" s="18"/>
      <c r="I237" s="25"/>
      <c r="J237" s="18"/>
      <c r="K237" s="18"/>
      <c r="L237" s="18"/>
      <c r="M237" s="18"/>
      <c r="N237" s="18"/>
      <c r="O237" s="18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>
      <c r="A238" s="7"/>
      <c r="B238" s="8" t="s">
        <v>323</v>
      </c>
      <c r="C238" s="9">
        <f t="shared" si="1"/>
        <v>12240</v>
      </c>
      <c r="D238" s="28"/>
      <c r="E238" s="29"/>
      <c r="F238" s="18"/>
      <c r="G238" s="18"/>
      <c r="H238" s="18"/>
      <c r="I238" s="25"/>
      <c r="J238" s="18"/>
      <c r="K238" s="18"/>
      <c r="L238" s="18"/>
      <c r="M238" s="18"/>
      <c r="N238" s="18"/>
      <c r="O238" s="18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>
      <c r="A239" s="7"/>
      <c r="B239" s="8" t="s">
        <v>324</v>
      </c>
      <c r="C239" s="9">
        <f t="shared" si="1"/>
        <v>12241</v>
      </c>
      <c r="D239" s="28"/>
      <c r="E239" s="29"/>
      <c r="F239" s="18"/>
      <c r="G239" s="18"/>
      <c r="H239" s="18"/>
      <c r="I239" s="25"/>
      <c r="J239" s="18"/>
      <c r="K239" s="18"/>
      <c r="L239" s="18"/>
      <c r="M239" s="18"/>
      <c r="N239" s="18"/>
      <c r="O239" s="18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>
      <c r="A240" s="7"/>
      <c r="B240" s="8" t="s">
        <v>325</v>
      </c>
      <c r="C240" s="9">
        <f t="shared" si="1"/>
        <v>12242</v>
      </c>
      <c r="D240" s="28"/>
      <c r="E240" s="29"/>
      <c r="F240" s="18"/>
      <c r="G240" s="18"/>
      <c r="H240" s="18"/>
      <c r="I240" s="25"/>
      <c r="J240" s="18"/>
      <c r="K240" s="18"/>
      <c r="L240" s="18"/>
      <c r="M240" s="18"/>
      <c r="N240" s="18"/>
      <c r="O240" s="18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>
      <c r="A241" s="7"/>
      <c r="B241" s="8" t="s">
        <v>326</v>
      </c>
      <c r="C241" s="9">
        <f t="shared" si="1"/>
        <v>12243</v>
      </c>
      <c r="D241" s="28"/>
      <c r="E241" s="29"/>
      <c r="F241" s="18"/>
      <c r="G241" s="18"/>
      <c r="H241" s="18"/>
      <c r="I241" s="25"/>
      <c r="J241" s="18"/>
      <c r="K241" s="18"/>
      <c r="L241" s="18"/>
      <c r="M241" s="18"/>
      <c r="N241" s="18"/>
      <c r="O241" s="18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>
      <c r="A242" s="7"/>
      <c r="B242" s="8" t="s">
        <v>327</v>
      </c>
      <c r="C242" s="9">
        <f t="shared" si="1"/>
        <v>12244</v>
      </c>
      <c r="D242" s="28"/>
      <c r="E242" s="29"/>
      <c r="F242" s="18"/>
      <c r="G242" s="18"/>
      <c r="H242" s="18"/>
      <c r="I242" s="25"/>
      <c r="J242" s="18"/>
      <c r="K242" s="18"/>
      <c r="L242" s="18"/>
      <c r="M242" s="18"/>
      <c r="N242" s="18"/>
      <c r="O242" s="18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>
      <c r="A243" s="7"/>
      <c r="B243" s="8" t="s">
        <v>328</v>
      </c>
      <c r="C243" s="9">
        <f t="shared" si="1"/>
        <v>12245</v>
      </c>
      <c r="D243" s="28"/>
      <c r="E243" s="29"/>
      <c r="F243" s="18"/>
      <c r="G243" s="18"/>
      <c r="H243" s="18"/>
      <c r="I243" s="25"/>
      <c r="J243" s="18"/>
      <c r="K243" s="18"/>
      <c r="L243" s="18"/>
      <c r="M243" s="18"/>
      <c r="N243" s="18"/>
      <c r="O243" s="18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>
      <c r="A244" s="7"/>
      <c r="B244" s="8" t="s">
        <v>329</v>
      </c>
      <c r="C244" s="9">
        <f t="shared" si="1"/>
        <v>12246</v>
      </c>
      <c r="D244" s="28"/>
      <c r="E244" s="29"/>
      <c r="F244" s="18"/>
      <c r="G244" s="18"/>
      <c r="H244" s="18"/>
      <c r="I244" s="25"/>
      <c r="J244" s="18"/>
      <c r="K244" s="18"/>
      <c r="L244" s="18"/>
      <c r="M244" s="18"/>
      <c r="N244" s="18"/>
      <c r="O244" s="18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>
      <c r="A245" s="7"/>
      <c r="B245" s="8" t="s">
        <v>330</v>
      </c>
      <c r="C245" s="9">
        <f t="shared" si="1"/>
        <v>12247</v>
      </c>
      <c r="D245" s="28"/>
      <c r="E245" s="29"/>
      <c r="F245" s="18"/>
      <c r="G245" s="18"/>
      <c r="H245" s="18"/>
      <c r="I245" s="25"/>
      <c r="J245" s="18"/>
      <c r="K245" s="18"/>
      <c r="L245" s="18"/>
      <c r="M245" s="18"/>
      <c r="N245" s="18"/>
      <c r="O245" s="18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>
      <c r="A246" s="7"/>
      <c r="B246" s="8" t="s">
        <v>331</v>
      </c>
      <c r="C246" s="9">
        <f t="shared" si="1"/>
        <v>12248</v>
      </c>
      <c r="D246" s="28"/>
      <c r="E246" s="29"/>
      <c r="F246" s="18"/>
      <c r="G246" s="18"/>
      <c r="H246" s="18"/>
      <c r="I246" s="25"/>
      <c r="J246" s="18"/>
      <c r="K246" s="18"/>
      <c r="L246" s="18"/>
      <c r="M246" s="18"/>
      <c r="N246" s="18"/>
      <c r="O246" s="18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>
      <c r="A247" s="7"/>
      <c r="B247" s="8" t="s">
        <v>332</v>
      </c>
      <c r="C247" s="9">
        <f t="shared" si="1"/>
        <v>12249</v>
      </c>
      <c r="D247" s="28"/>
      <c r="E247" s="29"/>
      <c r="F247" s="18"/>
      <c r="G247" s="18"/>
      <c r="H247" s="18"/>
      <c r="I247" s="25"/>
      <c r="J247" s="18"/>
      <c r="K247" s="18"/>
      <c r="L247" s="18"/>
      <c r="M247" s="18"/>
      <c r="N247" s="18"/>
      <c r="O247" s="18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>
      <c r="A248" s="7"/>
      <c r="B248" s="8" t="s">
        <v>333</v>
      </c>
      <c r="C248" s="9">
        <f t="shared" si="1"/>
        <v>12250</v>
      </c>
      <c r="D248" s="28"/>
      <c r="E248" s="29"/>
      <c r="F248" s="18"/>
      <c r="G248" s="18"/>
      <c r="H248" s="18"/>
      <c r="I248" s="25"/>
      <c r="J248" s="18"/>
      <c r="K248" s="18"/>
      <c r="L248" s="18"/>
      <c r="M248" s="18"/>
      <c r="N248" s="18"/>
      <c r="O248" s="18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>
      <c r="A249" s="1"/>
      <c r="B249" s="1"/>
      <c r="C249" s="18"/>
      <c r="D249" s="47"/>
      <c r="E249" s="18"/>
      <c r="F249" s="18"/>
      <c r="G249" s="18"/>
      <c r="H249" s="18"/>
      <c r="I249" s="25"/>
      <c r="J249" s="18"/>
      <c r="K249" s="18"/>
      <c r="L249" s="18"/>
      <c r="M249" s="18"/>
      <c r="N249" s="18"/>
      <c r="O249" s="18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>
      <c r="A250" s="1"/>
      <c r="B250" s="1"/>
      <c r="C250" s="18"/>
      <c r="D250" s="47"/>
      <c r="E250" s="18"/>
      <c r="F250" s="18"/>
      <c r="G250" s="18"/>
      <c r="H250" s="18"/>
      <c r="I250" s="25"/>
      <c r="J250" s="18"/>
      <c r="K250" s="18"/>
      <c r="L250" s="18"/>
      <c r="M250" s="18"/>
      <c r="N250" s="18"/>
      <c r="O250" s="18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>
      <c r="A251" s="1"/>
      <c r="B251" s="1"/>
      <c r="C251" s="18"/>
      <c r="D251" s="47"/>
      <c r="E251" s="18"/>
      <c r="F251" s="18"/>
      <c r="G251" s="18"/>
      <c r="H251" s="18"/>
      <c r="I251" s="25"/>
      <c r="J251" s="18"/>
      <c r="K251" s="18"/>
      <c r="L251" s="18"/>
      <c r="M251" s="18"/>
      <c r="N251" s="18"/>
      <c r="O251" s="18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>
      <c r="A252" s="1"/>
      <c r="B252" s="1"/>
      <c r="C252" s="18"/>
      <c r="D252" s="47"/>
      <c r="E252" s="18"/>
      <c r="F252" s="18"/>
      <c r="G252" s="18"/>
      <c r="H252" s="18"/>
      <c r="I252" s="25"/>
      <c r="J252" s="18"/>
      <c r="K252" s="18"/>
      <c r="L252" s="18"/>
      <c r="M252" s="18"/>
      <c r="N252" s="18"/>
      <c r="O252" s="18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>
      <c r="A253" s="1"/>
      <c r="B253" s="1"/>
      <c r="C253" s="18"/>
      <c r="D253" s="47"/>
      <c r="E253" s="18"/>
      <c r="F253" s="18"/>
      <c r="G253" s="18"/>
      <c r="H253" s="18"/>
      <c r="I253" s="25"/>
      <c r="J253" s="18"/>
      <c r="K253" s="18"/>
      <c r="L253" s="18"/>
      <c r="M253" s="18"/>
      <c r="N253" s="18"/>
      <c r="O253" s="18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>
      <c r="A254" s="1"/>
      <c r="B254" s="1"/>
      <c r="C254" s="18"/>
      <c r="D254" s="47"/>
      <c r="E254" s="18"/>
      <c r="F254" s="18"/>
      <c r="G254" s="18"/>
      <c r="H254" s="18"/>
      <c r="I254" s="25"/>
      <c r="J254" s="18"/>
      <c r="K254" s="18"/>
      <c r="L254" s="18"/>
      <c r="M254" s="18"/>
      <c r="N254" s="18"/>
      <c r="O254" s="18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>
      <c r="A255" s="1"/>
      <c r="B255" s="1"/>
      <c r="C255" s="18"/>
      <c r="D255" s="47"/>
      <c r="E255" s="18"/>
      <c r="F255" s="18"/>
      <c r="G255" s="18"/>
      <c r="H255" s="18"/>
      <c r="I255" s="25"/>
      <c r="J255" s="18"/>
      <c r="K255" s="18"/>
      <c r="L255" s="18"/>
      <c r="M255" s="18"/>
      <c r="N255" s="18"/>
      <c r="O255" s="18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>
      <c r="A256" s="1"/>
      <c r="B256" s="1"/>
      <c r="C256" s="18"/>
      <c r="D256" s="47"/>
      <c r="E256" s="18"/>
      <c r="F256" s="18"/>
      <c r="G256" s="18"/>
      <c r="H256" s="18"/>
      <c r="I256" s="25"/>
      <c r="J256" s="18"/>
      <c r="K256" s="18"/>
      <c r="L256" s="18"/>
      <c r="M256" s="18"/>
      <c r="N256" s="18"/>
      <c r="O256" s="18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>
      <c r="A257" s="1"/>
      <c r="B257" s="1"/>
      <c r="C257" s="18"/>
      <c r="D257" s="47"/>
      <c r="E257" s="18"/>
      <c r="F257" s="18"/>
      <c r="G257" s="18"/>
      <c r="H257" s="18"/>
      <c r="I257" s="25"/>
      <c r="J257" s="18"/>
      <c r="K257" s="18"/>
      <c r="L257" s="18"/>
      <c r="M257" s="18"/>
      <c r="N257" s="18"/>
      <c r="O257" s="18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>
      <c r="A258" s="1"/>
      <c r="B258" s="1"/>
      <c r="C258" s="18"/>
      <c r="D258" s="47"/>
      <c r="E258" s="18"/>
      <c r="F258" s="18"/>
      <c r="G258" s="18"/>
      <c r="H258" s="18"/>
      <c r="I258" s="25"/>
      <c r="J258" s="18"/>
      <c r="K258" s="18"/>
      <c r="L258" s="18"/>
      <c r="M258" s="18"/>
      <c r="N258" s="18"/>
      <c r="O258" s="18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>
      <c r="A259" s="1"/>
      <c r="B259" s="1"/>
      <c r="C259" s="18"/>
      <c r="D259" s="47"/>
      <c r="E259" s="18"/>
      <c r="F259" s="18"/>
      <c r="G259" s="18"/>
      <c r="H259" s="18"/>
      <c r="I259" s="25"/>
      <c r="J259" s="18"/>
      <c r="K259" s="18"/>
      <c r="L259" s="18"/>
      <c r="M259" s="18"/>
      <c r="N259" s="18"/>
      <c r="O259" s="18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>
      <c r="A260" s="1"/>
      <c r="B260" s="1"/>
      <c r="C260" s="18"/>
      <c r="D260" s="47"/>
      <c r="E260" s="18"/>
      <c r="F260" s="18"/>
      <c r="G260" s="18"/>
      <c r="H260" s="18"/>
      <c r="I260" s="25"/>
      <c r="J260" s="18"/>
      <c r="K260" s="18"/>
      <c r="L260" s="18"/>
      <c r="M260" s="18"/>
      <c r="N260" s="18"/>
      <c r="O260" s="18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>
      <c r="A261" s="1"/>
      <c r="B261" s="1"/>
      <c r="C261" s="18"/>
      <c r="D261" s="47"/>
      <c r="E261" s="18"/>
      <c r="F261" s="18"/>
      <c r="G261" s="18"/>
      <c r="H261" s="18"/>
      <c r="I261" s="25"/>
      <c r="J261" s="18"/>
      <c r="K261" s="18"/>
      <c r="L261" s="18"/>
      <c r="M261" s="18"/>
      <c r="N261" s="18"/>
      <c r="O261" s="18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>
      <c r="A262" s="1"/>
      <c r="B262" s="1"/>
      <c r="C262" s="18"/>
      <c r="D262" s="47"/>
      <c r="E262" s="18"/>
      <c r="F262" s="18"/>
      <c r="G262" s="18"/>
      <c r="H262" s="18"/>
      <c r="I262" s="25"/>
      <c r="J262" s="18"/>
      <c r="K262" s="18"/>
      <c r="L262" s="18"/>
      <c r="M262" s="18"/>
      <c r="N262" s="18"/>
      <c r="O262" s="18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>
      <c r="A263" s="1"/>
      <c r="B263" s="1"/>
      <c r="C263" s="18"/>
      <c r="D263" s="47"/>
      <c r="E263" s="18"/>
      <c r="F263" s="18"/>
      <c r="G263" s="18"/>
      <c r="H263" s="18"/>
      <c r="I263" s="25"/>
      <c r="J263" s="18"/>
      <c r="K263" s="18"/>
      <c r="L263" s="18"/>
      <c r="M263" s="18"/>
      <c r="N263" s="18"/>
      <c r="O263" s="18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>
      <c r="A264" s="1"/>
      <c r="B264" s="1"/>
      <c r="C264" s="18"/>
      <c r="D264" s="47"/>
      <c r="E264" s="18"/>
      <c r="F264" s="18"/>
      <c r="G264" s="18"/>
      <c r="H264" s="18"/>
      <c r="I264" s="25"/>
      <c r="J264" s="18"/>
      <c r="K264" s="18"/>
      <c r="L264" s="18"/>
      <c r="M264" s="18"/>
      <c r="N264" s="18"/>
      <c r="O264" s="18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>
      <c r="A265" s="1"/>
      <c r="B265" s="1"/>
      <c r="C265" s="18"/>
      <c r="D265" s="47"/>
      <c r="E265" s="18"/>
      <c r="F265" s="18"/>
      <c r="G265" s="18"/>
      <c r="H265" s="18"/>
      <c r="I265" s="25"/>
      <c r="J265" s="18"/>
      <c r="K265" s="18"/>
      <c r="L265" s="18"/>
      <c r="M265" s="18"/>
      <c r="N265" s="18"/>
      <c r="O265" s="18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>
      <c r="A266" s="1"/>
      <c r="B266" s="1"/>
      <c r="C266" s="18"/>
      <c r="D266" s="47"/>
      <c r="E266" s="18"/>
      <c r="F266" s="18"/>
      <c r="G266" s="18"/>
      <c r="H266" s="18"/>
      <c r="I266" s="25"/>
      <c r="J266" s="18"/>
      <c r="K266" s="18"/>
      <c r="L266" s="18"/>
      <c r="M266" s="18"/>
      <c r="N266" s="18"/>
      <c r="O266" s="18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>
      <c r="A267" s="1"/>
      <c r="B267" s="1"/>
      <c r="C267" s="18"/>
      <c r="D267" s="47"/>
      <c r="E267" s="18"/>
      <c r="F267" s="18"/>
      <c r="G267" s="18"/>
      <c r="H267" s="18"/>
      <c r="I267" s="25"/>
      <c r="J267" s="18"/>
      <c r="K267" s="18"/>
      <c r="L267" s="18"/>
      <c r="M267" s="18"/>
      <c r="N267" s="18"/>
      <c r="O267" s="18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>
      <c r="A268" s="1"/>
      <c r="B268" s="1"/>
      <c r="C268" s="18"/>
      <c r="D268" s="47"/>
      <c r="E268" s="18"/>
      <c r="F268" s="18"/>
      <c r="G268" s="18"/>
      <c r="H268" s="18"/>
      <c r="I268" s="25"/>
      <c r="J268" s="18"/>
      <c r="K268" s="18"/>
      <c r="L268" s="18"/>
      <c r="M268" s="18"/>
      <c r="N268" s="18"/>
      <c r="O268" s="18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>
      <c r="A269" s="1"/>
      <c r="B269" s="1"/>
      <c r="C269" s="18"/>
      <c r="D269" s="47"/>
      <c r="E269" s="18"/>
      <c r="F269" s="18"/>
      <c r="G269" s="18"/>
      <c r="H269" s="18"/>
      <c r="I269" s="25"/>
      <c r="J269" s="18"/>
      <c r="K269" s="18"/>
      <c r="L269" s="18"/>
      <c r="M269" s="18"/>
      <c r="N269" s="18"/>
      <c r="O269" s="18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>
      <c r="A270" s="1"/>
      <c r="B270" s="1"/>
      <c r="C270" s="18"/>
      <c r="D270" s="47"/>
      <c r="E270" s="18"/>
      <c r="F270" s="18"/>
      <c r="G270" s="18"/>
      <c r="H270" s="18"/>
      <c r="I270" s="25"/>
      <c r="J270" s="18"/>
      <c r="K270" s="18"/>
      <c r="L270" s="18"/>
      <c r="M270" s="18"/>
      <c r="N270" s="18"/>
      <c r="O270" s="18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>
      <c r="A271" s="1"/>
      <c r="B271" s="1"/>
      <c r="C271" s="18"/>
      <c r="D271" s="47"/>
      <c r="E271" s="18"/>
      <c r="F271" s="18"/>
      <c r="G271" s="18"/>
      <c r="H271" s="18"/>
      <c r="I271" s="25"/>
      <c r="J271" s="18"/>
      <c r="K271" s="18"/>
      <c r="L271" s="18"/>
      <c r="M271" s="18"/>
      <c r="N271" s="18"/>
      <c r="O271" s="18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>
      <c r="A272" s="1"/>
      <c r="B272" s="1"/>
      <c r="C272" s="18"/>
      <c r="D272" s="47"/>
      <c r="E272" s="18"/>
      <c r="F272" s="18"/>
      <c r="G272" s="18"/>
      <c r="H272" s="18"/>
      <c r="I272" s="25"/>
      <c r="J272" s="18"/>
      <c r="K272" s="18"/>
      <c r="L272" s="18"/>
      <c r="M272" s="18"/>
      <c r="N272" s="18"/>
      <c r="O272" s="18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>
      <c r="A273" s="1"/>
      <c r="B273" s="1"/>
      <c r="C273" s="18"/>
      <c r="D273" s="47"/>
      <c r="E273" s="18"/>
      <c r="F273" s="18"/>
      <c r="G273" s="18"/>
      <c r="H273" s="18"/>
      <c r="I273" s="25"/>
      <c r="J273" s="18"/>
      <c r="K273" s="18"/>
      <c r="L273" s="18"/>
      <c r="M273" s="18"/>
      <c r="N273" s="18"/>
      <c r="O273" s="18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>
      <c r="A274" s="1"/>
      <c r="B274" s="1"/>
      <c r="C274" s="18"/>
      <c r="D274" s="47"/>
      <c r="E274" s="18"/>
      <c r="F274" s="18"/>
      <c r="G274" s="18"/>
      <c r="H274" s="18"/>
      <c r="I274" s="25"/>
      <c r="J274" s="18"/>
      <c r="K274" s="18"/>
      <c r="L274" s="18"/>
      <c r="M274" s="18"/>
      <c r="N274" s="18"/>
      <c r="O274" s="18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>
      <c r="A275" s="1"/>
      <c r="B275" s="1"/>
      <c r="C275" s="18"/>
      <c r="D275" s="47"/>
      <c r="E275" s="18"/>
      <c r="F275" s="18"/>
      <c r="G275" s="18"/>
      <c r="H275" s="18"/>
      <c r="I275" s="25"/>
      <c r="J275" s="18"/>
      <c r="K275" s="18"/>
      <c r="L275" s="18"/>
      <c r="M275" s="18"/>
      <c r="N275" s="18"/>
      <c r="O275" s="18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>
      <c r="A276" s="1"/>
      <c r="B276" s="1"/>
      <c r="C276" s="18"/>
      <c r="D276" s="47"/>
      <c r="E276" s="18"/>
      <c r="F276" s="18"/>
      <c r="G276" s="18"/>
      <c r="H276" s="18"/>
      <c r="I276" s="25"/>
      <c r="J276" s="18"/>
      <c r="K276" s="18"/>
      <c r="L276" s="18"/>
      <c r="M276" s="18"/>
      <c r="N276" s="18"/>
      <c r="O276" s="18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>
      <c r="A277" s="1"/>
      <c r="B277" s="1"/>
      <c r="C277" s="18"/>
      <c r="D277" s="47"/>
      <c r="E277" s="18"/>
      <c r="F277" s="18"/>
      <c r="G277" s="18"/>
      <c r="H277" s="18"/>
      <c r="I277" s="25"/>
      <c r="J277" s="18"/>
      <c r="K277" s="18"/>
      <c r="L277" s="18"/>
      <c r="M277" s="18"/>
      <c r="N277" s="18"/>
      <c r="O277" s="18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>
      <c r="A278" s="1"/>
      <c r="B278" s="1"/>
      <c r="C278" s="18"/>
      <c r="D278" s="47"/>
      <c r="E278" s="18"/>
      <c r="F278" s="18"/>
      <c r="G278" s="18"/>
      <c r="H278" s="18"/>
      <c r="I278" s="25"/>
      <c r="J278" s="18"/>
      <c r="K278" s="18"/>
      <c r="L278" s="18"/>
      <c r="M278" s="18"/>
      <c r="N278" s="18"/>
      <c r="O278" s="18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>
      <c r="A279" s="1"/>
      <c r="B279" s="1"/>
      <c r="C279" s="18"/>
      <c r="D279" s="47"/>
      <c r="E279" s="18"/>
      <c r="F279" s="18"/>
      <c r="G279" s="18"/>
      <c r="H279" s="18"/>
      <c r="I279" s="25"/>
      <c r="J279" s="18"/>
      <c r="K279" s="18"/>
      <c r="L279" s="18"/>
      <c r="M279" s="18"/>
      <c r="N279" s="18"/>
      <c r="O279" s="18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>
      <c r="A280" s="1"/>
      <c r="B280" s="1"/>
      <c r="C280" s="18"/>
      <c r="D280" s="47"/>
      <c r="E280" s="18"/>
      <c r="F280" s="18"/>
      <c r="G280" s="18"/>
      <c r="H280" s="18"/>
      <c r="I280" s="25"/>
      <c r="J280" s="18"/>
      <c r="K280" s="18"/>
      <c r="L280" s="18"/>
      <c r="M280" s="18"/>
      <c r="N280" s="18"/>
      <c r="O280" s="18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>
      <c r="A281" s="1"/>
      <c r="B281" s="1"/>
      <c r="C281" s="18"/>
      <c r="D281" s="47"/>
      <c r="E281" s="18"/>
      <c r="F281" s="18"/>
      <c r="G281" s="18"/>
      <c r="H281" s="18"/>
      <c r="I281" s="25"/>
      <c r="J281" s="18"/>
      <c r="K281" s="18"/>
      <c r="L281" s="18"/>
      <c r="M281" s="18"/>
      <c r="N281" s="18"/>
      <c r="O281" s="18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>
      <c r="A282" s="1"/>
      <c r="B282" s="1"/>
      <c r="C282" s="18"/>
      <c r="D282" s="47"/>
      <c r="E282" s="18"/>
      <c r="F282" s="18"/>
      <c r="G282" s="18"/>
      <c r="H282" s="18"/>
      <c r="I282" s="25"/>
      <c r="J282" s="18"/>
      <c r="K282" s="18"/>
      <c r="L282" s="18"/>
      <c r="M282" s="18"/>
      <c r="N282" s="18"/>
      <c r="O282" s="18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>
      <c r="A283" s="1"/>
      <c r="B283" s="1"/>
      <c r="C283" s="18"/>
      <c r="D283" s="47"/>
      <c r="E283" s="18"/>
      <c r="F283" s="18"/>
      <c r="G283" s="18"/>
      <c r="H283" s="18"/>
      <c r="I283" s="25"/>
      <c r="J283" s="18"/>
      <c r="K283" s="18"/>
      <c r="L283" s="18"/>
      <c r="M283" s="18"/>
      <c r="N283" s="18"/>
      <c r="O283" s="18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>
      <c r="A284" s="1"/>
      <c r="B284" s="1"/>
      <c r="C284" s="18"/>
      <c r="D284" s="47"/>
      <c r="E284" s="18"/>
      <c r="F284" s="18"/>
      <c r="G284" s="18"/>
      <c r="H284" s="18"/>
      <c r="I284" s="25"/>
      <c r="J284" s="18"/>
      <c r="K284" s="18"/>
      <c r="L284" s="18"/>
      <c r="M284" s="18"/>
      <c r="N284" s="18"/>
      <c r="O284" s="18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>
      <c r="A285" s="1"/>
      <c r="B285" s="1"/>
      <c r="C285" s="18"/>
      <c r="D285" s="47"/>
      <c r="E285" s="18"/>
      <c r="F285" s="18"/>
      <c r="G285" s="18"/>
      <c r="H285" s="18"/>
      <c r="I285" s="25"/>
      <c r="J285" s="18"/>
      <c r="K285" s="18"/>
      <c r="L285" s="18"/>
      <c r="M285" s="18"/>
      <c r="N285" s="18"/>
      <c r="O285" s="18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>
      <c r="A286" s="1"/>
      <c r="B286" s="1"/>
      <c r="C286" s="18"/>
      <c r="D286" s="47"/>
      <c r="E286" s="18"/>
      <c r="F286" s="18"/>
      <c r="G286" s="18"/>
      <c r="H286" s="18"/>
      <c r="I286" s="25"/>
      <c r="J286" s="18"/>
      <c r="K286" s="18"/>
      <c r="L286" s="18"/>
      <c r="M286" s="18"/>
      <c r="N286" s="18"/>
      <c r="O286" s="18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>
      <c r="A287" s="1"/>
      <c r="B287" s="1"/>
      <c r="C287" s="18"/>
      <c r="D287" s="47"/>
      <c r="E287" s="18"/>
      <c r="F287" s="18"/>
      <c r="G287" s="18"/>
      <c r="H287" s="18"/>
      <c r="I287" s="25"/>
      <c r="J287" s="18"/>
      <c r="K287" s="18"/>
      <c r="L287" s="18"/>
      <c r="M287" s="18"/>
      <c r="N287" s="18"/>
      <c r="O287" s="18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>
      <c r="A288" s="1"/>
      <c r="B288" s="1"/>
      <c r="C288" s="18"/>
      <c r="D288" s="47"/>
      <c r="E288" s="18"/>
      <c r="F288" s="18"/>
      <c r="G288" s="18"/>
      <c r="H288" s="18"/>
      <c r="I288" s="25"/>
      <c r="J288" s="18"/>
      <c r="K288" s="18"/>
      <c r="L288" s="18"/>
      <c r="M288" s="18"/>
      <c r="N288" s="18"/>
      <c r="O288" s="18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>
      <c r="A289" s="1"/>
      <c r="B289" s="1"/>
      <c r="C289" s="18"/>
      <c r="D289" s="47"/>
      <c r="E289" s="18"/>
      <c r="F289" s="18"/>
      <c r="G289" s="18"/>
      <c r="H289" s="18"/>
      <c r="I289" s="25"/>
      <c r="J289" s="18"/>
      <c r="K289" s="18"/>
      <c r="L289" s="18"/>
      <c r="M289" s="18"/>
      <c r="N289" s="18"/>
      <c r="O289" s="18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>
      <c r="A290" s="1"/>
      <c r="B290" s="1"/>
      <c r="C290" s="18"/>
      <c r="D290" s="47"/>
      <c r="E290" s="18"/>
      <c r="F290" s="18"/>
      <c r="G290" s="18"/>
      <c r="H290" s="18"/>
      <c r="I290" s="25"/>
      <c r="J290" s="18"/>
      <c r="K290" s="18"/>
      <c r="L290" s="18"/>
      <c r="M290" s="18"/>
      <c r="N290" s="18"/>
      <c r="O290" s="18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>
      <c r="A291" s="1"/>
      <c r="B291" s="1"/>
      <c r="C291" s="18"/>
      <c r="D291" s="47"/>
      <c r="E291" s="18"/>
      <c r="F291" s="18"/>
      <c r="G291" s="18"/>
      <c r="H291" s="18"/>
      <c r="I291" s="25"/>
      <c r="J291" s="18"/>
      <c r="K291" s="18"/>
      <c r="L291" s="18"/>
      <c r="M291" s="18"/>
      <c r="N291" s="18"/>
      <c r="O291" s="18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>
      <c r="A292" s="1"/>
      <c r="B292" s="1"/>
      <c r="C292" s="18"/>
      <c r="D292" s="47"/>
      <c r="E292" s="18"/>
      <c r="F292" s="18"/>
      <c r="G292" s="18"/>
      <c r="H292" s="18"/>
      <c r="I292" s="25"/>
      <c r="J292" s="18"/>
      <c r="K292" s="18"/>
      <c r="L292" s="18"/>
      <c r="M292" s="18"/>
      <c r="N292" s="18"/>
      <c r="O292" s="18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>
      <c r="A293" s="1"/>
      <c r="B293" s="1"/>
      <c r="C293" s="18"/>
      <c r="D293" s="47"/>
      <c r="E293" s="18"/>
      <c r="F293" s="18"/>
      <c r="G293" s="18"/>
      <c r="H293" s="18"/>
      <c r="I293" s="25"/>
      <c r="J293" s="18"/>
      <c r="K293" s="18"/>
      <c r="L293" s="18"/>
      <c r="M293" s="18"/>
      <c r="N293" s="18"/>
      <c r="O293" s="18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>
      <c r="A294" s="1"/>
      <c r="B294" s="1"/>
      <c r="C294" s="18"/>
      <c r="D294" s="47"/>
      <c r="E294" s="18"/>
      <c r="F294" s="18"/>
      <c r="G294" s="18"/>
      <c r="H294" s="18"/>
      <c r="I294" s="25"/>
      <c r="J294" s="18"/>
      <c r="K294" s="18"/>
      <c r="L294" s="18"/>
      <c r="M294" s="18"/>
      <c r="N294" s="18"/>
      <c r="O294" s="18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>
      <c r="A295" s="1"/>
      <c r="B295" s="1"/>
      <c r="C295" s="18"/>
      <c r="D295" s="47"/>
      <c r="E295" s="18"/>
      <c r="F295" s="18"/>
      <c r="G295" s="18"/>
      <c r="H295" s="18"/>
      <c r="I295" s="25"/>
      <c r="J295" s="18"/>
      <c r="K295" s="18"/>
      <c r="L295" s="18"/>
      <c r="M295" s="18"/>
      <c r="N295" s="18"/>
      <c r="O295" s="18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>
      <c r="A296" s="1"/>
      <c r="B296" s="1"/>
      <c r="C296" s="18"/>
      <c r="D296" s="47"/>
      <c r="E296" s="18"/>
      <c r="F296" s="18"/>
      <c r="G296" s="18"/>
      <c r="H296" s="18"/>
      <c r="I296" s="25"/>
      <c r="J296" s="18"/>
      <c r="K296" s="18"/>
      <c r="L296" s="18"/>
      <c r="M296" s="18"/>
      <c r="N296" s="18"/>
      <c r="O296" s="18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>
      <c r="A297" s="1"/>
      <c r="B297" s="1"/>
      <c r="C297" s="18"/>
      <c r="D297" s="47"/>
      <c r="E297" s="18"/>
      <c r="F297" s="18"/>
      <c r="G297" s="18"/>
      <c r="H297" s="18"/>
      <c r="I297" s="25"/>
      <c r="J297" s="18"/>
      <c r="K297" s="18"/>
      <c r="L297" s="18"/>
      <c r="M297" s="18"/>
      <c r="N297" s="18"/>
      <c r="O297" s="18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>
      <c r="A298" s="1"/>
      <c r="B298" s="1"/>
      <c r="C298" s="18"/>
      <c r="D298" s="47"/>
      <c r="E298" s="18"/>
      <c r="F298" s="18"/>
      <c r="G298" s="18"/>
      <c r="H298" s="18"/>
      <c r="I298" s="25"/>
      <c r="J298" s="18"/>
      <c r="K298" s="18"/>
      <c r="L298" s="18"/>
      <c r="M298" s="18"/>
      <c r="N298" s="18"/>
      <c r="O298" s="18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>
      <c r="A299" s="1"/>
      <c r="B299" s="1"/>
      <c r="C299" s="18"/>
      <c r="D299" s="47"/>
      <c r="E299" s="18"/>
      <c r="F299" s="18"/>
      <c r="G299" s="18"/>
      <c r="H299" s="18"/>
      <c r="I299" s="25"/>
      <c r="J299" s="18"/>
      <c r="K299" s="18"/>
      <c r="L299" s="18"/>
      <c r="M299" s="18"/>
      <c r="N299" s="18"/>
      <c r="O299" s="18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>
      <c r="A300" s="1"/>
      <c r="B300" s="1"/>
      <c r="C300" s="18"/>
      <c r="D300" s="47"/>
      <c r="E300" s="18"/>
      <c r="F300" s="18"/>
      <c r="G300" s="18"/>
      <c r="H300" s="18"/>
      <c r="I300" s="25"/>
      <c r="J300" s="18"/>
      <c r="K300" s="18"/>
      <c r="L300" s="18"/>
      <c r="M300" s="18"/>
      <c r="N300" s="18"/>
      <c r="O300" s="18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>
      <c r="A301" s="1"/>
      <c r="B301" s="1"/>
      <c r="C301" s="18"/>
      <c r="D301" s="47"/>
      <c r="E301" s="18"/>
      <c r="F301" s="18"/>
      <c r="G301" s="18"/>
      <c r="H301" s="18"/>
      <c r="I301" s="25"/>
      <c r="J301" s="18"/>
      <c r="K301" s="18"/>
      <c r="L301" s="18"/>
      <c r="M301" s="18"/>
      <c r="N301" s="18"/>
      <c r="O301" s="18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>
      <c r="A302" s="1"/>
      <c r="B302" s="1"/>
      <c r="C302" s="18"/>
      <c r="D302" s="47"/>
      <c r="E302" s="18"/>
      <c r="F302" s="18"/>
      <c r="G302" s="18"/>
      <c r="H302" s="18"/>
      <c r="I302" s="25"/>
      <c r="J302" s="18"/>
      <c r="K302" s="18"/>
      <c r="L302" s="18"/>
      <c r="M302" s="18"/>
      <c r="N302" s="18"/>
      <c r="O302" s="18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>
      <c r="A303" s="1"/>
      <c r="B303" s="1"/>
      <c r="C303" s="18"/>
      <c r="D303" s="47"/>
      <c r="E303" s="18"/>
      <c r="F303" s="18"/>
      <c r="G303" s="18"/>
      <c r="H303" s="18"/>
      <c r="I303" s="25"/>
      <c r="J303" s="18"/>
      <c r="K303" s="18"/>
      <c r="L303" s="18"/>
      <c r="M303" s="18"/>
      <c r="N303" s="18"/>
      <c r="O303" s="18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>
      <c r="A304" s="1"/>
      <c r="B304" s="1"/>
      <c r="C304" s="18"/>
      <c r="D304" s="47"/>
      <c r="E304" s="18"/>
      <c r="F304" s="18"/>
      <c r="G304" s="18"/>
      <c r="H304" s="18"/>
      <c r="I304" s="25"/>
      <c r="J304" s="18"/>
      <c r="K304" s="18"/>
      <c r="L304" s="18"/>
      <c r="M304" s="18"/>
      <c r="N304" s="18"/>
      <c r="O304" s="18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>
      <c r="A305" s="1"/>
      <c r="B305" s="1"/>
      <c r="C305" s="18"/>
      <c r="D305" s="47"/>
      <c r="E305" s="18"/>
      <c r="F305" s="18"/>
      <c r="G305" s="18"/>
      <c r="H305" s="18"/>
      <c r="I305" s="25"/>
      <c r="J305" s="18"/>
      <c r="K305" s="18"/>
      <c r="L305" s="18"/>
      <c r="M305" s="18"/>
      <c r="N305" s="18"/>
      <c r="O305" s="18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>
      <c r="A306" s="1"/>
      <c r="B306" s="1"/>
      <c r="C306" s="18"/>
      <c r="D306" s="47"/>
      <c r="E306" s="18"/>
      <c r="F306" s="18"/>
      <c r="G306" s="18"/>
      <c r="H306" s="18"/>
      <c r="I306" s="25"/>
      <c r="J306" s="18"/>
      <c r="K306" s="18"/>
      <c r="L306" s="18"/>
      <c r="M306" s="18"/>
      <c r="N306" s="18"/>
      <c r="O306" s="18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>
      <c r="A307" s="1"/>
      <c r="B307" s="1"/>
      <c r="C307" s="18"/>
      <c r="D307" s="47"/>
      <c r="E307" s="18"/>
      <c r="F307" s="18"/>
      <c r="G307" s="18"/>
      <c r="H307" s="18"/>
      <c r="I307" s="25"/>
      <c r="J307" s="18"/>
      <c r="K307" s="18"/>
      <c r="L307" s="18"/>
      <c r="M307" s="18"/>
      <c r="N307" s="18"/>
      <c r="O307" s="18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>
      <c r="A308" s="1"/>
      <c r="B308" s="1"/>
      <c r="C308" s="18"/>
      <c r="D308" s="47"/>
      <c r="E308" s="18"/>
      <c r="F308" s="18"/>
      <c r="G308" s="18"/>
      <c r="H308" s="18"/>
      <c r="I308" s="25"/>
      <c r="J308" s="18"/>
      <c r="K308" s="18"/>
      <c r="L308" s="18"/>
      <c r="M308" s="18"/>
      <c r="N308" s="18"/>
      <c r="O308" s="18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>
      <c r="A309" s="1"/>
      <c r="B309" s="1"/>
      <c r="C309" s="18"/>
      <c r="D309" s="47"/>
      <c r="E309" s="18"/>
      <c r="F309" s="18"/>
      <c r="G309" s="18"/>
      <c r="H309" s="18"/>
      <c r="I309" s="25"/>
      <c r="J309" s="18"/>
      <c r="K309" s="18"/>
      <c r="L309" s="18"/>
      <c r="M309" s="18"/>
      <c r="N309" s="18"/>
      <c r="O309" s="18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>
      <c r="A310" s="1"/>
      <c r="B310" s="1"/>
      <c r="C310" s="18"/>
      <c r="D310" s="47"/>
      <c r="E310" s="18"/>
      <c r="F310" s="18"/>
      <c r="G310" s="18"/>
      <c r="H310" s="18"/>
      <c r="I310" s="25"/>
      <c r="J310" s="18"/>
      <c r="K310" s="18"/>
      <c r="L310" s="18"/>
      <c r="M310" s="18"/>
      <c r="N310" s="18"/>
      <c r="O310" s="18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>
      <c r="A311" s="1"/>
      <c r="B311" s="1"/>
      <c r="C311" s="18"/>
      <c r="D311" s="47"/>
      <c r="E311" s="18"/>
      <c r="F311" s="18"/>
      <c r="G311" s="18"/>
      <c r="H311" s="18"/>
      <c r="I311" s="25"/>
      <c r="J311" s="18"/>
      <c r="K311" s="18"/>
      <c r="L311" s="18"/>
      <c r="M311" s="18"/>
      <c r="N311" s="18"/>
      <c r="O311" s="18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>
      <c r="A312" s="1"/>
      <c r="B312" s="1"/>
      <c r="C312" s="18"/>
      <c r="D312" s="47"/>
      <c r="E312" s="18"/>
      <c r="F312" s="18"/>
      <c r="G312" s="18"/>
      <c r="H312" s="18"/>
      <c r="I312" s="25"/>
      <c r="J312" s="18"/>
      <c r="K312" s="18"/>
      <c r="L312" s="18"/>
      <c r="M312" s="18"/>
      <c r="N312" s="18"/>
      <c r="O312" s="18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>
      <c r="A313" s="1"/>
      <c r="B313" s="1"/>
      <c r="C313" s="18"/>
      <c r="D313" s="47"/>
      <c r="E313" s="18"/>
      <c r="F313" s="18"/>
      <c r="G313" s="18"/>
      <c r="H313" s="18"/>
      <c r="I313" s="25"/>
      <c r="J313" s="18"/>
      <c r="K313" s="18"/>
      <c r="L313" s="18"/>
      <c r="M313" s="18"/>
      <c r="N313" s="18"/>
      <c r="O313" s="18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>
      <c r="A314" s="1"/>
      <c r="B314" s="1"/>
      <c r="C314" s="18"/>
      <c r="D314" s="47"/>
      <c r="E314" s="18"/>
      <c r="F314" s="18"/>
      <c r="G314" s="18"/>
      <c r="H314" s="18"/>
      <c r="I314" s="25"/>
      <c r="J314" s="18"/>
      <c r="K314" s="18"/>
      <c r="L314" s="18"/>
      <c r="M314" s="18"/>
      <c r="N314" s="18"/>
      <c r="O314" s="18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>
      <c r="A315" s="1"/>
      <c r="B315" s="1"/>
      <c r="C315" s="18"/>
      <c r="D315" s="47"/>
      <c r="E315" s="18"/>
      <c r="F315" s="18"/>
      <c r="G315" s="18"/>
      <c r="H315" s="18"/>
      <c r="I315" s="25"/>
      <c r="J315" s="18"/>
      <c r="K315" s="18"/>
      <c r="L315" s="18"/>
      <c r="M315" s="18"/>
      <c r="N315" s="18"/>
      <c r="O315" s="18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>
      <c r="A316" s="1"/>
      <c r="B316" s="1"/>
      <c r="C316" s="18"/>
      <c r="D316" s="47"/>
      <c r="E316" s="18"/>
      <c r="F316" s="18"/>
      <c r="G316" s="18"/>
      <c r="H316" s="18"/>
      <c r="I316" s="25"/>
      <c r="J316" s="18"/>
      <c r="K316" s="18"/>
      <c r="L316" s="18"/>
      <c r="M316" s="18"/>
      <c r="N316" s="18"/>
      <c r="O316" s="18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>
      <c r="A317" s="1"/>
      <c r="B317" s="1"/>
      <c r="C317" s="18"/>
      <c r="D317" s="47"/>
      <c r="E317" s="18"/>
      <c r="F317" s="18"/>
      <c r="G317" s="18"/>
      <c r="H317" s="18"/>
      <c r="I317" s="25"/>
      <c r="J317" s="18"/>
      <c r="K317" s="18"/>
      <c r="L317" s="18"/>
      <c r="M317" s="18"/>
      <c r="N317" s="18"/>
      <c r="O317" s="18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>
      <c r="A318" s="1"/>
      <c r="B318" s="1"/>
      <c r="C318" s="18"/>
      <c r="D318" s="47"/>
      <c r="E318" s="18"/>
      <c r="F318" s="18"/>
      <c r="G318" s="18"/>
      <c r="H318" s="18"/>
      <c r="I318" s="25"/>
      <c r="J318" s="18"/>
      <c r="K318" s="18"/>
      <c r="L318" s="18"/>
      <c r="M318" s="18"/>
      <c r="N318" s="18"/>
      <c r="O318" s="18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>
      <c r="A319" s="1"/>
      <c r="B319" s="1"/>
      <c r="C319" s="18"/>
      <c r="D319" s="47"/>
      <c r="E319" s="18"/>
      <c r="F319" s="18"/>
      <c r="G319" s="18"/>
      <c r="H319" s="18"/>
      <c r="I319" s="25"/>
      <c r="J319" s="18"/>
      <c r="K319" s="18"/>
      <c r="L319" s="18"/>
      <c r="M319" s="18"/>
      <c r="N319" s="18"/>
      <c r="O319" s="18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>
      <c r="A320" s="1"/>
      <c r="B320" s="1"/>
      <c r="C320" s="18"/>
      <c r="D320" s="47"/>
      <c r="E320" s="18"/>
      <c r="F320" s="18"/>
      <c r="G320" s="18"/>
      <c r="H320" s="18"/>
      <c r="I320" s="25"/>
      <c r="J320" s="18"/>
      <c r="K320" s="18"/>
      <c r="L320" s="18"/>
      <c r="M320" s="18"/>
      <c r="N320" s="18"/>
      <c r="O320" s="18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>
      <c r="A321" s="1"/>
      <c r="B321" s="1"/>
      <c r="C321" s="18"/>
      <c r="D321" s="47"/>
      <c r="E321" s="18"/>
      <c r="F321" s="18"/>
      <c r="G321" s="18"/>
      <c r="H321" s="18"/>
      <c r="I321" s="25"/>
      <c r="J321" s="18"/>
      <c r="K321" s="18"/>
      <c r="L321" s="18"/>
      <c r="M321" s="18"/>
      <c r="N321" s="18"/>
      <c r="O321" s="18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>
      <c r="A322" s="1"/>
      <c r="B322" s="1"/>
      <c r="C322" s="18"/>
      <c r="D322" s="47"/>
      <c r="E322" s="18"/>
      <c r="F322" s="18"/>
      <c r="G322" s="18"/>
      <c r="H322" s="18"/>
      <c r="I322" s="25"/>
      <c r="J322" s="18"/>
      <c r="K322" s="18"/>
      <c r="L322" s="18"/>
      <c r="M322" s="18"/>
      <c r="N322" s="18"/>
      <c r="O322" s="18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>
      <c r="A323" s="1"/>
      <c r="B323" s="1"/>
      <c r="C323" s="18"/>
      <c r="D323" s="47"/>
      <c r="E323" s="18"/>
      <c r="F323" s="18"/>
      <c r="G323" s="18"/>
      <c r="H323" s="18"/>
      <c r="I323" s="25"/>
      <c r="J323" s="18"/>
      <c r="K323" s="18"/>
      <c r="L323" s="18"/>
      <c r="M323" s="18"/>
      <c r="N323" s="18"/>
      <c r="O323" s="18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>
      <c r="A324" s="1"/>
      <c r="B324" s="1"/>
      <c r="C324" s="18"/>
      <c r="D324" s="47"/>
      <c r="E324" s="18"/>
      <c r="F324" s="18"/>
      <c r="G324" s="18"/>
      <c r="H324" s="18"/>
      <c r="I324" s="25"/>
      <c r="J324" s="18"/>
      <c r="K324" s="18"/>
      <c r="L324" s="18"/>
      <c r="M324" s="18"/>
      <c r="N324" s="18"/>
      <c r="O324" s="18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>
      <c r="A325" s="1"/>
      <c r="B325" s="1"/>
      <c r="C325" s="18"/>
      <c r="D325" s="47"/>
      <c r="E325" s="18"/>
      <c r="F325" s="18"/>
      <c r="G325" s="18"/>
      <c r="H325" s="18"/>
      <c r="I325" s="25"/>
      <c r="J325" s="18"/>
      <c r="K325" s="18"/>
      <c r="L325" s="18"/>
      <c r="M325" s="18"/>
      <c r="N325" s="18"/>
      <c r="O325" s="18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>
      <c r="A326" s="1"/>
      <c r="B326" s="1"/>
      <c r="C326" s="18"/>
      <c r="D326" s="47"/>
      <c r="E326" s="18"/>
      <c r="F326" s="18"/>
      <c r="G326" s="18"/>
      <c r="H326" s="18"/>
      <c r="I326" s="25"/>
      <c r="J326" s="18"/>
      <c r="K326" s="18"/>
      <c r="L326" s="18"/>
      <c r="M326" s="18"/>
      <c r="N326" s="18"/>
      <c r="O326" s="18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>
      <c r="A327" s="1"/>
      <c r="B327" s="1"/>
      <c r="C327" s="18"/>
      <c r="D327" s="47"/>
      <c r="E327" s="18"/>
      <c r="F327" s="18"/>
      <c r="G327" s="18"/>
      <c r="H327" s="18"/>
      <c r="I327" s="25"/>
      <c r="J327" s="18"/>
      <c r="K327" s="18"/>
      <c r="L327" s="18"/>
      <c r="M327" s="18"/>
      <c r="N327" s="18"/>
      <c r="O327" s="18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>
      <c r="A328" s="1"/>
      <c r="B328" s="1"/>
      <c r="C328" s="18"/>
      <c r="D328" s="47"/>
      <c r="E328" s="18"/>
      <c r="F328" s="18"/>
      <c r="G328" s="18"/>
      <c r="H328" s="18"/>
      <c r="I328" s="25"/>
      <c r="J328" s="18"/>
      <c r="K328" s="18"/>
      <c r="L328" s="18"/>
      <c r="M328" s="18"/>
      <c r="N328" s="18"/>
      <c r="O328" s="18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>
      <c r="A329" s="1"/>
      <c r="B329" s="1"/>
      <c r="C329" s="18"/>
      <c r="D329" s="47"/>
      <c r="E329" s="18"/>
      <c r="F329" s="18"/>
      <c r="G329" s="18"/>
      <c r="H329" s="18"/>
      <c r="I329" s="25"/>
      <c r="J329" s="18"/>
      <c r="K329" s="18"/>
      <c r="L329" s="18"/>
      <c r="M329" s="18"/>
      <c r="N329" s="18"/>
      <c r="O329" s="18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>
      <c r="A330" s="1"/>
      <c r="B330" s="1"/>
      <c r="C330" s="18"/>
      <c r="D330" s="47"/>
      <c r="E330" s="18"/>
      <c r="F330" s="18"/>
      <c r="G330" s="18"/>
      <c r="H330" s="18"/>
      <c r="I330" s="25"/>
      <c r="J330" s="18"/>
      <c r="K330" s="18"/>
      <c r="L330" s="18"/>
      <c r="M330" s="18"/>
      <c r="N330" s="18"/>
      <c r="O330" s="18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>
      <c r="A331" s="1"/>
      <c r="B331" s="1"/>
      <c r="C331" s="18"/>
      <c r="D331" s="47"/>
      <c r="E331" s="18"/>
      <c r="F331" s="18"/>
      <c r="G331" s="18"/>
      <c r="H331" s="18"/>
      <c r="I331" s="25"/>
      <c r="J331" s="18"/>
      <c r="K331" s="18"/>
      <c r="L331" s="18"/>
      <c r="M331" s="18"/>
      <c r="N331" s="18"/>
      <c r="O331" s="18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>
      <c r="A332" s="1"/>
      <c r="B332" s="1"/>
      <c r="C332" s="18"/>
      <c r="D332" s="47"/>
      <c r="E332" s="18"/>
      <c r="F332" s="18"/>
      <c r="G332" s="18"/>
      <c r="H332" s="18"/>
      <c r="I332" s="25"/>
      <c r="J332" s="18"/>
      <c r="K332" s="18"/>
      <c r="L332" s="18"/>
      <c r="M332" s="18"/>
      <c r="N332" s="18"/>
      <c r="O332" s="18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>
      <c r="A333" s="1"/>
      <c r="B333" s="1"/>
      <c r="C333" s="18"/>
      <c r="D333" s="47"/>
      <c r="E333" s="18"/>
      <c r="F333" s="18"/>
      <c r="G333" s="18"/>
      <c r="H333" s="18"/>
      <c r="I333" s="25"/>
      <c r="J333" s="18"/>
      <c r="K333" s="18"/>
      <c r="L333" s="18"/>
      <c r="M333" s="18"/>
      <c r="N333" s="18"/>
      <c r="O333" s="18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>
      <c r="A334" s="1"/>
      <c r="B334" s="1"/>
      <c r="C334" s="18"/>
      <c r="D334" s="47"/>
      <c r="E334" s="18"/>
      <c r="F334" s="18"/>
      <c r="G334" s="18"/>
      <c r="H334" s="18"/>
      <c r="I334" s="25"/>
      <c r="J334" s="18"/>
      <c r="K334" s="18"/>
      <c r="L334" s="18"/>
      <c r="M334" s="18"/>
      <c r="N334" s="18"/>
      <c r="O334" s="18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>
      <c r="A335" s="1"/>
      <c r="B335" s="1"/>
      <c r="C335" s="18"/>
      <c r="D335" s="47"/>
      <c r="E335" s="18"/>
      <c r="F335" s="18"/>
      <c r="G335" s="18"/>
      <c r="H335" s="18"/>
      <c r="I335" s="25"/>
      <c r="J335" s="18"/>
      <c r="K335" s="18"/>
      <c r="L335" s="18"/>
      <c r="M335" s="18"/>
      <c r="N335" s="18"/>
      <c r="O335" s="18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>
      <c r="A336" s="1"/>
      <c r="B336" s="1"/>
      <c r="C336" s="18"/>
      <c r="D336" s="47"/>
      <c r="E336" s="18"/>
      <c r="F336" s="18"/>
      <c r="G336" s="18"/>
      <c r="H336" s="18"/>
      <c r="I336" s="25"/>
      <c r="J336" s="18"/>
      <c r="K336" s="18"/>
      <c r="L336" s="18"/>
      <c r="M336" s="18"/>
      <c r="N336" s="18"/>
      <c r="O336" s="18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>
      <c r="A337" s="1"/>
      <c r="B337" s="1"/>
      <c r="C337" s="18"/>
      <c r="D337" s="47"/>
      <c r="E337" s="18"/>
      <c r="F337" s="18"/>
      <c r="G337" s="18"/>
      <c r="H337" s="18"/>
      <c r="I337" s="25"/>
      <c r="J337" s="18"/>
      <c r="K337" s="18"/>
      <c r="L337" s="18"/>
      <c r="M337" s="18"/>
      <c r="N337" s="18"/>
      <c r="O337" s="18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>
      <c r="A338" s="1"/>
      <c r="B338" s="1"/>
      <c r="C338" s="18"/>
      <c r="D338" s="47"/>
      <c r="E338" s="18"/>
      <c r="F338" s="18"/>
      <c r="G338" s="18"/>
      <c r="H338" s="18"/>
      <c r="I338" s="25"/>
      <c r="J338" s="18"/>
      <c r="K338" s="18"/>
      <c r="L338" s="18"/>
      <c r="M338" s="18"/>
      <c r="N338" s="18"/>
      <c r="O338" s="18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>
      <c r="A339" s="1"/>
      <c r="B339" s="1"/>
      <c r="C339" s="18"/>
      <c r="D339" s="47"/>
      <c r="E339" s="18"/>
      <c r="F339" s="18"/>
      <c r="G339" s="18"/>
      <c r="H339" s="18"/>
      <c r="I339" s="25"/>
      <c r="J339" s="18"/>
      <c r="K339" s="18"/>
      <c r="L339" s="18"/>
      <c r="M339" s="18"/>
      <c r="N339" s="18"/>
      <c r="O339" s="18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>
      <c r="A340" s="1"/>
      <c r="B340" s="1"/>
      <c r="C340" s="18"/>
      <c r="D340" s="47"/>
      <c r="E340" s="18"/>
      <c r="F340" s="18"/>
      <c r="G340" s="18"/>
      <c r="H340" s="18"/>
      <c r="I340" s="25"/>
      <c r="J340" s="18"/>
      <c r="K340" s="18"/>
      <c r="L340" s="18"/>
      <c r="M340" s="18"/>
      <c r="N340" s="18"/>
      <c r="O340" s="18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>
      <c r="A341" s="1"/>
      <c r="B341" s="1"/>
      <c r="C341" s="18"/>
      <c r="D341" s="47"/>
      <c r="E341" s="18"/>
      <c r="F341" s="18"/>
      <c r="G341" s="18"/>
      <c r="H341" s="18"/>
      <c r="I341" s="25"/>
      <c r="J341" s="18"/>
      <c r="K341" s="18"/>
      <c r="L341" s="18"/>
      <c r="M341" s="18"/>
      <c r="N341" s="18"/>
      <c r="O341" s="18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>
      <c r="A342" s="1"/>
      <c r="B342" s="1"/>
      <c r="C342" s="18"/>
      <c r="D342" s="47"/>
      <c r="E342" s="18"/>
      <c r="F342" s="18"/>
      <c r="G342" s="18"/>
      <c r="H342" s="18"/>
      <c r="I342" s="25"/>
      <c r="J342" s="18"/>
      <c r="K342" s="18"/>
      <c r="L342" s="18"/>
      <c r="M342" s="18"/>
      <c r="N342" s="18"/>
      <c r="O342" s="18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>
      <c r="A343" s="1"/>
      <c r="B343" s="1"/>
      <c r="C343" s="18"/>
      <c r="D343" s="47"/>
      <c r="E343" s="18"/>
      <c r="F343" s="18"/>
      <c r="G343" s="18"/>
      <c r="H343" s="18"/>
      <c r="I343" s="25"/>
      <c r="J343" s="18"/>
      <c r="K343" s="18"/>
      <c r="L343" s="18"/>
      <c r="M343" s="18"/>
      <c r="N343" s="18"/>
      <c r="O343" s="18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>
      <c r="A344" s="1"/>
      <c r="B344" s="1"/>
      <c r="C344" s="18"/>
      <c r="D344" s="47"/>
      <c r="E344" s="18"/>
      <c r="F344" s="18"/>
      <c r="G344" s="18"/>
      <c r="H344" s="18"/>
      <c r="I344" s="25"/>
      <c r="J344" s="18"/>
      <c r="K344" s="18"/>
      <c r="L344" s="18"/>
      <c r="M344" s="18"/>
      <c r="N344" s="18"/>
      <c r="O344" s="18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>
      <c r="A345" s="1"/>
      <c r="B345" s="1"/>
      <c r="C345" s="18"/>
      <c r="D345" s="47"/>
      <c r="E345" s="18"/>
      <c r="F345" s="18"/>
      <c r="G345" s="18"/>
      <c r="H345" s="18"/>
      <c r="I345" s="25"/>
      <c r="J345" s="18"/>
      <c r="K345" s="18"/>
      <c r="L345" s="18"/>
      <c r="M345" s="18"/>
      <c r="N345" s="18"/>
      <c r="O345" s="18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>
      <c r="A346" s="1"/>
      <c r="B346" s="1"/>
      <c r="C346" s="18"/>
      <c r="D346" s="47"/>
      <c r="E346" s="18"/>
      <c r="F346" s="18"/>
      <c r="G346" s="18"/>
      <c r="H346" s="18"/>
      <c r="I346" s="25"/>
      <c r="J346" s="18"/>
      <c r="K346" s="18"/>
      <c r="L346" s="18"/>
      <c r="M346" s="18"/>
      <c r="N346" s="18"/>
      <c r="O346" s="18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>
      <c r="A347" s="1"/>
      <c r="B347" s="1"/>
      <c r="C347" s="18"/>
      <c r="D347" s="47"/>
      <c r="E347" s="18"/>
      <c r="F347" s="18"/>
      <c r="G347" s="18"/>
      <c r="H347" s="18"/>
      <c r="I347" s="25"/>
      <c r="J347" s="18"/>
      <c r="K347" s="18"/>
      <c r="L347" s="18"/>
      <c r="M347" s="18"/>
      <c r="N347" s="18"/>
      <c r="O347" s="18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>
      <c r="A348" s="1"/>
      <c r="B348" s="1"/>
      <c r="C348" s="18"/>
      <c r="D348" s="47"/>
      <c r="E348" s="18"/>
      <c r="F348" s="18"/>
      <c r="G348" s="18"/>
      <c r="H348" s="18"/>
      <c r="I348" s="25"/>
      <c r="J348" s="18"/>
      <c r="K348" s="18"/>
      <c r="L348" s="18"/>
      <c r="M348" s="18"/>
      <c r="N348" s="18"/>
      <c r="O348" s="18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>
      <c r="A349" s="1"/>
      <c r="B349" s="1"/>
      <c r="C349" s="18"/>
      <c r="D349" s="47"/>
      <c r="E349" s="18"/>
      <c r="F349" s="18"/>
      <c r="G349" s="18"/>
      <c r="H349" s="18"/>
      <c r="I349" s="25"/>
      <c r="J349" s="18"/>
      <c r="K349" s="18"/>
      <c r="L349" s="18"/>
      <c r="M349" s="18"/>
      <c r="N349" s="18"/>
      <c r="O349" s="18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>
      <c r="A350" s="1"/>
      <c r="B350" s="1"/>
      <c r="C350" s="18"/>
      <c r="D350" s="47"/>
      <c r="E350" s="18"/>
      <c r="F350" s="18"/>
      <c r="G350" s="18"/>
      <c r="H350" s="18"/>
      <c r="I350" s="25"/>
      <c r="J350" s="18"/>
      <c r="K350" s="18"/>
      <c r="L350" s="18"/>
      <c r="M350" s="18"/>
      <c r="N350" s="18"/>
      <c r="O350" s="18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>
      <c r="A351" s="1"/>
      <c r="B351" s="1"/>
      <c r="C351" s="18"/>
      <c r="D351" s="47"/>
      <c r="E351" s="18"/>
      <c r="F351" s="18"/>
      <c r="G351" s="18"/>
      <c r="H351" s="18"/>
      <c r="I351" s="25"/>
      <c r="J351" s="18"/>
      <c r="K351" s="18"/>
      <c r="L351" s="18"/>
      <c r="M351" s="18"/>
      <c r="N351" s="18"/>
      <c r="O351" s="18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>
      <c r="A352" s="1"/>
      <c r="B352" s="1"/>
      <c r="C352" s="18"/>
      <c r="D352" s="47"/>
      <c r="E352" s="18"/>
      <c r="F352" s="18"/>
      <c r="G352" s="18"/>
      <c r="H352" s="18"/>
      <c r="I352" s="25"/>
      <c r="J352" s="18"/>
      <c r="K352" s="18"/>
      <c r="L352" s="18"/>
      <c r="M352" s="18"/>
      <c r="N352" s="18"/>
      <c r="O352" s="18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>
      <c r="A353" s="1"/>
      <c r="B353" s="1"/>
      <c r="C353" s="18"/>
      <c r="D353" s="47"/>
      <c r="E353" s="18"/>
      <c r="F353" s="18"/>
      <c r="G353" s="18"/>
      <c r="H353" s="18"/>
      <c r="I353" s="25"/>
      <c r="J353" s="18"/>
      <c r="K353" s="18"/>
      <c r="L353" s="18"/>
      <c r="M353" s="18"/>
      <c r="N353" s="18"/>
      <c r="O353" s="18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>
      <c r="A354" s="1"/>
      <c r="B354" s="1"/>
      <c r="C354" s="18"/>
      <c r="D354" s="47"/>
      <c r="E354" s="18"/>
      <c r="F354" s="18"/>
      <c r="G354" s="18"/>
      <c r="H354" s="18"/>
      <c r="I354" s="25"/>
      <c r="J354" s="18"/>
      <c r="K354" s="18"/>
      <c r="L354" s="18"/>
      <c r="M354" s="18"/>
      <c r="N354" s="18"/>
      <c r="O354" s="18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>
      <c r="A355" s="1"/>
      <c r="B355" s="1"/>
      <c r="C355" s="18"/>
      <c r="D355" s="47"/>
      <c r="E355" s="18"/>
      <c r="F355" s="18"/>
      <c r="G355" s="18"/>
      <c r="H355" s="18"/>
      <c r="I355" s="25"/>
      <c r="J355" s="18"/>
      <c r="K355" s="18"/>
      <c r="L355" s="18"/>
      <c r="M355" s="18"/>
      <c r="N355" s="18"/>
      <c r="O355" s="18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>
      <c r="A356" s="1"/>
      <c r="B356" s="1"/>
      <c r="C356" s="18"/>
      <c r="D356" s="47"/>
      <c r="E356" s="18"/>
      <c r="F356" s="18"/>
      <c r="G356" s="18"/>
      <c r="H356" s="18"/>
      <c r="I356" s="25"/>
      <c r="J356" s="18"/>
      <c r="K356" s="18"/>
      <c r="L356" s="18"/>
      <c r="M356" s="18"/>
      <c r="N356" s="18"/>
      <c r="O356" s="18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>
      <c r="A357" s="1"/>
      <c r="B357" s="1"/>
      <c r="C357" s="18"/>
      <c r="D357" s="47"/>
      <c r="E357" s="18"/>
      <c r="F357" s="18"/>
      <c r="G357" s="18"/>
      <c r="H357" s="18"/>
      <c r="I357" s="25"/>
      <c r="J357" s="18"/>
      <c r="K357" s="18"/>
      <c r="L357" s="18"/>
      <c r="M357" s="18"/>
      <c r="N357" s="18"/>
      <c r="O357" s="18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>
      <c r="A358" s="1"/>
      <c r="B358" s="1"/>
      <c r="C358" s="18"/>
      <c r="D358" s="47"/>
      <c r="E358" s="18"/>
      <c r="F358" s="18"/>
      <c r="G358" s="18"/>
      <c r="H358" s="18"/>
      <c r="I358" s="25"/>
      <c r="J358" s="18"/>
      <c r="K358" s="18"/>
      <c r="L358" s="18"/>
      <c r="M358" s="18"/>
      <c r="N358" s="18"/>
      <c r="O358" s="18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>
      <c r="A359" s="1"/>
      <c r="B359" s="1"/>
      <c r="C359" s="18"/>
      <c r="D359" s="47"/>
      <c r="E359" s="18"/>
      <c r="F359" s="18"/>
      <c r="G359" s="18"/>
      <c r="H359" s="18"/>
      <c r="I359" s="25"/>
      <c r="J359" s="18"/>
      <c r="K359" s="18"/>
      <c r="L359" s="18"/>
      <c r="M359" s="18"/>
      <c r="N359" s="18"/>
      <c r="O359" s="18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>
      <c r="A360" s="1"/>
      <c r="B360" s="1"/>
      <c r="C360" s="18"/>
      <c r="D360" s="47"/>
      <c r="E360" s="18"/>
      <c r="F360" s="18"/>
      <c r="G360" s="18"/>
      <c r="H360" s="18"/>
      <c r="I360" s="25"/>
      <c r="J360" s="18"/>
      <c r="K360" s="18"/>
      <c r="L360" s="18"/>
      <c r="M360" s="18"/>
      <c r="N360" s="18"/>
      <c r="O360" s="18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>
      <c r="A361" s="1"/>
      <c r="B361" s="1"/>
      <c r="C361" s="18"/>
      <c r="D361" s="47"/>
      <c r="E361" s="18"/>
      <c r="F361" s="18"/>
      <c r="G361" s="18"/>
      <c r="H361" s="18"/>
      <c r="I361" s="25"/>
      <c r="J361" s="18"/>
      <c r="K361" s="18"/>
      <c r="L361" s="18"/>
      <c r="M361" s="18"/>
      <c r="N361" s="18"/>
      <c r="O361" s="18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>
      <c r="A362" s="1"/>
      <c r="B362" s="1"/>
      <c r="C362" s="18"/>
      <c r="D362" s="47"/>
      <c r="E362" s="18"/>
      <c r="F362" s="18"/>
      <c r="G362" s="18"/>
      <c r="H362" s="18"/>
      <c r="I362" s="25"/>
      <c r="J362" s="18"/>
      <c r="K362" s="18"/>
      <c r="L362" s="18"/>
      <c r="M362" s="18"/>
      <c r="N362" s="18"/>
      <c r="O362" s="18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>
      <c r="A363" s="1"/>
      <c r="B363" s="1"/>
      <c r="C363" s="18"/>
      <c r="D363" s="47"/>
      <c r="E363" s="18"/>
      <c r="F363" s="18"/>
      <c r="G363" s="18"/>
      <c r="H363" s="18"/>
      <c r="I363" s="25"/>
      <c r="J363" s="18"/>
      <c r="K363" s="18"/>
      <c r="L363" s="18"/>
      <c r="M363" s="18"/>
      <c r="N363" s="18"/>
      <c r="O363" s="18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>
      <c r="A364" s="1"/>
      <c r="B364" s="1"/>
      <c r="C364" s="18"/>
      <c r="D364" s="47"/>
      <c r="E364" s="18"/>
      <c r="F364" s="18"/>
      <c r="G364" s="18"/>
      <c r="H364" s="18"/>
      <c r="I364" s="25"/>
      <c r="J364" s="18"/>
      <c r="K364" s="18"/>
      <c r="L364" s="18"/>
      <c r="M364" s="18"/>
      <c r="N364" s="18"/>
      <c r="O364" s="18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>
      <c r="A365" s="1"/>
      <c r="B365" s="1"/>
      <c r="C365" s="18"/>
      <c r="D365" s="47"/>
      <c r="E365" s="18"/>
      <c r="F365" s="18"/>
      <c r="G365" s="18"/>
      <c r="H365" s="18"/>
      <c r="I365" s="25"/>
      <c r="J365" s="18"/>
      <c r="K365" s="18"/>
      <c r="L365" s="18"/>
      <c r="M365" s="18"/>
      <c r="N365" s="18"/>
      <c r="O365" s="18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>
      <c r="A366" s="1"/>
      <c r="B366" s="1"/>
      <c r="C366" s="18"/>
      <c r="D366" s="47"/>
      <c r="E366" s="18"/>
      <c r="F366" s="18"/>
      <c r="G366" s="18"/>
      <c r="H366" s="18"/>
      <c r="I366" s="25"/>
      <c r="J366" s="18"/>
      <c r="K366" s="18"/>
      <c r="L366" s="18"/>
      <c r="M366" s="18"/>
      <c r="N366" s="18"/>
      <c r="O366" s="18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>
      <c r="A367" s="1"/>
      <c r="B367" s="1"/>
      <c r="C367" s="18"/>
      <c r="D367" s="47"/>
      <c r="E367" s="18"/>
      <c r="F367" s="18"/>
      <c r="G367" s="18"/>
      <c r="H367" s="18"/>
      <c r="I367" s="25"/>
      <c r="J367" s="18"/>
      <c r="K367" s="18"/>
      <c r="L367" s="18"/>
      <c r="M367" s="18"/>
      <c r="N367" s="18"/>
      <c r="O367" s="18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>
      <c r="A368" s="1"/>
      <c r="B368" s="1"/>
      <c r="C368" s="18"/>
      <c r="D368" s="47"/>
      <c r="E368" s="18"/>
      <c r="F368" s="18"/>
      <c r="G368" s="18"/>
      <c r="H368" s="18"/>
      <c r="I368" s="25"/>
      <c r="J368" s="18"/>
      <c r="K368" s="18"/>
      <c r="L368" s="18"/>
      <c r="M368" s="18"/>
      <c r="N368" s="18"/>
      <c r="O368" s="18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>
      <c r="A369" s="1"/>
      <c r="B369" s="1"/>
      <c r="C369" s="18"/>
      <c r="D369" s="47"/>
      <c r="E369" s="18"/>
      <c r="F369" s="18"/>
      <c r="G369" s="18"/>
      <c r="H369" s="18"/>
      <c r="I369" s="25"/>
      <c r="J369" s="18"/>
      <c r="K369" s="18"/>
      <c r="L369" s="18"/>
      <c r="M369" s="18"/>
      <c r="N369" s="18"/>
      <c r="O369" s="18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>
      <c r="A370" s="1"/>
      <c r="B370" s="1"/>
      <c r="C370" s="18"/>
      <c r="D370" s="47"/>
      <c r="E370" s="18"/>
      <c r="F370" s="18"/>
      <c r="G370" s="18"/>
      <c r="H370" s="18"/>
      <c r="I370" s="25"/>
      <c r="J370" s="18"/>
      <c r="K370" s="18"/>
      <c r="L370" s="18"/>
      <c r="M370" s="18"/>
      <c r="N370" s="18"/>
      <c r="O370" s="18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>
      <c r="A371" s="1"/>
      <c r="B371" s="1"/>
      <c r="C371" s="18"/>
      <c r="D371" s="47"/>
      <c r="E371" s="18"/>
      <c r="F371" s="18"/>
      <c r="G371" s="18"/>
      <c r="H371" s="18"/>
      <c r="I371" s="25"/>
      <c r="J371" s="18"/>
      <c r="K371" s="18"/>
      <c r="L371" s="18"/>
      <c r="M371" s="18"/>
      <c r="N371" s="18"/>
      <c r="O371" s="18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>
      <c r="A372" s="1"/>
      <c r="B372" s="1"/>
      <c r="C372" s="18"/>
      <c r="D372" s="47"/>
      <c r="E372" s="18"/>
      <c r="F372" s="18"/>
      <c r="G372" s="18"/>
      <c r="H372" s="18"/>
      <c r="I372" s="25"/>
      <c r="J372" s="18"/>
      <c r="K372" s="18"/>
      <c r="L372" s="18"/>
      <c r="M372" s="18"/>
      <c r="N372" s="18"/>
      <c r="O372" s="18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>
      <c r="A373" s="1"/>
      <c r="B373" s="1"/>
      <c r="C373" s="18"/>
      <c r="D373" s="47"/>
      <c r="E373" s="18"/>
      <c r="F373" s="18"/>
      <c r="G373" s="18"/>
      <c r="H373" s="18"/>
      <c r="I373" s="25"/>
      <c r="J373" s="18"/>
      <c r="K373" s="18"/>
      <c r="L373" s="18"/>
      <c r="M373" s="18"/>
      <c r="N373" s="18"/>
      <c r="O373" s="18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>
      <c r="A374" s="1"/>
      <c r="B374" s="1"/>
      <c r="C374" s="18"/>
      <c r="D374" s="47"/>
      <c r="E374" s="18"/>
      <c r="F374" s="18"/>
      <c r="G374" s="18"/>
      <c r="H374" s="18"/>
      <c r="I374" s="25"/>
      <c r="J374" s="18"/>
      <c r="K374" s="18"/>
      <c r="L374" s="18"/>
      <c r="M374" s="18"/>
      <c r="N374" s="18"/>
      <c r="O374" s="18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>
      <c r="A375" s="1"/>
      <c r="B375" s="1"/>
      <c r="C375" s="18"/>
      <c r="D375" s="47"/>
      <c r="E375" s="18"/>
      <c r="F375" s="18"/>
      <c r="G375" s="18"/>
      <c r="H375" s="18"/>
      <c r="I375" s="25"/>
      <c r="J375" s="18"/>
      <c r="K375" s="18"/>
      <c r="L375" s="18"/>
      <c r="M375" s="18"/>
      <c r="N375" s="18"/>
      <c r="O375" s="18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>
      <c r="A376" s="1"/>
      <c r="B376" s="1"/>
      <c r="C376" s="18"/>
      <c r="D376" s="47"/>
      <c r="E376" s="18"/>
      <c r="F376" s="18"/>
      <c r="G376" s="18"/>
      <c r="H376" s="18"/>
      <c r="I376" s="25"/>
      <c r="J376" s="18"/>
      <c r="K376" s="18"/>
      <c r="L376" s="18"/>
      <c r="M376" s="18"/>
      <c r="N376" s="18"/>
      <c r="O376" s="18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>
      <c r="A377" s="1"/>
      <c r="B377" s="1"/>
      <c r="C377" s="18"/>
      <c r="D377" s="47"/>
      <c r="E377" s="18"/>
      <c r="F377" s="18"/>
      <c r="G377" s="18"/>
      <c r="H377" s="18"/>
      <c r="I377" s="25"/>
      <c r="J377" s="18"/>
      <c r="K377" s="18"/>
      <c r="L377" s="18"/>
      <c r="M377" s="18"/>
      <c r="N377" s="18"/>
      <c r="O377" s="18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>
      <c r="A378" s="1"/>
      <c r="B378" s="1"/>
      <c r="C378" s="18"/>
      <c r="D378" s="47"/>
      <c r="E378" s="18"/>
      <c r="F378" s="18"/>
      <c r="G378" s="18"/>
      <c r="H378" s="18"/>
      <c r="I378" s="25"/>
      <c r="J378" s="18"/>
      <c r="K378" s="18"/>
      <c r="L378" s="18"/>
      <c r="M378" s="18"/>
      <c r="N378" s="18"/>
      <c r="O378" s="18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>
      <c r="A379" s="1"/>
      <c r="B379" s="1"/>
      <c r="C379" s="18"/>
      <c r="D379" s="47"/>
      <c r="E379" s="18"/>
      <c r="F379" s="18"/>
      <c r="G379" s="18"/>
      <c r="H379" s="18"/>
      <c r="I379" s="25"/>
      <c r="J379" s="18"/>
      <c r="K379" s="18"/>
      <c r="L379" s="18"/>
      <c r="M379" s="18"/>
      <c r="N379" s="18"/>
      <c r="O379" s="18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>
      <c r="A380" s="1"/>
      <c r="B380" s="1"/>
      <c r="C380" s="18"/>
      <c r="D380" s="47"/>
      <c r="E380" s="18"/>
      <c r="F380" s="18"/>
      <c r="G380" s="18"/>
      <c r="H380" s="18"/>
      <c r="I380" s="25"/>
      <c r="J380" s="18"/>
      <c r="K380" s="18"/>
      <c r="L380" s="18"/>
      <c r="M380" s="18"/>
      <c r="N380" s="18"/>
      <c r="O380" s="18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>
      <c r="A381" s="1"/>
      <c r="B381" s="1"/>
      <c r="C381" s="18"/>
      <c r="D381" s="47"/>
      <c r="E381" s="18"/>
      <c r="F381" s="18"/>
      <c r="G381" s="18"/>
      <c r="H381" s="18"/>
      <c r="I381" s="25"/>
      <c r="J381" s="18"/>
      <c r="K381" s="18"/>
      <c r="L381" s="18"/>
      <c r="M381" s="18"/>
      <c r="N381" s="18"/>
      <c r="O381" s="18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>
      <c r="A382" s="1"/>
      <c r="B382" s="1"/>
      <c r="C382" s="18"/>
      <c r="D382" s="47"/>
      <c r="E382" s="18"/>
      <c r="F382" s="18"/>
      <c r="G382" s="18"/>
      <c r="H382" s="18"/>
      <c r="I382" s="25"/>
      <c r="J382" s="18"/>
      <c r="K382" s="18"/>
      <c r="L382" s="18"/>
      <c r="M382" s="18"/>
      <c r="N382" s="18"/>
      <c r="O382" s="18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>
      <c r="A383" s="1"/>
      <c r="B383" s="1"/>
      <c r="C383" s="18"/>
      <c r="D383" s="47"/>
      <c r="E383" s="18"/>
      <c r="F383" s="18"/>
      <c r="G383" s="18"/>
      <c r="H383" s="18"/>
      <c r="I383" s="25"/>
      <c r="J383" s="18"/>
      <c r="K383" s="18"/>
      <c r="L383" s="18"/>
      <c r="M383" s="18"/>
      <c r="N383" s="18"/>
      <c r="O383" s="18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>
      <c r="A384" s="1"/>
      <c r="B384" s="1"/>
      <c r="C384" s="18"/>
      <c r="D384" s="47"/>
      <c r="E384" s="18"/>
      <c r="F384" s="18"/>
      <c r="G384" s="18"/>
      <c r="H384" s="18"/>
      <c r="I384" s="25"/>
      <c r="J384" s="18"/>
      <c r="K384" s="18"/>
      <c r="L384" s="18"/>
      <c r="M384" s="18"/>
      <c r="N384" s="18"/>
      <c r="O384" s="18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>
      <c r="A385" s="1"/>
      <c r="B385" s="1"/>
      <c r="C385" s="18"/>
      <c r="D385" s="47"/>
      <c r="E385" s="18"/>
      <c r="F385" s="18"/>
      <c r="G385" s="18"/>
      <c r="H385" s="18"/>
      <c r="I385" s="25"/>
      <c r="J385" s="18"/>
      <c r="K385" s="18"/>
      <c r="L385" s="18"/>
      <c r="M385" s="18"/>
      <c r="N385" s="18"/>
      <c r="O385" s="18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>
      <c r="A386" s="1"/>
      <c r="B386" s="1"/>
      <c r="C386" s="18"/>
      <c r="D386" s="47"/>
      <c r="E386" s="18"/>
      <c r="F386" s="18"/>
      <c r="G386" s="18"/>
      <c r="H386" s="18"/>
      <c r="I386" s="25"/>
      <c r="J386" s="18"/>
      <c r="K386" s="18"/>
      <c r="L386" s="18"/>
      <c r="M386" s="18"/>
      <c r="N386" s="18"/>
      <c r="O386" s="18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>
      <c r="A387" s="1"/>
      <c r="B387" s="1"/>
      <c r="C387" s="18"/>
      <c r="D387" s="47"/>
      <c r="E387" s="18"/>
      <c r="F387" s="18"/>
      <c r="G387" s="18"/>
      <c r="H387" s="18"/>
      <c r="I387" s="25"/>
      <c r="J387" s="18"/>
      <c r="K387" s="18"/>
      <c r="L387" s="18"/>
      <c r="M387" s="18"/>
      <c r="N387" s="18"/>
      <c r="O387" s="18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>
      <c r="A388" s="1"/>
      <c r="B388" s="1"/>
      <c r="C388" s="18"/>
      <c r="D388" s="47"/>
      <c r="E388" s="18"/>
      <c r="F388" s="18"/>
      <c r="G388" s="18"/>
      <c r="H388" s="18"/>
      <c r="I388" s="25"/>
      <c r="J388" s="18"/>
      <c r="K388" s="18"/>
      <c r="L388" s="18"/>
      <c r="M388" s="18"/>
      <c r="N388" s="18"/>
      <c r="O388" s="18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>
      <c r="A389" s="1"/>
      <c r="B389" s="1"/>
      <c r="C389" s="18"/>
      <c r="D389" s="47"/>
      <c r="E389" s="18"/>
      <c r="F389" s="18"/>
      <c r="G389" s="18"/>
      <c r="H389" s="18"/>
      <c r="I389" s="25"/>
      <c r="J389" s="18"/>
      <c r="K389" s="18"/>
      <c r="L389" s="18"/>
      <c r="M389" s="18"/>
      <c r="N389" s="18"/>
      <c r="O389" s="18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>
      <c r="A390" s="1"/>
      <c r="B390" s="1"/>
      <c r="C390" s="18"/>
      <c r="D390" s="47"/>
      <c r="E390" s="18"/>
      <c r="F390" s="18"/>
      <c r="G390" s="18"/>
      <c r="H390" s="18"/>
      <c r="I390" s="25"/>
      <c r="J390" s="18"/>
      <c r="K390" s="18"/>
      <c r="L390" s="18"/>
      <c r="M390" s="18"/>
      <c r="N390" s="18"/>
      <c r="O390" s="18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>
      <c r="A391" s="1"/>
      <c r="B391" s="1"/>
      <c r="C391" s="18"/>
      <c r="D391" s="47"/>
      <c r="E391" s="18"/>
      <c r="F391" s="18"/>
      <c r="G391" s="18"/>
      <c r="H391" s="18"/>
      <c r="I391" s="25"/>
      <c r="J391" s="18"/>
      <c r="K391" s="18"/>
      <c r="L391" s="18"/>
      <c r="M391" s="18"/>
      <c r="N391" s="18"/>
      <c r="O391" s="18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>
      <c r="A392" s="1"/>
      <c r="B392" s="1"/>
      <c r="C392" s="18"/>
      <c r="D392" s="47"/>
      <c r="E392" s="18"/>
      <c r="F392" s="18"/>
      <c r="G392" s="18"/>
      <c r="H392" s="18"/>
      <c r="I392" s="25"/>
      <c r="J392" s="18"/>
      <c r="K392" s="18"/>
      <c r="L392" s="18"/>
      <c r="M392" s="18"/>
      <c r="N392" s="18"/>
      <c r="O392" s="18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>
      <c r="A393" s="1"/>
      <c r="B393" s="1"/>
      <c r="C393" s="18"/>
      <c r="D393" s="47"/>
      <c r="E393" s="18"/>
      <c r="F393" s="18"/>
      <c r="G393" s="18"/>
      <c r="H393" s="18"/>
      <c r="I393" s="25"/>
      <c r="J393" s="18"/>
      <c r="K393" s="18"/>
      <c r="L393" s="18"/>
      <c r="M393" s="18"/>
      <c r="N393" s="18"/>
      <c r="O393" s="18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>
      <c r="A394" s="1"/>
      <c r="B394" s="1"/>
      <c r="C394" s="18"/>
      <c r="D394" s="47"/>
      <c r="E394" s="18"/>
      <c r="F394" s="18"/>
      <c r="G394" s="18"/>
      <c r="H394" s="18"/>
      <c r="I394" s="25"/>
      <c r="J394" s="18"/>
      <c r="K394" s="18"/>
      <c r="L394" s="18"/>
      <c r="M394" s="18"/>
      <c r="N394" s="18"/>
      <c r="O394" s="18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>
      <c r="A395" s="1"/>
      <c r="B395" s="1"/>
      <c r="C395" s="18"/>
      <c r="D395" s="47"/>
      <c r="E395" s="18"/>
      <c r="F395" s="18"/>
      <c r="G395" s="18"/>
      <c r="H395" s="18"/>
      <c r="I395" s="25"/>
      <c r="J395" s="18"/>
      <c r="K395" s="18"/>
      <c r="L395" s="18"/>
      <c r="M395" s="18"/>
      <c r="N395" s="18"/>
      <c r="O395" s="18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>
      <c r="A396" s="1"/>
      <c r="B396" s="1"/>
      <c r="C396" s="18"/>
      <c r="D396" s="47"/>
      <c r="E396" s="18"/>
      <c r="F396" s="18"/>
      <c r="G396" s="18"/>
      <c r="H396" s="18"/>
      <c r="I396" s="25"/>
      <c r="J396" s="18"/>
      <c r="K396" s="18"/>
      <c r="L396" s="18"/>
      <c r="M396" s="18"/>
      <c r="N396" s="18"/>
      <c r="O396" s="18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>
      <c r="A397" s="1"/>
      <c r="B397" s="1"/>
      <c r="C397" s="18"/>
      <c r="D397" s="47"/>
      <c r="E397" s="18"/>
      <c r="F397" s="18"/>
      <c r="G397" s="18"/>
      <c r="H397" s="18"/>
      <c r="I397" s="25"/>
      <c r="J397" s="18"/>
      <c r="K397" s="18"/>
      <c r="L397" s="18"/>
      <c r="M397" s="18"/>
      <c r="N397" s="18"/>
      <c r="O397" s="18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>
      <c r="A398" s="1"/>
      <c r="B398" s="1"/>
      <c r="C398" s="18"/>
      <c r="D398" s="47"/>
      <c r="E398" s="18"/>
      <c r="F398" s="18"/>
      <c r="G398" s="18"/>
      <c r="H398" s="18"/>
      <c r="I398" s="25"/>
      <c r="J398" s="18"/>
      <c r="K398" s="18"/>
      <c r="L398" s="18"/>
      <c r="M398" s="18"/>
      <c r="N398" s="18"/>
      <c r="O398" s="18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>
      <c r="A399" s="1"/>
      <c r="B399" s="1"/>
      <c r="C399" s="18"/>
      <c r="D399" s="47"/>
      <c r="E399" s="18"/>
      <c r="F399" s="18"/>
      <c r="G399" s="18"/>
      <c r="H399" s="18"/>
      <c r="I399" s="25"/>
      <c r="J399" s="18"/>
      <c r="K399" s="18"/>
      <c r="L399" s="18"/>
      <c r="M399" s="18"/>
      <c r="N399" s="18"/>
      <c r="O399" s="18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>
      <c r="A400" s="1"/>
      <c r="B400" s="1"/>
      <c r="C400" s="18"/>
      <c r="D400" s="47"/>
      <c r="E400" s="18"/>
      <c r="F400" s="18"/>
      <c r="G400" s="18"/>
      <c r="H400" s="18"/>
      <c r="I400" s="25"/>
      <c r="J400" s="18"/>
      <c r="K400" s="18"/>
      <c r="L400" s="18"/>
      <c r="M400" s="18"/>
      <c r="N400" s="18"/>
      <c r="O400" s="18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>
      <c r="A401" s="1"/>
      <c r="B401" s="1"/>
      <c r="C401" s="18"/>
      <c r="D401" s="47"/>
      <c r="E401" s="18"/>
      <c r="F401" s="18"/>
      <c r="G401" s="18"/>
      <c r="H401" s="18"/>
      <c r="I401" s="25"/>
      <c r="J401" s="18"/>
      <c r="K401" s="18"/>
      <c r="L401" s="18"/>
      <c r="M401" s="18"/>
      <c r="N401" s="18"/>
      <c r="O401" s="18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>
      <c r="A402" s="1"/>
      <c r="B402" s="1"/>
      <c r="C402" s="18"/>
      <c r="D402" s="47"/>
      <c r="E402" s="18"/>
      <c r="F402" s="18"/>
      <c r="G402" s="18"/>
      <c r="H402" s="18"/>
      <c r="I402" s="25"/>
      <c r="J402" s="18"/>
      <c r="K402" s="18"/>
      <c r="L402" s="18"/>
      <c r="M402" s="18"/>
      <c r="N402" s="18"/>
      <c r="O402" s="18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>
      <c r="A403" s="1"/>
      <c r="B403" s="1"/>
      <c r="C403" s="18"/>
      <c r="D403" s="47"/>
      <c r="E403" s="18"/>
      <c r="F403" s="18"/>
      <c r="G403" s="18"/>
      <c r="H403" s="18"/>
      <c r="I403" s="25"/>
      <c r="J403" s="18"/>
      <c r="K403" s="18"/>
      <c r="L403" s="18"/>
      <c r="M403" s="18"/>
      <c r="N403" s="18"/>
      <c r="O403" s="18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>
      <c r="A404" s="1"/>
      <c r="B404" s="1"/>
      <c r="C404" s="18"/>
      <c r="D404" s="47"/>
      <c r="E404" s="18"/>
      <c r="F404" s="18"/>
      <c r="G404" s="18"/>
      <c r="H404" s="18"/>
      <c r="I404" s="25"/>
      <c r="J404" s="18"/>
      <c r="K404" s="18"/>
      <c r="L404" s="18"/>
      <c r="M404" s="18"/>
      <c r="N404" s="18"/>
      <c r="O404" s="18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>
      <c r="A405" s="1"/>
      <c r="B405" s="1"/>
      <c r="C405" s="18"/>
      <c r="D405" s="47"/>
      <c r="E405" s="18"/>
      <c r="F405" s="18"/>
      <c r="G405" s="18"/>
      <c r="H405" s="18"/>
      <c r="I405" s="25"/>
      <c r="J405" s="18"/>
      <c r="K405" s="18"/>
      <c r="L405" s="18"/>
      <c r="M405" s="18"/>
      <c r="N405" s="18"/>
      <c r="O405" s="18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>
      <c r="A406" s="1"/>
      <c r="B406" s="1"/>
      <c r="C406" s="18"/>
      <c r="D406" s="47"/>
      <c r="E406" s="18"/>
      <c r="F406" s="18"/>
      <c r="G406" s="18"/>
      <c r="H406" s="18"/>
      <c r="I406" s="25"/>
      <c r="J406" s="18"/>
      <c r="K406" s="18"/>
      <c r="L406" s="18"/>
      <c r="M406" s="18"/>
      <c r="N406" s="18"/>
      <c r="O406" s="18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>
      <c r="A407" s="1"/>
      <c r="B407" s="1"/>
      <c r="C407" s="18"/>
      <c r="D407" s="47"/>
      <c r="E407" s="18"/>
      <c r="F407" s="18"/>
      <c r="G407" s="18"/>
      <c r="H407" s="18"/>
      <c r="I407" s="25"/>
      <c r="J407" s="18"/>
      <c r="K407" s="18"/>
      <c r="L407" s="18"/>
      <c r="M407" s="18"/>
      <c r="N407" s="18"/>
      <c r="O407" s="18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>
      <c r="A408" s="1"/>
      <c r="B408" s="1"/>
      <c r="C408" s="18"/>
      <c r="D408" s="47"/>
      <c r="E408" s="18"/>
      <c r="F408" s="18"/>
      <c r="G408" s="18"/>
      <c r="H408" s="18"/>
      <c r="I408" s="25"/>
      <c r="J408" s="18"/>
      <c r="K408" s="18"/>
      <c r="L408" s="18"/>
      <c r="M408" s="18"/>
      <c r="N408" s="18"/>
      <c r="O408" s="18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>
      <c r="A409" s="1"/>
      <c r="B409" s="1"/>
      <c r="C409" s="18"/>
      <c r="D409" s="47"/>
      <c r="E409" s="18"/>
      <c r="F409" s="18"/>
      <c r="G409" s="18"/>
      <c r="H409" s="18"/>
      <c r="I409" s="25"/>
      <c r="J409" s="18"/>
      <c r="K409" s="18"/>
      <c r="L409" s="18"/>
      <c r="M409" s="18"/>
      <c r="N409" s="18"/>
      <c r="O409" s="18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>
      <c r="A410" s="1"/>
      <c r="B410" s="1"/>
      <c r="C410" s="18"/>
      <c r="D410" s="47"/>
      <c r="E410" s="18"/>
      <c r="F410" s="18"/>
      <c r="G410" s="18"/>
      <c r="H410" s="18"/>
      <c r="I410" s="25"/>
      <c r="J410" s="18"/>
      <c r="K410" s="18"/>
      <c r="L410" s="18"/>
      <c r="M410" s="18"/>
      <c r="N410" s="18"/>
      <c r="O410" s="18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>
      <c r="A411" s="1"/>
      <c r="B411" s="1"/>
      <c r="C411" s="18"/>
      <c r="D411" s="47"/>
      <c r="E411" s="18"/>
      <c r="F411" s="18"/>
      <c r="G411" s="18"/>
      <c r="H411" s="18"/>
      <c r="I411" s="25"/>
      <c r="J411" s="18"/>
      <c r="K411" s="18"/>
      <c r="L411" s="18"/>
      <c r="M411" s="18"/>
      <c r="N411" s="18"/>
      <c r="O411" s="18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>
      <c r="A412" s="1"/>
      <c r="B412" s="1"/>
      <c r="C412" s="18"/>
      <c r="D412" s="47"/>
      <c r="E412" s="18"/>
      <c r="F412" s="18"/>
      <c r="G412" s="18"/>
      <c r="H412" s="18"/>
      <c r="I412" s="25"/>
      <c r="J412" s="18"/>
      <c r="K412" s="18"/>
      <c r="L412" s="18"/>
      <c r="M412" s="18"/>
      <c r="N412" s="18"/>
      <c r="O412" s="18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>
      <c r="A413" s="1"/>
      <c r="B413" s="1"/>
      <c r="C413" s="18"/>
      <c r="D413" s="47"/>
      <c r="E413" s="18"/>
      <c r="F413" s="18"/>
      <c r="G413" s="18"/>
      <c r="H413" s="18"/>
      <c r="I413" s="25"/>
      <c r="J413" s="18"/>
      <c r="K413" s="18"/>
      <c r="L413" s="18"/>
      <c r="M413" s="18"/>
      <c r="N413" s="18"/>
      <c r="O413" s="18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>
      <c r="A414" s="1"/>
      <c r="B414" s="1"/>
      <c r="C414" s="18"/>
      <c r="D414" s="47"/>
      <c r="E414" s="18"/>
      <c r="F414" s="18"/>
      <c r="G414" s="18"/>
      <c r="H414" s="18"/>
      <c r="I414" s="25"/>
      <c r="J414" s="18"/>
      <c r="K414" s="18"/>
      <c r="L414" s="18"/>
      <c r="M414" s="18"/>
      <c r="N414" s="18"/>
      <c r="O414" s="18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>
      <c r="A415" s="1"/>
      <c r="B415" s="1"/>
      <c r="C415" s="18"/>
      <c r="D415" s="47"/>
      <c r="E415" s="18"/>
      <c r="F415" s="18"/>
      <c r="G415" s="18"/>
      <c r="H415" s="18"/>
      <c r="I415" s="25"/>
      <c r="J415" s="18"/>
      <c r="K415" s="18"/>
      <c r="L415" s="18"/>
      <c r="M415" s="18"/>
      <c r="N415" s="18"/>
      <c r="O415" s="18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>
      <c r="A416" s="1"/>
      <c r="B416" s="1"/>
      <c r="C416" s="18"/>
      <c r="D416" s="47"/>
      <c r="E416" s="18"/>
      <c r="F416" s="18"/>
      <c r="G416" s="18"/>
      <c r="H416" s="18"/>
      <c r="I416" s="25"/>
      <c r="J416" s="18"/>
      <c r="K416" s="18"/>
      <c r="L416" s="18"/>
      <c r="M416" s="18"/>
      <c r="N416" s="18"/>
      <c r="O416" s="18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>
      <c r="A417" s="1"/>
      <c r="B417" s="1"/>
      <c r="C417" s="18"/>
      <c r="D417" s="47"/>
      <c r="E417" s="18"/>
      <c r="F417" s="18"/>
      <c r="G417" s="18"/>
      <c r="H417" s="18"/>
      <c r="I417" s="25"/>
      <c r="J417" s="18"/>
      <c r="K417" s="18"/>
      <c r="L417" s="18"/>
      <c r="M417" s="18"/>
      <c r="N417" s="18"/>
      <c r="O417" s="18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>
      <c r="A418" s="1"/>
      <c r="B418" s="1"/>
      <c r="C418" s="18"/>
      <c r="D418" s="47"/>
      <c r="E418" s="18"/>
      <c r="F418" s="18"/>
      <c r="G418" s="18"/>
      <c r="H418" s="18"/>
      <c r="I418" s="25"/>
      <c r="J418" s="18"/>
      <c r="K418" s="18"/>
      <c r="L418" s="18"/>
      <c r="M418" s="18"/>
      <c r="N418" s="18"/>
      <c r="O418" s="18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>
      <c r="A419" s="1"/>
      <c r="B419" s="1"/>
      <c r="C419" s="18"/>
      <c r="D419" s="47"/>
      <c r="E419" s="18"/>
      <c r="F419" s="18"/>
      <c r="G419" s="18"/>
      <c r="H419" s="18"/>
      <c r="I419" s="25"/>
      <c r="J419" s="18"/>
      <c r="K419" s="18"/>
      <c r="L419" s="18"/>
      <c r="M419" s="18"/>
      <c r="N419" s="18"/>
      <c r="O419" s="18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>
      <c r="A420" s="1"/>
      <c r="B420" s="1"/>
      <c r="C420" s="18"/>
      <c r="D420" s="47"/>
      <c r="E420" s="18"/>
      <c r="F420" s="18"/>
      <c r="G420" s="18"/>
      <c r="H420" s="18"/>
      <c r="I420" s="25"/>
      <c r="J420" s="18"/>
      <c r="K420" s="18"/>
      <c r="L420" s="18"/>
      <c r="M420" s="18"/>
      <c r="N420" s="18"/>
      <c r="O420" s="18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>
      <c r="A421" s="1"/>
      <c r="B421" s="1"/>
      <c r="C421" s="18"/>
      <c r="D421" s="47"/>
      <c r="E421" s="18"/>
      <c r="F421" s="18"/>
      <c r="G421" s="18"/>
      <c r="H421" s="18"/>
      <c r="I421" s="25"/>
      <c r="J421" s="18"/>
      <c r="K421" s="18"/>
      <c r="L421" s="18"/>
      <c r="M421" s="18"/>
      <c r="N421" s="18"/>
      <c r="O421" s="18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>
      <c r="A422" s="1"/>
      <c r="B422" s="1"/>
      <c r="C422" s="18"/>
      <c r="D422" s="47"/>
      <c r="E422" s="18"/>
      <c r="F422" s="18"/>
      <c r="G422" s="18"/>
      <c r="H422" s="18"/>
      <c r="I422" s="25"/>
      <c r="J422" s="18"/>
      <c r="K422" s="18"/>
      <c r="L422" s="18"/>
      <c r="M422" s="18"/>
      <c r="N422" s="18"/>
      <c r="O422" s="18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>
      <c r="A423" s="1"/>
      <c r="B423" s="1"/>
      <c r="C423" s="18"/>
      <c r="D423" s="47"/>
      <c r="E423" s="18"/>
      <c r="F423" s="18"/>
      <c r="G423" s="18"/>
      <c r="H423" s="18"/>
      <c r="I423" s="25"/>
      <c r="J423" s="18"/>
      <c r="K423" s="18"/>
      <c r="L423" s="18"/>
      <c r="M423" s="18"/>
      <c r="N423" s="18"/>
      <c r="O423" s="18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>
      <c r="A424" s="1"/>
      <c r="B424" s="1"/>
      <c r="C424" s="18"/>
      <c r="D424" s="47"/>
      <c r="E424" s="18"/>
      <c r="F424" s="18"/>
      <c r="G424" s="18"/>
      <c r="H424" s="18"/>
      <c r="I424" s="25"/>
      <c r="J424" s="18"/>
      <c r="K424" s="18"/>
      <c r="L424" s="18"/>
      <c r="M424" s="18"/>
      <c r="N424" s="18"/>
      <c r="O424" s="18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>
      <c r="A425" s="1"/>
      <c r="B425" s="1"/>
      <c r="C425" s="18"/>
      <c r="D425" s="47"/>
      <c r="E425" s="18"/>
      <c r="F425" s="18"/>
      <c r="G425" s="18"/>
      <c r="H425" s="18"/>
      <c r="I425" s="25"/>
      <c r="J425" s="18"/>
      <c r="K425" s="18"/>
      <c r="L425" s="18"/>
      <c r="M425" s="18"/>
      <c r="N425" s="18"/>
      <c r="O425" s="18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>
      <c r="A426" s="1"/>
      <c r="B426" s="1"/>
      <c r="C426" s="18"/>
      <c r="D426" s="47"/>
      <c r="E426" s="18"/>
      <c r="F426" s="18"/>
      <c r="G426" s="18"/>
      <c r="H426" s="18"/>
      <c r="I426" s="25"/>
      <c r="J426" s="18"/>
      <c r="K426" s="18"/>
      <c r="L426" s="18"/>
      <c r="M426" s="18"/>
      <c r="N426" s="18"/>
      <c r="O426" s="18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>
      <c r="A427" s="1"/>
      <c r="B427" s="1"/>
      <c r="C427" s="18"/>
      <c r="D427" s="47"/>
      <c r="E427" s="18"/>
      <c r="F427" s="18"/>
      <c r="G427" s="18"/>
      <c r="H427" s="18"/>
      <c r="I427" s="25"/>
      <c r="J427" s="18"/>
      <c r="K427" s="18"/>
      <c r="L427" s="18"/>
      <c r="M427" s="18"/>
      <c r="N427" s="18"/>
      <c r="O427" s="18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>
      <c r="A428" s="1"/>
      <c r="B428" s="1"/>
      <c r="C428" s="18"/>
      <c r="D428" s="47"/>
      <c r="E428" s="18"/>
      <c r="F428" s="18"/>
      <c r="G428" s="18"/>
      <c r="H428" s="18"/>
      <c r="I428" s="25"/>
      <c r="J428" s="18"/>
      <c r="K428" s="18"/>
      <c r="L428" s="18"/>
      <c r="M428" s="18"/>
      <c r="N428" s="18"/>
      <c r="O428" s="18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>
      <c r="A429" s="1"/>
      <c r="B429" s="1"/>
      <c r="C429" s="18"/>
      <c r="D429" s="47"/>
      <c r="E429" s="18"/>
      <c r="F429" s="18"/>
      <c r="G429" s="18"/>
      <c r="H429" s="18"/>
      <c r="I429" s="25"/>
      <c r="J429" s="18"/>
      <c r="K429" s="18"/>
      <c r="L429" s="18"/>
      <c r="M429" s="18"/>
      <c r="N429" s="18"/>
      <c r="O429" s="18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>
      <c r="A430" s="1"/>
      <c r="B430" s="1"/>
      <c r="C430" s="18"/>
      <c r="D430" s="47"/>
      <c r="E430" s="18"/>
      <c r="F430" s="18"/>
      <c r="G430" s="18"/>
      <c r="H430" s="18"/>
      <c r="I430" s="25"/>
      <c r="J430" s="18"/>
      <c r="K430" s="18"/>
      <c r="L430" s="18"/>
      <c r="M430" s="18"/>
      <c r="N430" s="18"/>
      <c r="O430" s="18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>
      <c r="A431" s="1"/>
      <c r="B431" s="1"/>
      <c r="C431" s="18"/>
      <c r="D431" s="47"/>
      <c r="E431" s="18"/>
      <c r="F431" s="18"/>
      <c r="G431" s="18"/>
      <c r="H431" s="18"/>
      <c r="I431" s="25"/>
      <c r="J431" s="18"/>
      <c r="K431" s="18"/>
      <c r="L431" s="18"/>
      <c r="M431" s="18"/>
      <c r="N431" s="18"/>
      <c r="O431" s="18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>
      <c r="A432" s="1"/>
      <c r="B432" s="1"/>
      <c r="C432" s="18"/>
      <c r="D432" s="47"/>
      <c r="E432" s="18"/>
      <c r="F432" s="18"/>
      <c r="G432" s="18"/>
      <c r="H432" s="18"/>
      <c r="I432" s="25"/>
      <c r="J432" s="18"/>
      <c r="K432" s="18"/>
      <c r="L432" s="18"/>
      <c r="M432" s="18"/>
      <c r="N432" s="18"/>
      <c r="O432" s="18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>
      <c r="A433" s="1"/>
      <c r="B433" s="1"/>
      <c r="C433" s="18"/>
      <c r="D433" s="47"/>
      <c r="E433" s="18"/>
      <c r="F433" s="18"/>
      <c r="G433" s="18"/>
      <c r="H433" s="18"/>
      <c r="I433" s="25"/>
      <c r="J433" s="18"/>
      <c r="K433" s="18"/>
      <c r="L433" s="18"/>
      <c r="M433" s="18"/>
      <c r="N433" s="18"/>
      <c r="O433" s="18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>
      <c r="A434" s="1"/>
      <c r="B434" s="1"/>
      <c r="C434" s="18"/>
      <c r="D434" s="47"/>
      <c r="E434" s="18"/>
      <c r="F434" s="18"/>
      <c r="G434" s="18"/>
      <c r="H434" s="18"/>
      <c r="I434" s="25"/>
      <c r="J434" s="18"/>
      <c r="K434" s="18"/>
      <c r="L434" s="18"/>
      <c r="M434" s="18"/>
      <c r="N434" s="18"/>
      <c r="O434" s="18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>
      <c r="A435" s="1"/>
      <c r="B435" s="1"/>
      <c r="C435" s="18"/>
      <c r="D435" s="47"/>
      <c r="E435" s="18"/>
      <c r="F435" s="18"/>
      <c r="G435" s="18"/>
      <c r="H435" s="18"/>
      <c r="I435" s="25"/>
      <c r="J435" s="18"/>
      <c r="K435" s="18"/>
      <c r="L435" s="18"/>
      <c r="M435" s="18"/>
      <c r="N435" s="18"/>
      <c r="O435" s="18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>
      <c r="A436" s="1"/>
      <c r="B436" s="1"/>
      <c r="C436" s="18"/>
      <c r="D436" s="47"/>
      <c r="E436" s="18"/>
      <c r="F436" s="18"/>
      <c r="G436" s="18"/>
      <c r="H436" s="18"/>
      <c r="I436" s="25"/>
      <c r="J436" s="18"/>
      <c r="K436" s="18"/>
      <c r="L436" s="18"/>
      <c r="M436" s="18"/>
      <c r="N436" s="18"/>
      <c r="O436" s="18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>
      <c r="A437" s="1"/>
      <c r="B437" s="1"/>
      <c r="C437" s="18"/>
      <c r="D437" s="47"/>
      <c r="E437" s="18"/>
      <c r="F437" s="18"/>
      <c r="G437" s="18"/>
      <c r="H437" s="18"/>
      <c r="I437" s="25"/>
      <c r="J437" s="18"/>
      <c r="K437" s="18"/>
      <c r="L437" s="18"/>
      <c r="M437" s="18"/>
      <c r="N437" s="18"/>
      <c r="O437" s="18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>
      <c r="A438" s="1"/>
      <c r="B438" s="1"/>
      <c r="C438" s="18"/>
      <c r="D438" s="47"/>
      <c r="E438" s="18"/>
      <c r="F438" s="18"/>
      <c r="G438" s="18"/>
      <c r="H438" s="18"/>
      <c r="I438" s="25"/>
      <c r="J438" s="18"/>
      <c r="K438" s="18"/>
      <c r="L438" s="18"/>
      <c r="M438" s="18"/>
      <c r="N438" s="18"/>
      <c r="O438" s="18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>
      <c r="A439" s="1"/>
      <c r="B439" s="1"/>
      <c r="C439" s="18"/>
      <c r="D439" s="47"/>
      <c r="E439" s="18"/>
      <c r="F439" s="18"/>
      <c r="G439" s="18"/>
      <c r="H439" s="18"/>
      <c r="I439" s="25"/>
      <c r="J439" s="18"/>
      <c r="K439" s="18"/>
      <c r="L439" s="18"/>
      <c r="M439" s="18"/>
      <c r="N439" s="18"/>
      <c r="O439" s="18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>
      <c r="A440" s="1"/>
      <c r="B440" s="1"/>
      <c r="C440" s="18"/>
      <c r="D440" s="47"/>
      <c r="E440" s="18"/>
      <c r="F440" s="18"/>
      <c r="G440" s="18"/>
      <c r="H440" s="18"/>
      <c r="I440" s="25"/>
      <c r="J440" s="18"/>
      <c r="K440" s="18"/>
      <c r="L440" s="18"/>
      <c r="M440" s="18"/>
      <c r="N440" s="18"/>
      <c r="O440" s="18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>
      <c r="A441" s="1"/>
      <c r="B441" s="1"/>
      <c r="C441" s="18"/>
      <c r="D441" s="47"/>
      <c r="E441" s="18"/>
      <c r="F441" s="18"/>
      <c r="G441" s="18"/>
      <c r="H441" s="18"/>
      <c r="I441" s="25"/>
      <c r="J441" s="18"/>
      <c r="K441" s="18"/>
      <c r="L441" s="18"/>
      <c r="M441" s="18"/>
      <c r="N441" s="18"/>
      <c r="O441" s="18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>
      <c r="A442" s="1"/>
      <c r="B442" s="1"/>
      <c r="C442" s="18"/>
      <c r="D442" s="47"/>
      <c r="E442" s="18"/>
      <c r="F442" s="18"/>
      <c r="G442" s="18"/>
      <c r="H442" s="18"/>
      <c r="I442" s="25"/>
      <c r="J442" s="18"/>
      <c r="K442" s="18"/>
      <c r="L442" s="18"/>
      <c r="M442" s="18"/>
      <c r="N442" s="18"/>
      <c r="O442" s="18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>
      <c r="A443" s="1"/>
      <c r="B443" s="1"/>
      <c r="C443" s="18"/>
      <c r="D443" s="47"/>
      <c r="E443" s="18"/>
      <c r="F443" s="18"/>
      <c r="G443" s="18"/>
      <c r="H443" s="18"/>
      <c r="I443" s="25"/>
      <c r="J443" s="18"/>
      <c r="K443" s="18"/>
      <c r="L443" s="18"/>
      <c r="M443" s="18"/>
      <c r="N443" s="18"/>
      <c r="O443" s="18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>
      <c r="A444" s="1"/>
      <c r="B444" s="1"/>
      <c r="C444" s="18"/>
      <c r="D444" s="47"/>
      <c r="E444" s="18"/>
      <c r="F444" s="18"/>
      <c r="G444" s="18"/>
      <c r="H444" s="18"/>
      <c r="I444" s="25"/>
      <c r="J444" s="18"/>
      <c r="K444" s="18"/>
      <c r="L444" s="18"/>
      <c r="M444" s="18"/>
      <c r="N444" s="18"/>
      <c r="O444" s="18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>
      <c r="A445" s="1"/>
      <c r="B445" s="1"/>
      <c r="C445" s="18"/>
      <c r="D445" s="47"/>
      <c r="E445" s="18"/>
      <c r="F445" s="18"/>
      <c r="G445" s="18"/>
      <c r="H445" s="18"/>
      <c r="I445" s="25"/>
      <c r="J445" s="18"/>
      <c r="K445" s="18"/>
      <c r="L445" s="18"/>
      <c r="M445" s="18"/>
      <c r="N445" s="18"/>
      <c r="O445" s="18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>
      <c r="A446" s="1"/>
      <c r="B446" s="1"/>
      <c r="C446" s="18"/>
      <c r="D446" s="47"/>
      <c r="E446" s="18"/>
      <c r="F446" s="18"/>
      <c r="G446" s="18"/>
      <c r="H446" s="18"/>
      <c r="I446" s="25"/>
      <c r="J446" s="18"/>
      <c r="K446" s="18"/>
      <c r="L446" s="18"/>
      <c r="M446" s="18"/>
      <c r="N446" s="18"/>
      <c r="O446" s="18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>
      <c r="A447" s="1"/>
      <c r="B447" s="1"/>
      <c r="C447" s="18"/>
      <c r="D447" s="47"/>
      <c r="E447" s="18"/>
      <c r="F447" s="18"/>
      <c r="G447" s="18"/>
      <c r="H447" s="18"/>
      <c r="I447" s="25"/>
      <c r="J447" s="18"/>
      <c r="K447" s="18"/>
      <c r="L447" s="18"/>
      <c r="M447" s="18"/>
      <c r="N447" s="18"/>
      <c r="O447" s="18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>
      <c r="A448" s="1"/>
      <c r="B448" s="1"/>
      <c r="C448" s="18"/>
      <c r="D448" s="47"/>
      <c r="E448" s="18"/>
      <c r="F448" s="18"/>
      <c r="G448" s="18"/>
      <c r="H448" s="18"/>
      <c r="I448" s="25"/>
      <c r="J448" s="18"/>
      <c r="K448" s="18"/>
      <c r="L448" s="18"/>
      <c r="M448" s="18"/>
      <c r="N448" s="18"/>
      <c r="O448" s="18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>
      <c r="A449" s="1"/>
      <c r="B449" s="1"/>
      <c r="C449" s="18"/>
      <c r="D449" s="47"/>
      <c r="E449" s="18"/>
      <c r="F449" s="18"/>
      <c r="G449" s="18"/>
      <c r="H449" s="18"/>
      <c r="I449" s="25"/>
      <c r="J449" s="18"/>
      <c r="K449" s="18"/>
      <c r="L449" s="18"/>
      <c r="M449" s="18"/>
      <c r="N449" s="18"/>
      <c r="O449" s="18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>
      <c r="A450" s="1"/>
      <c r="B450" s="1"/>
      <c r="C450" s="18"/>
      <c r="D450" s="47"/>
      <c r="E450" s="18"/>
      <c r="F450" s="18"/>
      <c r="G450" s="18"/>
      <c r="H450" s="18"/>
      <c r="I450" s="25"/>
      <c r="J450" s="18"/>
      <c r="K450" s="18"/>
      <c r="L450" s="18"/>
      <c r="M450" s="18"/>
      <c r="N450" s="18"/>
      <c r="O450" s="18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>
      <c r="A451" s="1"/>
      <c r="B451" s="1"/>
      <c r="C451" s="18"/>
      <c r="D451" s="47"/>
      <c r="E451" s="18"/>
      <c r="F451" s="18"/>
      <c r="G451" s="18"/>
      <c r="H451" s="18"/>
      <c r="I451" s="25"/>
      <c r="J451" s="18"/>
      <c r="K451" s="18"/>
      <c r="L451" s="18"/>
      <c r="M451" s="18"/>
      <c r="N451" s="18"/>
      <c r="O451" s="18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>
      <c r="A452" s="1"/>
      <c r="B452" s="1"/>
      <c r="C452" s="18"/>
      <c r="D452" s="47"/>
      <c r="E452" s="18"/>
      <c r="F452" s="18"/>
      <c r="G452" s="18"/>
      <c r="H452" s="18"/>
      <c r="I452" s="25"/>
      <c r="J452" s="18"/>
      <c r="K452" s="18"/>
      <c r="L452" s="18"/>
      <c r="M452" s="18"/>
      <c r="N452" s="18"/>
      <c r="O452" s="18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>
      <c r="A453" s="1"/>
      <c r="B453" s="1"/>
      <c r="C453" s="18"/>
      <c r="D453" s="47"/>
      <c r="E453" s="18"/>
      <c r="F453" s="18"/>
      <c r="G453" s="18"/>
      <c r="H453" s="18"/>
      <c r="I453" s="25"/>
      <c r="J453" s="18"/>
      <c r="K453" s="18"/>
      <c r="L453" s="18"/>
      <c r="M453" s="18"/>
      <c r="N453" s="18"/>
      <c r="O453" s="18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>
      <c r="A454" s="1"/>
      <c r="B454" s="1"/>
      <c r="C454" s="18"/>
      <c r="D454" s="47"/>
      <c r="E454" s="18"/>
      <c r="F454" s="18"/>
      <c r="G454" s="18"/>
      <c r="H454" s="18"/>
      <c r="I454" s="25"/>
      <c r="J454" s="18"/>
      <c r="K454" s="18"/>
      <c r="L454" s="18"/>
      <c r="M454" s="18"/>
      <c r="N454" s="18"/>
      <c r="O454" s="18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>
      <c r="A455" s="1"/>
      <c r="B455" s="1"/>
      <c r="C455" s="18"/>
      <c r="D455" s="47"/>
      <c r="E455" s="18"/>
      <c r="F455" s="18"/>
      <c r="G455" s="18"/>
      <c r="H455" s="18"/>
      <c r="I455" s="25"/>
      <c r="J455" s="18"/>
      <c r="K455" s="18"/>
      <c r="L455" s="18"/>
      <c r="M455" s="18"/>
      <c r="N455" s="18"/>
      <c r="O455" s="18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>
      <c r="A456" s="1"/>
      <c r="B456" s="1"/>
      <c r="C456" s="18"/>
      <c r="D456" s="47"/>
      <c r="E456" s="18"/>
      <c r="F456" s="18"/>
      <c r="G456" s="18"/>
      <c r="H456" s="18"/>
      <c r="I456" s="25"/>
      <c r="J456" s="18"/>
      <c r="K456" s="18"/>
      <c r="L456" s="18"/>
      <c r="M456" s="18"/>
      <c r="N456" s="18"/>
      <c r="O456" s="18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>
      <c r="A457" s="1"/>
      <c r="B457" s="1"/>
      <c r="C457" s="18"/>
      <c r="D457" s="47"/>
      <c r="E457" s="18"/>
      <c r="F457" s="18"/>
      <c r="G457" s="18"/>
      <c r="H457" s="18"/>
      <c r="I457" s="25"/>
      <c r="J457" s="18"/>
      <c r="K457" s="18"/>
      <c r="L457" s="18"/>
      <c r="M457" s="18"/>
      <c r="N457" s="18"/>
      <c r="O457" s="18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>
      <c r="A458" s="1"/>
      <c r="B458" s="1"/>
      <c r="C458" s="18"/>
      <c r="D458" s="47"/>
      <c r="E458" s="18"/>
      <c r="F458" s="18"/>
      <c r="G458" s="18"/>
      <c r="H458" s="18"/>
      <c r="I458" s="25"/>
      <c r="J458" s="18"/>
      <c r="K458" s="18"/>
      <c r="L458" s="18"/>
      <c r="M458" s="18"/>
      <c r="N458" s="18"/>
      <c r="O458" s="18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>
      <c r="A459" s="1"/>
      <c r="B459" s="1"/>
      <c r="C459" s="18"/>
      <c r="D459" s="47"/>
      <c r="E459" s="18"/>
      <c r="F459" s="18"/>
      <c r="G459" s="18"/>
      <c r="H459" s="18"/>
      <c r="I459" s="25"/>
      <c r="J459" s="18"/>
      <c r="K459" s="18"/>
      <c r="L459" s="18"/>
      <c r="M459" s="18"/>
      <c r="N459" s="18"/>
      <c r="O459" s="18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>
      <c r="A460" s="1"/>
      <c r="B460" s="1"/>
      <c r="C460" s="18"/>
      <c r="D460" s="47"/>
      <c r="E460" s="18"/>
      <c r="F460" s="18"/>
      <c r="G460" s="18"/>
      <c r="H460" s="18"/>
      <c r="I460" s="25"/>
      <c r="J460" s="18"/>
      <c r="K460" s="18"/>
      <c r="L460" s="18"/>
      <c r="M460" s="18"/>
      <c r="N460" s="18"/>
      <c r="O460" s="18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>
      <c r="A461" s="1"/>
      <c r="B461" s="1"/>
      <c r="C461" s="18"/>
      <c r="D461" s="47"/>
      <c r="E461" s="18"/>
      <c r="F461" s="18"/>
      <c r="G461" s="18"/>
      <c r="H461" s="18"/>
      <c r="I461" s="25"/>
      <c r="J461" s="18"/>
      <c r="K461" s="18"/>
      <c r="L461" s="18"/>
      <c r="M461" s="18"/>
      <c r="N461" s="18"/>
      <c r="O461" s="18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>
      <c r="A462" s="1"/>
      <c r="B462" s="1"/>
      <c r="C462" s="18"/>
      <c r="D462" s="47"/>
      <c r="E462" s="18"/>
      <c r="F462" s="18"/>
      <c r="G462" s="18"/>
      <c r="H462" s="18"/>
      <c r="I462" s="25"/>
      <c r="J462" s="18"/>
      <c r="K462" s="18"/>
      <c r="L462" s="18"/>
      <c r="M462" s="18"/>
      <c r="N462" s="18"/>
      <c r="O462" s="18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>
      <c r="A463" s="1"/>
      <c r="B463" s="1"/>
      <c r="C463" s="18"/>
      <c r="D463" s="47"/>
      <c r="E463" s="18"/>
      <c r="F463" s="18"/>
      <c r="G463" s="18"/>
      <c r="H463" s="18"/>
      <c r="I463" s="25"/>
      <c r="J463" s="18"/>
      <c r="K463" s="18"/>
      <c r="L463" s="18"/>
      <c r="M463" s="18"/>
      <c r="N463" s="18"/>
      <c r="O463" s="18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>
      <c r="A464" s="1"/>
      <c r="B464" s="1"/>
      <c r="C464" s="18"/>
      <c r="D464" s="47"/>
      <c r="E464" s="18"/>
      <c r="F464" s="18"/>
      <c r="G464" s="18"/>
      <c r="H464" s="18"/>
      <c r="I464" s="25"/>
      <c r="J464" s="18"/>
      <c r="K464" s="18"/>
      <c r="L464" s="18"/>
      <c r="M464" s="18"/>
      <c r="N464" s="18"/>
      <c r="O464" s="18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>
      <c r="A465" s="1"/>
      <c r="B465" s="1"/>
      <c r="C465" s="18"/>
      <c r="D465" s="47"/>
      <c r="E465" s="18"/>
      <c r="F465" s="18"/>
      <c r="G465" s="18"/>
      <c r="H465" s="18"/>
      <c r="I465" s="25"/>
      <c r="J465" s="18"/>
      <c r="K465" s="18"/>
      <c r="L465" s="18"/>
      <c r="M465" s="18"/>
      <c r="N465" s="18"/>
      <c r="O465" s="18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>
      <c r="A466" s="1"/>
      <c r="B466" s="1"/>
      <c r="C466" s="18"/>
      <c r="D466" s="47"/>
      <c r="E466" s="18"/>
      <c r="F466" s="18"/>
      <c r="G466" s="18"/>
      <c r="H466" s="18"/>
      <c r="I466" s="25"/>
      <c r="J466" s="18"/>
      <c r="K466" s="18"/>
      <c r="L466" s="18"/>
      <c r="M466" s="18"/>
      <c r="N466" s="18"/>
      <c r="O466" s="18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>
      <c r="A467" s="1"/>
      <c r="B467" s="1"/>
      <c r="C467" s="18"/>
      <c r="D467" s="47"/>
      <c r="E467" s="18"/>
      <c r="F467" s="18"/>
      <c r="G467" s="18"/>
      <c r="H467" s="18"/>
      <c r="I467" s="25"/>
      <c r="J467" s="18"/>
      <c r="K467" s="18"/>
      <c r="L467" s="18"/>
      <c r="M467" s="18"/>
      <c r="N467" s="18"/>
      <c r="O467" s="18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>
      <c r="A468" s="1"/>
      <c r="B468" s="1"/>
      <c r="C468" s="18"/>
      <c r="D468" s="47"/>
      <c r="E468" s="18"/>
      <c r="F468" s="18"/>
      <c r="G468" s="18"/>
      <c r="H468" s="18"/>
      <c r="I468" s="25"/>
      <c r="J468" s="18"/>
      <c r="K468" s="18"/>
      <c r="L468" s="18"/>
      <c r="M468" s="18"/>
      <c r="N468" s="18"/>
      <c r="O468" s="18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>
      <c r="A469" s="1"/>
      <c r="B469" s="1"/>
      <c r="C469" s="18"/>
      <c r="D469" s="47"/>
      <c r="E469" s="18"/>
      <c r="F469" s="18"/>
      <c r="G469" s="18"/>
      <c r="H469" s="18"/>
      <c r="I469" s="25"/>
      <c r="J469" s="18"/>
      <c r="K469" s="18"/>
      <c r="L469" s="18"/>
      <c r="M469" s="18"/>
      <c r="N469" s="18"/>
      <c r="O469" s="18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>
      <c r="A470" s="1"/>
      <c r="B470" s="1"/>
      <c r="C470" s="18"/>
      <c r="D470" s="47"/>
      <c r="E470" s="18"/>
      <c r="F470" s="18"/>
      <c r="G470" s="18"/>
      <c r="H470" s="18"/>
      <c r="I470" s="25"/>
      <c r="J470" s="18"/>
      <c r="K470" s="18"/>
      <c r="L470" s="18"/>
      <c r="M470" s="18"/>
      <c r="N470" s="18"/>
      <c r="O470" s="18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>
      <c r="A471" s="1"/>
      <c r="B471" s="1"/>
      <c r="C471" s="18"/>
      <c r="D471" s="47"/>
      <c r="E471" s="18"/>
      <c r="F471" s="18"/>
      <c r="G471" s="18"/>
      <c r="H471" s="18"/>
      <c r="I471" s="25"/>
      <c r="J471" s="18"/>
      <c r="K471" s="18"/>
      <c r="L471" s="18"/>
      <c r="M471" s="18"/>
      <c r="N471" s="18"/>
      <c r="O471" s="18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>
      <c r="A472" s="1"/>
      <c r="B472" s="1"/>
      <c r="C472" s="18"/>
      <c r="D472" s="47"/>
      <c r="E472" s="18"/>
      <c r="F472" s="18"/>
      <c r="G472" s="18"/>
      <c r="H472" s="18"/>
      <c r="I472" s="25"/>
      <c r="J472" s="18"/>
      <c r="K472" s="18"/>
      <c r="L472" s="18"/>
      <c r="M472" s="18"/>
      <c r="N472" s="18"/>
      <c r="O472" s="18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>
      <c r="A473" s="1"/>
      <c r="B473" s="1"/>
      <c r="C473" s="18"/>
      <c r="D473" s="47"/>
      <c r="E473" s="18"/>
      <c r="F473" s="18"/>
      <c r="G473" s="18"/>
      <c r="H473" s="18"/>
      <c r="I473" s="25"/>
      <c r="J473" s="18"/>
      <c r="K473" s="18"/>
      <c r="L473" s="18"/>
      <c r="M473" s="18"/>
      <c r="N473" s="18"/>
      <c r="O473" s="18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>
      <c r="A474" s="1"/>
      <c r="B474" s="1"/>
      <c r="C474" s="18"/>
      <c r="D474" s="47"/>
      <c r="E474" s="18"/>
      <c r="F474" s="18"/>
      <c r="G474" s="18"/>
      <c r="H474" s="18"/>
      <c r="I474" s="25"/>
      <c r="J474" s="18"/>
      <c r="K474" s="18"/>
      <c r="L474" s="18"/>
      <c r="M474" s="18"/>
      <c r="N474" s="18"/>
      <c r="O474" s="18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>
      <c r="A475" s="1"/>
      <c r="B475" s="1"/>
      <c r="C475" s="18"/>
      <c r="D475" s="47"/>
      <c r="E475" s="18"/>
      <c r="F475" s="18"/>
      <c r="G475" s="18"/>
      <c r="H475" s="18"/>
      <c r="I475" s="25"/>
      <c r="J475" s="18"/>
      <c r="K475" s="18"/>
      <c r="L475" s="18"/>
      <c r="M475" s="18"/>
      <c r="N475" s="18"/>
      <c r="O475" s="18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>
      <c r="A476" s="1"/>
      <c r="B476" s="1"/>
      <c r="C476" s="18"/>
      <c r="D476" s="47"/>
      <c r="E476" s="18"/>
      <c r="F476" s="18"/>
      <c r="G476" s="18"/>
      <c r="H476" s="18"/>
      <c r="I476" s="25"/>
      <c r="J476" s="18"/>
      <c r="K476" s="18"/>
      <c r="L476" s="18"/>
      <c r="M476" s="18"/>
      <c r="N476" s="18"/>
      <c r="O476" s="18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>
      <c r="A477" s="1"/>
      <c r="B477" s="1"/>
      <c r="C477" s="18"/>
      <c r="D477" s="47"/>
      <c r="E477" s="18"/>
      <c r="F477" s="18"/>
      <c r="G477" s="18"/>
      <c r="H477" s="18"/>
      <c r="I477" s="25"/>
      <c r="J477" s="18"/>
      <c r="K477" s="18"/>
      <c r="L477" s="18"/>
      <c r="M477" s="18"/>
      <c r="N477" s="18"/>
      <c r="O477" s="18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>
      <c r="A478" s="1"/>
      <c r="B478" s="1"/>
      <c r="C478" s="18"/>
      <c r="D478" s="47"/>
      <c r="E478" s="18"/>
      <c r="F478" s="18"/>
      <c r="G478" s="18"/>
      <c r="H478" s="18"/>
      <c r="I478" s="25"/>
      <c r="J478" s="18"/>
      <c r="K478" s="18"/>
      <c r="L478" s="18"/>
      <c r="M478" s="18"/>
      <c r="N478" s="18"/>
      <c r="O478" s="18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>
      <c r="A479" s="1"/>
      <c r="B479" s="1"/>
      <c r="C479" s="18"/>
      <c r="D479" s="47"/>
      <c r="E479" s="18"/>
      <c r="F479" s="18"/>
      <c r="G479" s="18"/>
      <c r="H479" s="18"/>
      <c r="I479" s="25"/>
      <c r="J479" s="18"/>
      <c r="K479" s="18"/>
      <c r="L479" s="18"/>
      <c r="M479" s="18"/>
      <c r="N479" s="18"/>
      <c r="O479" s="18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>
      <c r="A480" s="1"/>
      <c r="B480" s="1"/>
      <c r="C480" s="18"/>
      <c r="D480" s="47"/>
      <c r="E480" s="18"/>
      <c r="F480" s="18"/>
      <c r="G480" s="18"/>
      <c r="H480" s="18"/>
      <c r="I480" s="25"/>
      <c r="J480" s="18"/>
      <c r="K480" s="18"/>
      <c r="L480" s="18"/>
      <c r="M480" s="18"/>
      <c r="N480" s="18"/>
      <c r="O480" s="18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>
      <c r="A481" s="1"/>
      <c r="B481" s="1"/>
      <c r="C481" s="18"/>
      <c r="D481" s="47"/>
      <c r="E481" s="18"/>
      <c r="F481" s="18"/>
      <c r="G481" s="18"/>
      <c r="H481" s="18"/>
      <c r="I481" s="25"/>
      <c r="J481" s="18"/>
      <c r="K481" s="18"/>
      <c r="L481" s="18"/>
      <c r="M481" s="18"/>
      <c r="N481" s="18"/>
      <c r="O481" s="18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>
      <c r="A482" s="1"/>
      <c r="B482" s="1"/>
      <c r="C482" s="18"/>
      <c r="D482" s="47"/>
      <c r="E482" s="18"/>
      <c r="F482" s="18"/>
      <c r="G482" s="18"/>
      <c r="H482" s="18"/>
      <c r="I482" s="25"/>
      <c r="J482" s="18"/>
      <c r="K482" s="18"/>
      <c r="L482" s="18"/>
      <c r="M482" s="18"/>
      <c r="N482" s="18"/>
      <c r="O482" s="18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>
      <c r="A483" s="1"/>
      <c r="B483" s="1"/>
      <c r="C483" s="18"/>
      <c r="D483" s="47"/>
      <c r="E483" s="18"/>
      <c r="F483" s="18"/>
      <c r="G483" s="18"/>
      <c r="H483" s="18"/>
      <c r="I483" s="25"/>
      <c r="J483" s="18"/>
      <c r="K483" s="18"/>
      <c r="L483" s="18"/>
      <c r="M483" s="18"/>
      <c r="N483" s="18"/>
      <c r="O483" s="18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>
      <c r="A484" s="1"/>
      <c r="B484" s="1"/>
      <c r="C484" s="18"/>
      <c r="D484" s="47"/>
      <c r="E484" s="18"/>
      <c r="F484" s="18"/>
      <c r="G484" s="18"/>
      <c r="H484" s="18"/>
      <c r="I484" s="25"/>
      <c r="J484" s="18"/>
      <c r="K484" s="18"/>
      <c r="L484" s="18"/>
      <c r="M484" s="18"/>
      <c r="N484" s="18"/>
      <c r="O484" s="18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>
      <c r="A485" s="1"/>
      <c r="B485" s="1"/>
      <c r="C485" s="18"/>
      <c r="D485" s="47"/>
      <c r="E485" s="18"/>
      <c r="F485" s="18"/>
      <c r="G485" s="18"/>
      <c r="H485" s="18"/>
      <c r="I485" s="25"/>
      <c r="J485" s="18"/>
      <c r="K485" s="18"/>
      <c r="L485" s="18"/>
      <c r="M485" s="18"/>
      <c r="N485" s="18"/>
      <c r="O485" s="18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>
      <c r="A486" s="1"/>
      <c r="B486" s="1"/>
      <c r="C486" s="18"/>
      <c r="D486" s="47"/>
      <c r="E486" s="18"/>
      <c r="F486" s="18"/>
      <c r="G486" s="18"/>
      <c r="H486" s="18"/>
      <c r="I486" s="25"/>
      <c r="J486" s="18"/>
      <c r="K486" s="18"/>
      <c r="L486" s="18"/>
      <c r="M486" s="18"/>
      <c r="N486" s="18"/>
      <c r="O486" s="18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>
      <c r="A487" s="1"/>
      <c r="B487" s="1"/>
      <c r="C487" s="18"/>
      <c r="D487" s="47"/>
      <c r="E487" s="18"/>
      <c r="F487" s="18"/>
      <c r="G487" s="18"/>
      <c r="H487" s="18"/>
      <c r="I487" s="25"/>
      <c r="J487" s="18"/>
      <c r="K487" s="18"/>
      <c r="L487" s="18"/>
      <c r="M487" s="18"/>
      <c r="N487" s="18"/>
      <c r="O487" s="18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>
      <c r="A488" s="1"/>
      <c r="B488" s="1"/>
      <c r="C488" s="18"/>
      <c r="D488" s="47"/>
      <c r="E488" s="18"/>
      <c r="F488" s="18"/>
      <c r="G488" s="18"/>
      <c r="H488" s="18"/>
      <c r="I488" s="25"/>
      <c r="J488" s="18"/>
      <c r="K488" s="18"/>
      <c r="L488" s="18"/>
      <c r="M488" s="18"/>
      <c r="N488" s="18"/>
      <c r="O488" s="18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>
      <c r="A489" s="1"/>
      <c r="B489" s="1"/>
      <c r="C489" s="18"/>
      <c r="D489" s="47"/>
      <c r="E489" s="18"/>
      <c r="F489" s="18"/>
      <c r="G489" s="18"/>
      <c r="H489" s="18"/>
      <c r="I489" s="25"/>
      <c r="J489" s="18"/>
      <c r="K489" s="18"/>
      <c r="L489" s="18"/>
      <c r="M489" s="18"/>
      <c r="N489" s="18"/>
      <c r="O489" s="18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>
      <c r="A490" s="1"/>
      <c r="B490" s="1"/>
      <c r="C490" s="18"/>
      <c r="D490" s="47"/>
      <c r="E490" s="18"/>
      <c r="F490" s="18"/>
      <c r="G490" s="18"/>
      <c r="H490" s="18"/>
      <c r="I490" s="25"/>
      <c r="J490" s="18"/>
      <c r="K490" s="18"/>
      <c r="L490" s="18"/>
      <c r="M490" s="18"/>
      <c r="N490" s="18"/>
      <c r="O490" s="18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>
      <c r="A491" s="1"/>
      <c r="B491" s="1"/>
      <c r="C491" s="18"/>
      <c r="D491" s="47"/>
      <c r="E491" s="18"/>
      <c r="F491" s="18"/>
      <c r="G491" s="18"/>
      <c r="H491" s="18"/>
      <c r="I491" s="25"/>
      <c r="J491" s="18"/>
      <c r="K491" s="18"/>
      <c r="L491" s="18"/>
      <c r="M491" s="18"/>
      <c r="N491" s="18"/>
      <c r="O491" s="18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>
      <c r="A492" s="1"/>
      <c r="B492" s="1"/>
      <c r="C492" s="18"/>
      <c r="D492" s="47"/>
      <c r="E492" s="18"/>
      <c r="F492" s="18"/>
      <c r="G492" s="18"/>
      <c r="H492" s="18"/>
      <c r="I492" s="25"/>
      <c r="J492" s="18"/>
      <c r="K492" s="18"/>
      <c r="L492" s="18"/>
      <c r="M492" s="18"/>
      <c r="N492" s="18"/>
      <c r="O492" s="18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>
      <c r="A493" s="1"/>
      <c r="B493" s="1"/>
      <c r="C493" s="18"/>
      <c r="D493" s="47"/>
      <c r="E493" s="18"/>
      <c r="F493" s="18"/>
      <c r="G493" s="18"/>
      <c r="H493" s="18"/>
      <c r="I493" s="25"/>
      <c r="J493" s="18"/>
      <c r="K493" s="18"/>
      <c r="L493" s="18"/>
      <c r="M493" s="18"/>
      <c r="N493" s="18"/>
      <c r="O493" s="18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>
      <c r="A494" s="1"/>
      <c r="B494" s="1"/>
      <c r="C494" s="18"/>
      <c r="D494" s="47"/>
      <c r="E494" s="18"/>
      <c r="F494" s="18"/>
      <c r="G494" s="18"/>
      <c r="H494" s="18"/>
      <c r="I494" s="25"/>
      <c r="J494" s="18"/>
      <c r="K494" s="18"/>
      <c r="L494" s="18"/>
      <c r="M494" s="18"/>
      <c r="N494" s="18"/>
      <c r="O494" s="18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>
      <c r="A495" s="1"/>
      <c r="B495" s="1"/>
      <c r="C495" s="18"/>
      <c r="D495" s="47"/>
      <c r="E495" s="18"/>
      <c r="F495" s="18"/>
      <c r="G495" s="18"/>
      <c r="H495" s="18"/>
      <c r="I495" s="25"/>
      <c r="J495" s="18"/>
      <c r="K495" s="18"/>
      <c r="L495" s="18"/>
      <c r="M495" s="18"/>
      <c r="N495" s="18"/>
      <c r="O495" s="18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>
      <c r="A496" s="1"/>
      <c r="B496" s="1"/>
      <c r="C496" s="18"/>
      <c r="D496" s="47"/>
      <c r="E496" s="18"/>
      <c r="F496" s="18"/>
      <c r="G496" s="18"/>
      <c r="H496" s="18"/>
      <c r="I496" s="25"/>
      <c r="J496" s="18"/>
      <c r="K496" s="18"/>
      <c r="L496" s="18"/>
      <c r="M496" s="18"/>
      <c r="N496" s="18"/>
      <c r="O496" s="18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>
      <c r="A497" s="1"/>
      <c r="B497" s="1"/>
      <c r="C497" s="18"/>
      <c r="D497" s="47"/>
      <c r="E497" s="18"/>
      <c r="F497" s="18"/>
      <c r="G497" s="18"/>
      <c r="H497" s="18"/>
      <c r="I497" s="25"/>
      <c r="J497" s="18"/>
      <c r="K497" s="18"/>
      <c r="L497" s="18"/>
      <c r="M497" s="18"/>
      <c r="N497" s="18"/>
      <c r="O497" s="18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>
      <c r="A498" s="1"/>
      <c r="B498" s="1"/>
      <c r="C498" s="18"/>
      <c r="D498" s="47"/>
      <c r="E498" s="18"/>
      <c r="F498" s="18"/>
      <c r="G498" s="18"/>
      <c r="H498" s="18"/>
      <c r="I498" s="25"/>
      <c r="J498" s="18"/>
      <c r="K498" s="18"/>
      <c r="L498" s="18"/>
      <c r="M498" s="18"/>
      <c r="N498" s="18"/>
      <c r="O498" s="18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>
      <c r="A499" s="1"/>
      <c r="B499" s="1"/>
      <c r="C499" s="18"/>
      <c r="D499" s="47"/>
      <c r="E499" s="18"/>
      <c r="F499" s="18"/>
      <c r="G499" s="18"/>
      <c r="H499" s="18"/>
      <c r="I499" s="25"/>
      <c r="J499" s="18"/>
      <c r="K499" s="18"/>
      <c r="L499" s="18"/>
      <c r="M499" s="18"/>
      <c r="N499" s="18"/>
      <c r="O499" s="18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>
      <c r="A500" s="1"/>
      <c r="B500" s="1"/>
      <c r="C500" s="18"/>
      <c r="D500" s="47"/>
      <c r="E500" s="18"/>
      <c r="F500" s="18"/>
      <c r="G500" s="18"/>
      <c r="H500" s="18"/>
      <c r="I500" s="25"/>
      <c r="J500" s="18"/>
      <c r="K500" s="18"/>
      <c r="L500" s="18"/>
      <c r="M500" s="18"/>
      <c r="N500" s="18"/>
      <c r="O500" s="18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>
      <c r="A501" s="1"/>
      <c r="B501" s="1"/>
      <c r="C501" s="18"/>
      <c r="D501" s="47"/>
      <c r="E501" s="18"/>
      <c r="F501" s="18"/>
      <c r="G501" s="18"/>
      <c r="H501" s="18"/>
      <c r="I501" s="25"/>
      <c r="J501" s="18"/>
      <c r="K501" s="18"/>
      <c r="L501" s="18"/>
      <c r="M501" s="18"/>
      <c r="N501" s="18"/>
      <c r="O501" s="18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>
      <c r="A502" s="1"/>
      <c r="B502" s="1"/>
      <c r="C502" s="18"/>
      <c r="D502" s="47"/>
      <c r="E502" s="18"/>
      <c r="F502" s="18"/>
      <c r="G502" s="18"/>
      <c r="H502" s="18"/>
      <c r="I502" s="25"/>
      <c r="J502" s="18"/>
      <c r="K502" s="18"/>
      <c r="L502" s="18"/>
      <c r="M502" s="18"/>
      <c r="N502" s="18"/>
      <c r="O502" s="18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>
      <c r="A503" s="1"/>
      <c r="B503" s="1"/>
      <c r="C503" s="18"/>
      <c r="D503" s="47"/>
      <c r="E503" s="18"/>
      <c r="F503" s="18"/>
      <c r="G503" s="18"/>
      <c r="H503" s="18"/>
      <c r="I503" s="25"/>
      <c r="J503" s="18"/>
      <c r="K503" s="18"/>
      <c r="L503" s="18"/>
      <c r="M503" s="18"/>
      <c r="N503" s="18"/>
      <c r="O503" s="18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>
      <c r="A504" s="1"/>
      <c r="B504" s="1"/>
      <c r="C504" s="18"/>
      <c r="D504" s="47"/>
      <c r="E504" s="18"/>
      <c r="F504" s="18"/>
      <c r="G504" s="18"/>
      <c r="H504" s="18"/>
      <c r="I504" s="25"/>
      <c r="J504" s="18"/>
      <c r="K504" s="18"/>
      <c r="L504" s="18"/>
      <c r="M504" s="18"/>
      <c r="N504" s="18"/>
      <c r="O504" s="18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>
      <c r="A505" s="1"/>
      <c r="B505" s="1"/>
      <c r="C505" s="18"/>
      <c r="D505" s="47"/>
      <c r="E505" s="18"/>
      <c r="F505" s="18"/>
      <c r="G505" s="18"/>
      <c r="H505" s="18"/>
      <c r="I505" s="25"/>
      <c r="J505" s="18"/>
      <c r="K505" s="18"/>
      <c r="L505" s="18"/>
      <c r="M505" s="18"/>
      <c r="N505" s="18"/>
      <c r="O505" s="18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>
      <c r="A506" s="1"/>
      <c r="B506" s="1"/>
      <c r="C506" s="18"/>
      <c r="D506" s="47"/>
      <c r="E506" s="18"/>
      <c r="F506" s="18"/>
      <c r="G506" s="18"/>
      <c r="H506" s="18"/>
      <c r="I506" s="25"/>
      <c r="J506" s="18"/>
      <c r="K506" s="18"/>
      <c r="L506" s="18"/>
      <c r="M506" s="18"/>
      <c r="N506" s="18"/>
      <c r="O506" s="18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>
      <c r="A507" s="1"/>
      <c r="B507" s="1"/>
      <c r="C507" s="18"/>
      <c r="D507" s="47"/>
      <c r="E507" s="18"/>
      <c r="F507" s="18"/>
      <c r="G507" s="18"/>
      <c r="H507" s="18"/>
      <c r="I507" s="25"/>
      <c r="J507" s="18"/>
      <c r="K507" s="18"/>
      <c r="L507" s="18"/>
      <c r="M507" s="18"/>
      <c r="N507" s="18"/>
      <c r="O507" s="18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>
      <c r="A508" s="1"/>
      <c r="B508" s="1"/>
      <c r="C508" s="18"/>
      <c r="D508" s="47"/>
      <c r="E508" s="18"/>
      <c r="F508" s="18"/>
      <c r="G508" s="18"/>
      <c r="H508" s="18"/>
      <c r="I508" s="25"/>
      <c r="J508" s="18"/>
      <c r="K508" s="18"/>
      <c r="L508" s="18"/>
      <c r="M508" s="18"/>
      <c r="N508" s="18"/>
      <c r="O508" s="18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>
      <c r="A509" s="1"/>
      <c r="B509" s="1"/>
      <c r="C509" s="18"/>
      <c r="D509" s="47"/>
      <c r="E509" s="18"/>
      <c r="F509" s="18"/>
      <c r="G509" s="18"/>
      <c r="H509" s="18"/>
      <c r="I509" s="25"/>
      <c r="J509" s="18"/>
      <c r="K509" s="18"/>
      <c r="L509" s="18"/>
      <c r="M509" s="18"/>
      <c r="N509" s="18"/>
      <c r="O509" s="18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>
      <c r="A510" s="1"/>
      <c r="B510" s="1"/>
      <c r="C510" s="18"/>
      <c r="D510" s="47"/>
      <c r="E510" s="18"/>
      <c r="F510" s="18"/>
      <c r="G510" s="18"/>
      <c r="H510" s="18"/>
      <c r="I510" s="25"/>
      <c r="J510" s="18"/>
      <c r="K510" s="18"/>
      <c r="L510" s="18"/>
      <c r="M510" s="18"/>
      <c r="N510" s="18"/>
      <c r="O510" s="18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>
      <c r="A511" s="1"/>
      <c r="B511" s="1"/>
      <c r="C511" s="18"/>
      <c r="D511" s="47"/>
      <c r="E511" s="18"/>
      <c r="F511" s="18"/>
      <c r="G511" s="18"/>
      <c r="H511" s="18"/>
      <c r="I511" s="25"/>
      <c r="J511" s="18"/>
      <c r="K511" s="18"/>
      <c r="L511" s="18"/>
      <c r="M511" s="18"/>
      <c r="N511" s="18"/>
      <c r="O511" s="18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>
      <c r="A512" s="1"/>
      <c r="B512" s="1"/>
      <c r="C512" s="18"/>
      <c r="D512" s="47"/>
      <c r="E512" s="18"/>
      <c r="F512" s="18"/>
      <c r="G512" s="18"/>
      <c r="H512" s="18"/>
      <c r="I512" s="25"/>
      <c r="J512" s="18"/>
      <c r="K512" s="18"/>
      <c r="L512" s="18"/>
      <c r="M512" s="18"/>
      <c r="N512" s="18"/>
      <c r="O512" s="18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>
      <c r="A513" s="1"/>
      <c r="B513" s="1"/>
      <c r="C513" s="18"/>
      <c r="D513" s="47"/>
      <c r="E513" s="18"/>
      <c r="F513" s="18"/>
      <c r="G513" s="18"/>
      <c r="H513" s="18"/>
      <c r="I513" s="25"/>
      <c r="J513" s="18"/>
      <c r="K513" s="18"/>
      <c r="L513" s="18"/>
      <c r="M513" s="18"/>
      <c r="N513" s="18"/>
      <c r="O513" s="18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>
      <c r="A514" s="1"/>
      <c r="B514" s="1"/>
      <c r="C514" s="18"/>
      <c r="D514" s="47"/>
      <c r="E514" s="18"/>
      <c r="F514" s="18"/>
      <c r="G514" s="18"/>
      <c r="H514" s="18"/>
      <c r="I514" s="25"/>
      <c r="J514" s="18"/>
      <c r="K514" s="18"/>
      <c r="L514" s="18"/>
      <c r="M514" s="18"/>
      <c r="N514" s="18"/>
      <c r="O514" s="18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>
      <c r="A515" s="1"/>
      <c r="B515" s="1"/>
      <c r="C515" s="18"/>
      <c r="D515" s="47"/>
      <c r="E515" s="18"/>
      <c r="F515" s="18"/>
      <c r="G515" s="18"/>
      <c r="H515" s="18"/>
      <c r="I515" s="25"/>
      <c r="J515" s="18"/>
      <c r="K515" s="18"/>
      <c r="L515" s="18"/>
      <c r="M515" s="18"/>
      <c r="N515" s="18"/>
      <c r="O515" s="18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>
      <c r="A516" s="1"/>
      <c r="B516" s="1"/>
      <c r="C516" s="18"/>
      <c r="D516" s="47"/>
      <c r="E516" s="18"/>
      <c r="F516" s="18"/>
      <c r="G516" s="18"/>
      <c r="H516" s="18"/>
      <c r="I516" s="25"/>
      <c r="J516" s="18"/>
      <c r="K516" s="18"/>
      <c r="L516" s="18"/>
      <c r="M516" s="18"/>
      <c r="N516" s="18"/>
      <c r="O516" s="18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>
      <c r="A517" s="1"/>
      <c r="B517" s="1"/>
      <c r="C517" s="18"/>
      <c r="D517" s="47"/>
      <c r="E517" s="18"/>
      <c r="F517" s="18"/>
      <c r="G517" s="18"/>
      <c r="H517" s="18"/>
      <c r="I517" s="25"/>
      <c r="J517" s="18"/>
      <c r="K517" s="18"/>
      <c r="L517" s="18"/>
      <c r="M517" s="18"/>
      <c r="N517" s="18"/>
      <c r="O517" s="18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>
      <c r="A518" s="1"/>
      <c r="B518" s="1"/>
      <c r="C518" s="18"/>
      <c r="D518" s="47"/>
      <c r="E518" s="18"/>
      <c r="F518" s="18"/>
      <c r="G518" s="18"/>
      <c r="H518" s="18"/>
      <c r="I518" s="25"/>
      <c r="J518" s="18"/>
      <c r="K518" s="18"/>
      <c r="L518" s="18"/>
      <c r="M518" s="18"/>
      <c r="N518" s="18"/>
      <c r="O518" s="18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>
      <c r="A519" s="1"/>
      <c r="B519" s="1"/>
      <c r="C519" s="18"/>
      <c r="D519" s="47"/>
      <c r="E519" s="18"/>
      <c r="F519" s="18"/>
      <c r="G519" s="18"/>
      <c r="H519" s="18"/>
      <c r="I519" s="25"/>
      <c r="J519" s="18"/>
      <c r="K519" s="18"/>
      <c r="L519" s="18"/>
      <c r="M519" s="18"/>
      <c r="N519" s="18"/>
      <c r="O519" s="18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>
      <c r="A520" s="1"/>
      <c r="B520" s="1"/>
      <c r="C520" s="18"/>
      <c r="D520" s="47"/>
      <c r="E520" s="18"/>
      <c r="F520" s="18"/>
      <c r="G520" s="18"/>
      <c r="H520" s="18"/>
      <c r="I520" s="25"/>
      <c r="J520" s="18"/>
      <c r="K520" s="18"/>
      <c r="L520" s="18"/>
      <c r="M520" s="18"/>
      <c r="N520" s="18"/>
      <c r="O520" s="18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>
      <c r="A521" s="1"/>
      <c r="B521" s="1"/>
      <c r="C521" s="18"/>
      <c r="D521" s="47"/>
      <c r="E521" s="18"/>
      <c r="F521" s="18"/>
      <c r="G521" s="18"/>
      <c r="H521" s="18"/>
      <c r="I521" s="25"/>
      <c r="J521" s="18"/>
      <c r="K521" s="18"/>
      <c r="L521" s="18"/>
      <c r="M521" s="18"/>
      <c r="N521" s="18"/>
      <c r="O521" s="18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>
      <c r="A522" s="1"/>
      <c r="B522" s="1"/>
      <c r="C522" s="18"/>
      <c r="D522" s="47"/>
      <c r="E522" s="18"/>
      <c r="F522" s="18"/>
      <c r="G522" s="18"/>
      <c r="H522" s="18"/>
      <c r="I522" s="25"/>
      <c r="J522" s="18"/>
      <c r="K522" s="18"/>
      <c r="L522" s="18"/>
      <c r="M522" s="18"/>
      <c r="N522" s="18"/>
      <c r="O522" s="18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>
      <c r="A523" s="1"/>
      <c r="B523" s="1"/>
      <c r="C523" s="18"/>
      <c r="D523" s="47"/>
      <c r="E523" s="18"/>
      <c r="F523" s="18"/>
      <c r="G523" s="18"/>
      <c r="H523" s="18"/>
      <c r="I523" s="25"/>
      <c r="J523" s="18"/>
      <c r="K523" s="18"/>
      <c r="L523" s="18"/>
      <c r="M523" s="18"/>
      <c r="N523" s="18"/>
      <c r="O523" s="18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>
      <c r="A524" s="1"/>
      <c r="B524" s="1"/>
      <c r="C524" s="18"/>
      <c r="D524" s="47"/>
      <c r="E524" s="18"/>
      <c r="F524" s="18"/>
      <c r="G524" s="18"/>
      <c r="H524" s="18"/>
      <c r="I524" s="25"/>
      <c r="J524" s="18"/>
      <c r="K524" s="18"/>
      <c r="L524" s="18"/>
      <c r="M524" s="18"/>
      <c r="N524" s="18"/>
      <c r="O524" s="18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>
      <c r="A525" s="1"/>
      <c r="B525" s="1"/>
      <c r="C525" s="18"/>
      <c r="D525" s="47"/>
      <c r="E525" s="18"/>
      <c r="F525" s="18"/>
      <c r="G525" s="18"/>
      <c r="H525" s="18"/>
      <c r="I525" s="25"/>
      <c r="J525" s="18"/>
      <c r="K525" s="18"/>
      <c r="L525" s="18"/>
      <c r="M525" s="18"/>
      <c r="N525" s="18"/>
      <c r="O525" s="18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>
      <c r="A526" s="1"/>
      <c r="B526" s="1"/>
      <c r="C526" s="18"/>
      <c r="D526" s="47"/>
      <c r="E526" s="18"/>
      <c r="F526" s="18"/>
      <c r="G526" s="18"/>
      <c r="H526" s="18"/>
      <c r="I526" s="25"/>
      <c r="J526" s="18"/>
      <c r="K526" s="18"/>
      <c r="L526" s="18"/>
      <c r="M526" s="18"/>
      <c r="N526" s="18"/>
      <c r="O526" s="18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>
      <c r="A527" s="1"/>
      <c r="B527" s="1"/>
      <c r="C527" s="18"/>
      <c r="D527" s="47"/>
      <c r="E527" s="18"/>
      <c r="F527" s="18"/>
      <c r="G527" s="18"/>
      <c r="H527" s="18"/>
      <c r="I527" s="25"/>
      <c r="J527" s="18"/>
      <c r="K527" s="18"/>
      <c r="L527" s="18"/>
      <c r="M527" s="18"/>
      <c r="N527" s="18"/>
      <c r="O527" s="18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>
      <c r="A528" s="1"/>
      <c r="B528" s="1"/>
      <c r="C528" s="18"/>
      <c r="D528" s="47"/>
      <c r="E528" s="18"/>
      <c r="F528" s="18"/>
      <c r="G528" s="18"/>
      <c r="H528" s="18"/>
      <c r="I528" s="25"/>
      <c r="J528" s="18"/>
      <c r="K528" s="18"/>
      <c r="L528" s="18"/>
      <c r="M528" s="18"/>
      <c r="N528" s="18"/>
      <c r="O528" s="18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>
      <c r="A529" s="1"/>
      <c r="B529" s="1"/>
      <c r="C529" s="18"/>
      <c r="D529" s="47"/>
      <c r="E529" s="18"/>
      <c r="F529" s="18"/>
      <c r="G529" s="18"/>
      <c r="H529" s="18"/>
      <c r="I529" s="25"/>
      <c r="J529" s="18"/>
      <c r="K529" s="18"/>
      <c r="L529" s="18"/>
      <c r="M529" s="18"/>
      <c r="N529" s="18"/>
      <c r="O529" s="18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>
      <c r="A530" s="1"/>
      <c r="B530" s="1"/>
      <c r="C530" s="18"/>
      <c r="D530" s="47"/>
      <c r="E530" s="18"/>
      <c r="F530" s="18"/>
      <c r="G530" s="18"/>
      <c r="H530" s="18"/>
      <c r="I530" s="25"/>
      <c r="J530" s="18"/>
      <c r="K530" s="18"/>
      <c r="L530" s="18"/>
      <c r="M530" s="18"/>
      <c r="N530" s="18"/>
      <c r="O530" s="18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>
      <c r="A531" s="1"/>
      <c r="B531" s="1"/>
      <c r="C531" s="18"/>
      <c r="D531" s="47"/>
      <c r="E531" s="18"/>
      <c r="F531" s="18"/>
      <c r="G531" s="18"/>
      <c r="H531" s="18"/>
      <c r="I531" s="25"/>
      <c r="J531" s="18"/>
      <c r="K531" s="18"/>
      <c r="L531" s="18"/>
      <c r="M531" s="18"/>
      <c r="N531" s="18"/>
      <c r="O531" s="18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>
      <c r="A532" s="1"/>
      <c r="B532" s="1"/>
      <c r="C532" s="18"/>
      <c r="D532" s="47"/>
      <c r="E532" s="18"/>
      <c r="F532" s="18"/>
      <c r="G532" s="18"/>
      <c r="H532" s="18"/>
      <c r="I532" s="25"/>
      <c r="J532" s="18"/>
      <c r="K532" s="18"/>
      <c r="L532" s="18"/>
      <c r="M532" s="18"/>
      <c r="N532" s="18"/>
      <c r="O532" s="18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>
      <c r="A533" s="1"/>
      <c r="B533" s="1"/>
      <c r="C533" s="18"/>
      <c r="D533" s="47"/>
      <c r="E533" s="18"/>
      <c r="F533" s="18"/>
      <c r="G533" s="18"/>
      <c r="H533" s="18"/>
      <c r="I533" s="25"/>
      <c r="J533" s="18"/>
      <c r="K533" s="18"/>
      <c r="L533" s="18"/>
      <c r="M533" s="18"/>
      <c r="N533" s="18"/>
      <c r="O533" s="18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>
      <c r="A534" s="1"/>
      <c r="B534" s="1"/>
      <c r="C534" s="18"/>
      <c r="D534" s="47"/>
      <c r="E534" s="18"/>
      <c r="F534" s="18"/>
      <c r="G534" s="18"/>
      <c r="H534" s="18"/>
      <c r="I534" s="25"/>
      <c r="J534" s="18"/>
      <c r="K534" s="18"/>
      <c r="L534" s="18"/>
      <c r="M534" s="18"/>
      <c r="N534" s="18"/>
      <c r="O534" s="18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>
      <c r="A535" s="1"/>
      <c r="B535" s="1"/>
      <c r="C535" s="18"/>
      <c r="D535" s="47"/>
      <c r="E535" s="18"/>
      <c r="F535" s="18"/>
      <c r="G535" s="18"/>
      <c r="H535" s="18"/>
      <c r="I535" s="25"/>
      <c r="J535" s="18"/>
      <c r="K535" s="18"/>
      <c r="L535" s="18"/>
      <c r="M535" s="18"/>
      <c r="N535" s="18"/>
      <c r="O535" s="18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>
      <c r="A536" s="1"/>
      <c r="B536" s="1"/>
      <c r="C536" s="18"/>
      <c r="D536" s="47"/>
      <c r="E536" s="18"/>
      <c r="F536" s="18"/>
      <c r="G536" s="18"/>
      <c r="H536" s="18"/>
      <c r="I536" s="25"/>
      <c r="J536" s="18"/>
      <c r="K536" s="18"/>
      <c r="L536" s="18"/>
      <c r="M536" s="18"/>
      <c r="N536" s="18"/>
      <c r="O536" s="18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>
      <c r="A537" s="1"/>
      <c r="B537" s="1"/>
      <c r="C537" s="18"/>
      <c r="D537" s="47"/>
      <c r="E537" s="18"/>
      <c r="F537" s="18"/>
      <c r="G537" s="18"/>
      <c r="H537" s="18"/>
      <c r="I537" s="25"/>
      <c r="J537" s="18"/>
      <c r="K537" s="18"/>
      <c r="L537" s="18"/>
      <c r="M537" s="18"/>
      <c r="N537" s="18"/>
      <c r="O537" s="18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>
      <c r="A538" s="1"/>
      <c r="B538" s="1"/>
      <c r="C538" s="18"/>
      <c r="D538" s="47"/>
      <c r="E538" s="18"/>
      <c r="F538" s="18"/>
      <c r="G538" s="18"/>
      <c r="H538" s="18"/>
      <c r="I538" s="25"/>
      <c r="J538" s="18"/>
      <c r="K538" s="18"/>
      <c r="L538" s="18"/>
      <c r="M538" s="18"/>
      <c r="N538" s="18"/>
      <c r="O538" s="18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>
      <c r="A539" s="1"/>
      <c r="B539" s="1"/>
      <c r="C539" s="18"/>
      <c r="D539" s="47"/>
      <c r="E539" s="18"/>
      <c r="F539" s="18"/>
      <c r="G539" s="18"/>
      <c r="H539" s="18"/>
      <c r="I539" s="25"/>
      <c r="J539" s="18"/>
      <c r="K539" s="18"/>
      <c r="L539" s="18"/>
      <c r="M539" s="18"/>
      <c r="N539" s="18"/>
      <c r="O539" s="18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>
      <c r="A540" s="1"/>
      <c r="B540" s="1"/>
      <c r="C540" s="18"/>
      <c r="D540" s="47"/>
      <c r="E540" s="18"/>
      <c r="F540" s="18"/>
      <c r="G540" s="18"/>
      <c r="H540" s="18"/>
      <c r="I540" s="25"/>
      <c r="J540" s="18"/>
      <c r="K540" s="18"/>
      <c r="L540" s="18"/>
      <c r="M540" s="18"/>
      <c r="N540" s="18"/>
      <c r="O540" s="18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>
      <c r="A541" s="1"/>
      <c r="B541" s="1"/>
      <c r="C541" s="18"/>
      <c r="D541" s="47"/>
      <c r="E541" s="18"/>
      <c r="F541" s="18"/>
      <c r="G541" s="18"/>
      <c r="H541" s="18"/>
      <c r="I541" s="25"/>
      <c r="J541" s="18"/>
      <c r="K541" s="18"/>
      <c r="L541" s="18"/>
      <c r="M541" s="18"/>
      <c r="N541" s="18"/>
      <c r="O541" s="18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>
      <c r="A542" s="1"/>
      <c r="B542" s="1"/>
      <c r="C542" s="18"/>
      <c r="D542" s="47"/>
      <c r="E542" s="18"/>
      <c r="F542" s="18"/>
      <c r="G542" s="18"/>
      <c r="H542" s="18"/>
      <c r="I542" s="25"/>
      <c r="J542" s="18"/>
      <c r="K542" s="18"/>
      <c r="L542" s="18"/>
      <c r="M542" s="18"/>
      <c r="N542" s="18"/>
      <c r="O542" s="18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>
      <c r="A543" s="1"/>
      <c r="B543" s="1"/>
      <c r="C543" s="18"/>
      <c r="D543" s="47"/>
      <c r="E543" s="18"/>
      <c r="F543" s="18"/>
      <c r="G543" s="18"/>
      <c r="H543" s="18"/>
      <c r="I543" s="25"/>
      <c r="J543" s="18"/>
      <c r="K543" s="18"/>
      <c r="L543" s="18"/>
      <c r="M543" s="18"/>
      <c r="N543" s="18"/>
      <c r="O543" s="18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>
      <c r="A544" s="1"/>
      <c r="B544" s="1"/>
      <c r="C544" s="18"/>
      <c r="D544" s="47"/>
      <c r="E544" s="18"/>
      <c r="F544" s="18"/>
      <c r="G544" s="18"/>
      <c r="H544" s="18"/>
      <c r="I544" s="25"/>
      <c r="J544" s="18"/>
      <c r="K544" s="18"/>
      <c r="L544" s="18"/>
      <c r="M544" s="18"/>
      <c r="N544" s="18"/>
      <c r="O544" s="18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>
      <c r="A545" s="1"/>
      <c r="B545" s="1"/>
      <c r="C545" s="18"/>
      <c r="D545" s="47"/>
      <c r="E545" s="18"/>
      <c r="F545" s="18"/>
      <c r="G545" s="18"/>
      <c r="H545" s="18"/>
      <c r="I545" s="25"/>
      <c r="J545" s="18"/>
      <c r="K545" s="18"/>
      <c r="L545" s="18"/>
      <c r="M545" s="18"/>
      <c r="N545" s="18"/>
      <c r="O545" s="18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>
      <c r="A546" s="1"/>
      <c r="B546" s="1"/>
      <c r="C546" s="18"/>
      <c r="D546" s="47"/>
      <c r="E546" s="18"/>
      <c r="F546" s="18"/>
      <c r="G546" s="18"/>
      <c r="H546" s="18"/>
      <c r="I546" s="25"/>
      <c r="J546" s="18"/>
      <c r="K546" s="18"/>
      <c r="L546" s="18"/>
      <c r="M546" s="18"/>
      <c r="N546" s="18"/>
      <c r="O546" s="18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>
      <c r="A547" s="1"/>
      <c r="B547" s="1"/>
      <c r="C547" s="18"/>
      <c r="D547" s="47"/>
      <c r="E547" s="18"/>
      <c r="F547" s="18"/>
      <c r="G547" s="18"/>
      <c r="H547" s="18"/>
      <c r="I547" s="25"/>
      <c r="J547" s="18"/>
      <c r="K547" s="18"/>
      <c r="L547" s="18"/>
      <c r="M547" s="18"/>
      <c r="N547" s="18"/>
      <c r="O547" s="18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>
      <c r="A548" s="1"/>
      <c r="B548" s="1"/>
      <c r="C548" s="18"/>
      <c r="D548" s="47"/>
      <c r="E548" s="18"/>
      <c r="F548" s="18"/>
      <c r="G548" s="18"/>
      <c r="H548" s="18"/>
      <c r="I548" s="25"/>
      <c r="J548" s="18"/>
      <c r="K548" s="18"/>
      <c r="L548" s="18"/>
      <c r="M548" s="18"/>
      <c r="N548" s="18"/>
      <c r="O548" s="18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>
      <c r="A549" s="1"/>
      <c r="B549" s="1"/>
      <c r="C549" s="18"/>
      <c r="D549" s="47"/>
      <c r="E549" s="18"/>
      <c r="F549" s="18"/>
      <c r="G549" s="18"/>
      <c r="H549" s="18"/>
      <c r="I549" s="25"/>
      <c r="J549" s="18"/>
      <c r="K549" s="18"/>
      <c r="L549" s="18"/>
      <c r="M549" s="18"/>
      <c r="N549" s="18"/>
      <c r="O549" s="18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>
      <c r="A550" s="1"/>
      <c r="B550" s="1"/>
      <c r="C550" s="18"/>
      <c r="D550" s="47"/>
      <c r="E550" s="18"/>
      <c r="F550" s="18"/>
      <c r="G550" s="18"/>
      <c r="H550" s="18"/>
      <c r="I550" s="25"/>
      <c r="J550" s="18"/>
      <c r="K550" s="18"/>
      <c r="L550" s="18"/>
      <c r="M550" s="18"/>
      <c r="N550" s="18"/>
      <c r="O550" s="18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>
      <c r="A551" s="1"/>
      <c r="B551" s="1"/>
      <c r="C551" s="18"/>
      <c r="D551" s="47"/>
      <c r="E551" s="18"/>
      <c r="F551" s="18"/>
      <c r="G551" s="18"/>
      <c r="H551" s="18"/>
      <c r="I551" s="25"/>
      <c r="J551" s="18"/>
      <c r="K551" s="18"/>
      <c r="L551" s="18"/>
      <c r="M551" s="18"/>
      <c r="N551" s="18"/>
      <c r="O551" s="18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>
      <c r="A552" s="1"/>
      <c r="B552" s="1"/>
      <c r="C552" s="18"/>
      <c r="D552" s="47"/>
      <c r="E552" s="18"/>
      <c r="F552" s="18"/>
      <c r="G552" s="18"/>
      <c r="H552" s="18"/>
      <c r="I552" s="25"/>
      <c r="J552" s="18"/>
      <c r="K552" s="18"/>
      <c r="L552" s="18"/>
      <c r="M552" s="18"/>
      <c r="N552" s="18"/>
      <c r="O552" s="18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>
      <c r="A553" s="1"/>
      <c r="B553" s="1"/>
      <c r="C553" s="18"/>
      <c r="D553" s="47"/>
      <c r="E553" s="18"/>
      <c r="F553" s="18"/>
      <c r="G553" s="18"/>
      <c r="H553" s="18"/>
      <c r="I553" s="25"/>
      <c r="J553" s="18"/>
      <c r="K553" s="18"/>
      <c r="L553" s="18"/>
      <c r="M553" s="18"/>
      <c r="N553" s="18"/>
      <c r="O553" s="18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>
      <c r="A554" s="1"/>
      <c r="B554" s="1"/>
      <c r="C554" s="18"/>
      <c r="D554" s="47"/>
      <c r="E554" s="18"/>
      <c r="F554" s="18"/>
      <c r="G554" s="18"/>
      <c r="H554" s="18"/>
      <c r="I554" s="25"/>
      <c r="J554" s="18"/>
      <c r="K554" s="18"/>
      <c r="L554" s="18"/>
      <c r="M554" s="18"/>
      <c r="N554" s="18"/>
      <c r="O554" s="18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>
      <c r="A555" s="1"/>
      <c r="B555" s="1"/>
      <c r="C555" s="18"/>
      <c r="D555" s="47"/>
      <c r="E555" s="18"/>
      <c r="F555" s="18"/>
      <c r="G555" s="18"/>
      <c r="H555" s="18"/>
      <c r="I555" s="25"/>
      <c r="J555" s="18"/>
      <c r="K555" s="18"/>
      <c r="L555" s="18"/>
      <c r="M555" s="18"/>
      <c r="N555" s="18"/>
      <c r="O555" s="18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>
      <c r="A556" s="1"/>
      <c r="B556" s="1"/>
      <c r="C556" s="18"/>
      <c r="D556" s="47"/>
      <c r="E556" s="18"/>
      <c r="F556" s="18"/>
      <c r="G556" s="18"/>
      <c r="H556" s="18"/>
      <c r="I556" s="25"/>
      <c r="J556" s="18"/>
      <c r="K556" s="18"/>
      <c r="L556" s="18"/>
      <c r="M556" s="18"/>
      <c r="N556" s="18"/>
      <c r="O556" s="18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>
      <c r="A557" s="1"/>
      <c r="B557" s="1"/>
      <c r="C557" s="18"/>
      <c r="D557" s="47"/>
      <c r="E557" s="18"/>
      <c r="F557" s="18"/>
      <c r="G557" s="18"/>
      <c r="H557" s="18"/>
      <c r="I557" s="25"/>
      <c r="J557" s="18"/>
      <c r="K557" s="18"/>
      <c r="L557" s="18"/>
      <c r="M557" s="18"/>
      <c r="N557" s="18"/>
      <c r="O557" s="18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>
      <c r="A558" s="1"/>
      <c r="B558" s="1"/>
      <c r="C558" s="18"/>
      <c r="D558" s="47"/>
      <c r="E558" s="18"/>
      <c r="F558" s="18"/>
      <c r="G558" s="18"/>
      <c r="H558" s="18"/>
      <c r="I558" s="25"/>
      <c r="J558" s="18"/>
      <c r="K558" s="18"/>
      <c r="L558" s="18"/>
      <c r="M558" s="18"/>
      <c r="N558" s="18"/>
      <c r="O558" s="18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>
      <c r="A559" s="1"/>
      <c r="B559" s="1"/>
      <c r="C559" s="18"/>
      <c r="D559" s="47"/>
      <c r="E559" s="18"/>
      <c r="F559" s="18"/>
      <c r="G559" s="18"/>
      <c r="H559" s="18"/>
      <c r="I559" s="25"/>
      <c r="J559" s="18"/>
      <c r="K559" s="18"/>
      <c r="L559" s="18"/>
      <c r="M559" s="18"/>
      <c r="N559" s="18"/>
      <c r="O559" s="18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>
      <c r="A560" s="1"/>
      <c r="B560" s="1"/>
      <c r="C560" s="18"/>
      <c r="D560" s="47"/>
      <c r="E560" s="18"/>
      <c r="F560" s="18"/>
      <c r="G560" s="18"/>
      <c r="H560" s="18"/>
      <c r="I560" s="25"/>
      <c r="J560" s="18"/>
      <c r="K560" s="18"/>
      <c r="L560" s="18"/>
      <c r="M560" s="18"/>
      <c r="N560" s="18"/>
      <c r="O560" s="18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>
      <c r="A561" s="1"/>
      <c r="B561" s="1"/>
      <c r="C561" s="18"/>
      <c r="D561" s="47"/>
      <c r="E561" s="18"/>
      <c r="F561" s="18"/>
      <c r="G561" s="18"/>
      <c r="H561" s="18"/>
      <c r="I561" s="25"/>
      <c r="J561" s="18"/>
      <c r="K561" s="18"/>
      <c r="L561" s="18"/>
      <c r="M561" s="18"/>
      <c r="N561" s="18"/>
      <c r="O561" s="18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>
      <c r="A562" s="1"/>
      <c r="B562" s="1"/>
      <c r="C562" s="18"/>
      <c r="D562" s="47"/>
      <c r="E562" s="18"/>
      <c r="F562" s="18"/>
      <c r="G562" s="18"/>
      <c r="H562" s="18"/>
      <c r="I562" s="25"/>
      <c r="J562" s="18"/>
      <c r="K562" s="18"/>
      <c r="L562" s="18"/>
      <c r="M562" s="18"/>
      <c r="N562" s="18"/>
      <c r="O562" s="18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>
      <c r="A563" s="1"/>
      <c r="B563" s="1"/>
      <c r="C563" s="18"/>
      <c r="D563" s="47"/>
      <c r="E563" s="18"/>
      <c r="F563" s="18"/>
      <c r="G563" s="18"/>
      <c r="H563" s="18"/>
      <c r="I563" s="25"/>
      <c r="J563" s="18"/>
      <c r="K563" s="18"/>
      <c r="L563" s="18"/>
      <c r="M563" s="18"/>
      <c r="N563" s="18"/>
      <c r="O563" s="18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>
      <c r="A564" s="1"/>
      <c r="B564" s="1"/>
      <c r="C564" s="18"/>
      <c r="D564" s="47"/>
      <c r="E564" s="18"/>
      <c r="F564" s="18"/>
      <c r="G564" s="18"/>
      <c r="H564" s="18"/>
      <c r="I564" s="25"/>
      <c r="J564" s="18"/>
      <c r="K564" s="18"/>
      <c r="L564" s="18"/>
      <c r="M564" s="18"/>
      <c r="N564" s="18"/>
      <c r="O564" s="18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>
      <c r="A565" s="1"/>
      <c r="B565" s="1"/>
      <c r="C565" s="18"/>
      <c r="D565" s="47"/>
      <c r="E565" s="18"/>
      <c r="F565" s="18"/>
      <c r="G565" s="18"/>
      <c r="H565" s="18"/>
      <c r="I565" s="25"/>
      <c r="J565" s="18"/>
      <c r="K565" s="18"/>
      <c r="L565" s="18"/>
      <c r="M565" s="18"/>
      <c r="N565" s="18"/>
      <c r="O565" s="18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>
      <c r="A566" s="1"/>
      <c r="B566" s="1"/>
      <c r="C566" s="18"/>
      <c r="D566" s="47"/>
      <c r="E566" s="18"/>
      <c r="F566" s="18"/>
      <c r="G566" s="18"/>
      <c r="H566" s="18"/>
      <c r="I566" s="25"/>
      <c r="J566" s="18"/>
      <c r="K566" s="18"/>
      <c r="L566" s="18"/>
      <c r="M566" s="18"/>
      <c r="N566" s="18"/>
      <c r="O566" s="18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>
      <c r="A567" s="1"/>
      <c r="B567" s="1"/>
      <c r="C567" s="18"/>
      <c r="D567" s="47"/>
      <c r="E567" s="18"/>
      <c r="F567" s="18"/>
      <c r="G567" s="18"/>
      <c r="H567" s="18"/>
      <c r="I567" s="25"/>
      <c r="J567" s="18"/>
      <c r="K567" s="18"/>
      <c r="L567" s="18"/>
      <c r="M567" s="18"/>
      <c r="N567" s="18"/>
      <c r="O567" s="18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>
      <c r="A568" s="1"/>
      <c r="B568" s="1"/>
      <c r="C568" s="18"/>
      <c r="D568" s="47"/>
      <c r="E568" s="18"/>
      <c r="F568" s="18"/>
      <c r="G568" s="18"/>
      <c r="H568" s="18"/>
      <c r="I568" s="25"/>
      <c r="J568" s="18"/>
      <c r="K568" s="18"/>
      <c r="L568" s="18"/>
      <c r="M568" s="18"/>
      <c r="N568" s="18"/>
      <c r="O568" s="18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>
      <c r="A569" s="1"/>
      <c r="B569" s="1"/>
      <c r="C569" s="18"/>
      <c r="D569" s="47"/>
      <c r="E569" s="18"/>
      <c r="F569" s="18"/>
      <c r="G569" s="18"/>
      <c r="H569" s="18"/>
      <c r="I569" s="25"/>
      <c r="J569" s="18"/>
      <c r="K569" s="18"/>
      <c r="L569" s="18"/>
      <c r="M569" s="18"/>
      <c r="N569" s="18"/>
      <c r="O569" s="18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>
      <c r="A570" s="1"/>
      <c r="B570" s="1"/>
      <c r="C570" s="18"/>
      <c r="D570" s="47"/>
      <c r="E570" s="18"/>
      <c r="F570" s="18"/>
      <c r="G570" s="18"/>
      <c r="H570" s="18"/>
      <c r="I570" s="25"/>
      <c r="J570" s="18"/>
      <c r="K570" s="18"/>
      <c r="L570" s="18"/>
      <c r="M570" s="18"/>
      <c r="N570" s="18"/>
      <c r="O570" s="18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>
      <c r="A571" s="1"/>
      <c r="B571" s="1"/>
      <c r="C571" s="18"/>
      <c r="D571" s="47"/>
      <c r="E571" s="18"/>
      <c r="F571" s="18"/>
      <c r="G571" s="18"/>
      <c r="H571" s="18"/>
      <c r="I571" s="25"/>
      <c r="J571" s="18"/>
      <c r="K571" s="18"/>
      <c r="L571" s="18"/>
      <c r="M571" s="18"/>
      <c r="N571" s="18"/>
      <c r="O571" s="18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>
      <c r="A572" s="1"/>
      <c r="B572" s="1"/>
      <c r="C572" s="18"/>
      <c r="D572" s="47"/>
      <c r="E572" s="18"/>
      <c r="F572" s="18"/>
      <c r="G572" s="18"/>
      <c r="H572" s="18"/>
      <c r="I572" s="25"/>
      <c r="J572" s="18"/>
      <c r="K572" s="18"/>
      <c r="L572" s="18"/>
      <c r="M572" s="18"/>
      <c r="N572" s="18"/>
      <c r="O572" s="18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>
      <c r="A573" s="1"/>
      <c r="B573" s="1"/>
      <c r="C573" s="18"/>
      <c r="D573" s="47"/>
      <c r="E573" s="18"/>
      <c r="F573" s="18"/>
      <c r="G573" s="18"/>
      <c r="H573" s="18"/>
      <c r="I573" s="25"/>
      <c r="J573" s="18"/>
      <c r="K573" s="18"/>
      <c r="L573" s="18"/>
      <c r="M573" s="18"/>
      <c r="N573" s="18"/>
      <c r="O573" s="18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>
      <c r="A574" s="1"/>
      <c r="B574" s="1"/>
      <c r="C574" s="18"/>
      <c r="D574" s="47"/>
      <c r="E574" s="18"/>
      <c r="F574" s="18"/>
      <c r="G574" s="18"/>
      <c r="H574" s="18"/>
      <c r="I574" s="25"/>
      <c r="J574" s="18"/>
      <c r="K574" s="18"/>
      <c r="L574" s="18"/>
      <c r="M574" s="18"/>
      <c r="N574" s="18"/>
      <c r="O574" s="18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>
      <c r="A575" s="1"/>
      <c r="B575" s="1"/>
      <c r="C575" s="18"/>
      <c r="D575" s="47"/>
      <c r="E575" s="18"/>
      <c r="F575" s="18"/>
      <c r="G575" s="18"/>
      <c r="H575" s="18"/>
      <c r="I575" s="25"/>
      <c r="J575" s="18"/>
      <c r="K575" s="18"/>
      <c r="L575" s="18"/>
      <c r="M575" s="18"/>
      <c r="N575" s="18"/>
      <c r="O575" s="18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>
      <c r="A576" s="1"/>
      <c r="B576" s="1"/>
      <c r="C576" s="18"/>
      <c r="D576" s="47"/>
      <c r="E576" s="18"/>
      <c r="F576" s="18"/>
      <c r="G576" s="18"/>
      <c r="H576" s="18"/>
      <c r="I576" s="25"/>
      <c r="J576" s="18"/>
      <c r="K576" s="18"/>
      <c r="L576" s="18"/>
      <c r="M576" s="18"/>
      <c r="N576" s="18"/>
      <c r="O576" s="18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>
      <c r="A577" s="1"/>
      <c r="B577" s="1"/>
      <c r="C577" s="18"/>
      <c r="D577" s="47"/>
      <c r="E577" s="18"/>
      <c r="F577" s="18"/>
      <c r="G577" s="18"/>
      <c r="H577" s="18"/>
      <c r="I577" s="25"/>
      <c r="J577" s="18"/>
      <c r="K577" s="18"/>
      <c r="L577" s="18"/>
      <c r="M577" s="18"/>
      <c r="N577" s="18"/>
      <c r="O577" s="18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>
      <c r="A578" s="1"/>
      <c r="B578" s="1"/>
      <c r="C578" s="18"/>
      <c r="D578" s="47"/>
      <c r="E578" s="18"/>
      <c r="F578" s="18"/>
      <c r="G578" s="18"/>
      <c r="H578" s="18"/>
      <c r="I578" s="25"/>
      <c r="J578" s="18"/>
      <c r="K578" s="18"/>
      <c r="L578" s="18"/>
      <c r="M578" s="18"/>
      <c r="N578" s="18"/>
      <c r="O578" s="18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>
      <c r="A579" s="1"/>
      <c r="B579" s="1"/>
      <c r="C579" s="18"/>
      <c r="D579" s="47"/>
      <c r="E579" s="18"/>
      <c r="F579" s="18"/>
      <c r="G579" s="18"/>
      <c r="H579" s="18"/>
      <c r="I579" s="25"/>
      <c r="J579" s="18"/>
      <c r="K579" s="18"/>
      <c r="L579" s="18"/>
      <c r="M579" s="18"/>
      <c r="N579" s="18"/>
      <c r="O579" s="18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>
      <c r="A580" s="1"/>
      <c r="B580" s="1"/>
      <c r="C580" s="18"/>
      <c r="D580" s="47"/>
      <c r="E580" s="18"/>
      <c r="F580" s="18"/>
      <c r="G580" s="18"/>
      <c r="H580" s="18"/>
      <c r="I580" s="25"/>
      <c r="J580" s="18"/>
      <c r="K580" s="18"/>
      <c r="L580" s="18"/>
      <c r="M580" s="18"/>
      <c r="N580" s="18"/>
      <c r="O580" s="18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>
      <c r="A581" s="1"/>
      <c r="B581" s="1"/>
      <c r="C581" s="18"/>
      <c r="D581" s="47"/>
      <c r="E581" s="18"/>
      <c r="F581" s="18"/>
      <c r="G581" s="18"/>
      <c r="H581" s="18"/>
      <c r="I581" s="25"/>
      <c r="J581" s="18"/>
      <c r="K581" s="18"/>
      <c r="L581" s="18"/>
      <c r="M581" s="18"/>
      <c r="N581" s="18"/>
      <c r="O581" s="18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>
      <c r="A582" s="1"/>
      <c r="B582" s="1"/>
      <c r="C582" s="18"/>
      <c r="D582" s="47"/>
      <c r="E582" s="18"/>
      <c r="F582" s="18"/>
      <c r="G582" s="18"/>
      <c r="H582" s="18"/>
      <c r="I582" s="25"/>
      <c r="J582" s="18"/>
      <c r="K582" s="18"/>
      <c r="L582" s="18"/>
      <c r="M582" s="18"/>
      <c r="N582" s="18"/>
      <c r="O582" s="18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>
      <c r="A583" s="1"/>
      <c r="B583" s="1"/>
      <c r="C583" s="18"/>
      <c r="D583" s="47"/>
      <c r="E583" s="18"/>
      <c r="F583" s="18"/>
      <c r="G583" s="18"/>
      <c r="H583" s="18"/>
      <c r="I583" s="25"/>
      <c r="J583" s="18"/>
      <c r="K583" s="18"/>
      <c r="L583" s="18"/>
      <c r="M583" s="18"/>
      <c r="N583" s="18"/>
      <c r="O583" s="18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>
      <c r="A584" s="1"/>
      <c r="B584" s="1"/>
      <c r="C584" s="18"/>
      <c r="D584" s="47"/>
      <c r="E584" s="18"/>
      <c r="F584" s="18"/>
      <c r="G584" s="18"/>
      <c r="H584" s="18"/>
      <c r="I584" s="25"/>
      <c r="J584" s="18"/>
      <c r="K584" s="18"/>
      <c r="L584" s="18"/>
      <c r="M584" s="18"/>
      <c r="N584" s="18"/>
      <c r="O584" s="18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>
      <c r="A585" s="1"/>
      <c r="B585" s="1"/>
      <c r="C585" s="18"/>
      <c r="D585" s="47"/>
      <c r="E585" s="18"/>
      <c r="F585" s="18"/>
      <c r="G585" s="18"/>
      <c r="H585" s="18"/>
      <c r="I585" s="25"/>
      <c r="J585" s="18"/>
      <c r="K585" s="18"/>
      <c r="L585" s="18"/>
      <c r="M585" s="18"/>
      <c r="N585" s="18"/>
      <c r="O585" s="18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>
      <c r="A586" s="1"/>
      <c r="B586" s="1"/>
      <c r="C586" s="18"/>
      <c r="D586" s="47"/>
      <c r="E586" s="18"/>
      <c r="F586" s="18"/>
      <c r="G586" s="18"/>
      <c r="H586" s="18"/>
      <c r="I586" s="25"/>
      <c r="J586" s="18"/>
      <c r="K586" s="18"/>
      <c r="L586" s="18"/>
      <c r="M586" s="18"/>
      <c r="N586" s="18"/>
      <c r="O586" s="18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>
      <c r="A587" s="1"/>
      <c r="B587" s="1"/>
      <c r="C587" s="18"/>
      <c r="D587" s="47"/>
      <c r="E587" s="18"/>
      <c r="F587" s="18"/>
      <c r="G587" s="18"/>
      <c r="H587" s="18"/>
      <c r="I587" s="25"/>
      <c r="J587" s="18"/>
      <c r="K587" s="18"/>
      <c r="L587" s="18"/>
      <c r="M587" s="18"/>
      <c r="N587" s="18"/>
      <c r="O587" s="18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>
      <c r="A588" s="1"/>
      <c r="B588" s="1"/>
      <c r="C588" s="18"/>
      <c r="D588" s="47"/>
      <c r="E588" s="18"/>
      <c r="F588" s="18"/>
      <c r="G588" s="18"/>
      <c r="H588" s="18"/>
      <c r="I588" s="25"/>
      <c r="J588" s="18"/>
      <c r="K588" s="18"/>
      <c r="L588" s="18"/>
      <c r="M588" s="18"/>
      <c r="N588" s="18"/>
      <c r="O588" s="18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>
      <c r="A589" s="1"/>
      <c r="B589" s="1"/>
      <c r="C589" s="18"/>
      <c r="D589" s="47"/>
      <c r="E589" s="18"/>
      <c r="F589" s="18"/>
      <c r="G589" s="18"/>
      <c r="H589" s="18"/>
      <c r="I589" s="25"/>
      <c r="J589" s="18"/>
      <c r="K589" s="18"/>
      <c r="L589" s="18"/>
      <c r="M589" s="18"/>
      <c r="N589" s="18"/>
      <c r="O589" s="18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>
      <c r="A590" s="1"/>
      <c r="B590" s="1"/>
      <c r="C590" s="18"/>
      <c r="D590" s="47"/>
      <c r="E590" s="18"/>
      <c r="F590" s="18"/>
      <c r="G590" s="18"/>
      <c r="H590" s="18"/>
      <c r="I590" s="25"/>
      <c r="J590" s="18"/>
      <c r="K590" s="18"/>
      <c r="L590" s="18"/>
      <c r="M590" s="18"/>
      <c r="N590" s="18"/>
      <c r="O590" s="18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>
      <c r="A591" s="1"/>
      <c r="B591" s="1"/>
      <c r="C591" s="18"/>
      <c r="D591" s="47"/>
      <c r="E591" s="18"/>
      <c r="F591" s="18"/>
      <c r="G591" s="18"/>
      <c r="H591" s="18"/>
      <c r="I591" s="25"/>
      <c r="J591" s="18"/>
      <c r="K591" s="18"/>
      <c r="L591" s="18"/>
      <c r="M591" s="18"/>
      <c r="N591" s="18"/>
      <c r="O591" s="18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>
      <c r="A592" s="1"/>
      <c r="B592" s="1"/>
      <c r="C592" s="18"/>
      <c r="D592" s="47"/>
      <c r="E592" s="18"/>
      <c r="F592" s="18"/>
      <c r="G592" s="18"/>
      <c r="H592" s="18"/>
      <c r="I592" s="25"/>
      <c r="J592" s="18"/>
      <c r="K592" s="18"/>
      <c r="L592" s="18"/>
      <c r="M592" s="18"/>
      <c r="N592" s="18"/>
      <c r="O592" s="18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>
      <c r="A593" s="1"/>
      <c r="B593" s="1"/>
      <c r="C593" s="18"/>
      <c r="D593" s="47"/>
      <c r="E593" s="18"/>
      <c r="F593" s="18"/>
      <c r="G593" s="18"/>
      <c r="H593" s="18"/>
      <c r="I593" s="25"/>
      <c r="J593" s="18"/>
      <c r="K593" s="18"/>
      <c r="L593" s="18"/>
      <c r="M593" s="18"/>
      <c r="N593" s="18"/>
      <c r="O593" s="18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>
      <c r="A594" s="1"/>
      <c r="B594" s="1"/>
      <c r="C594" s="18"/>
      <c r="D594" s="47"/>
      <c r="E594" s="18"/>
      <c r="F594" s="18"/>
      <c r="G594" s="18"/>
      <c r="H594" s="18"/>
      <c r="I594" s="25"/>
      <c r="J594" s="18"/>
      <c r="K594" s="18"/>
      <c r="L594" s="18"/>
      <c r="M594" s="18"/>
      <c r="N594" s="18"/>
      <c r="O594" s="18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>
      <c r="A595" s="1"/>
      <c r="B595" s="1"/>
      <c r="C595" s="18"/>
      <c r="D595" s="47"/>
      <c r="E595" s="18"/>
      <c r="F595" s="18"/>
      <c r="G595" s="18"/>
      <c r="H595" s="18"/>
      <c r="I595" s="25"/>
      <c r="J595" s="18"/>
      <c r="K595" s="18"/>
      <c r="L595" s="18"/>
      <c r="M595" s="18"/>
      <c r="N595" s="18"/>
      <c r="O595" s="18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>
      <c r="A596" s="1"/>
      <c r="B596" s="1"/>
      <c r="C596" s="18"/>
      <c r="D596" s="47"/>
      <c r="E596" s="18"/>
      <c r="F596" s="18"/>
      <c r="G596" s="18"/>
      <c r="H596" s="18"/>
      <c r="I596" s="25"/>
      <c r="J596" s="18"/>
      <c r="K596" s="18"/>
      <c r="L596" s="18"/>
      <c r="M596" s="18"/>
      <c r="N596" s="18"/>
      <c r="O596" s="18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>
      <c r="A597" s="1"/>
      <c r="B597" s="1"/>
      <c r="C597" s="18"/>
      <c r="D597" s="47"/>
      <c r="E597" s="18"/>
      <c r="F597" s="18"/>
      <c r="G597" s="18"/>
      <c r="H597" s="18"/>
      <c r="I597" s="25"/>
      <c r="J597" s="18"/>
      <c r="K597" s="18"/>
      <c r="L597" s="18"/>
      <c r="M597" s="18"/>
      <c r="N597" s="18"/>
      <c r="O597" s="18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>
      <c r="A598" s="1"/>
      <c r="B598" s="1"/>
      <c r="C598" s="18"/>
      <c r="D598" s="47"/>
      <c r="E598" s="18"/>
      <c r="F598" s="18"/>
      <c r="G598" s="18"/>
      <c r="H598" s="18"/>
      <c r="I598" s="25"/>
      <c r="J598" s="18"/>
      <c r="K598" s="18"/>
      <c r="L598" s="18"/>
      <c r="M598" s="18"/>
      <c r="N598" s="18"/>
      <c r="O598" s="18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>
      <c r="A599" s="1"/>
      <c r="B599" s="1"/>
      <c r="C599" s="18"/>
      <c r="D599" s="47"/>
      <c r="E599" s="18"/>
      <c r="F599" s="18"/>
      <c r="G599" s="18"/>
      <c r="H599" s="18"/>
      <c r="I599" s="25"/>
      <c r="J599" s="18"/>
      <c r="K599" s="18"/>
      <c r="L599" s="18"/>
      <c r="M599" s="18"/>
      <c r="N599" s="18"/>
      <c r="O599" s="18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>
      <c r="A600" s="1"/>
      <c r="B600" s="1"/>
      <c r="C600" s="18"/>
      <c r="D600" s="47"/>
      <c r="E600" s="18"/>
      <c r="F600" s="18"/>
      <c r="G600" s="18"/>
      <c r="H600" s="18"/>
      <c r="I600" s="25"/>
      <c r="J600" s="18"/>
      <c r="K600" s="18"/>
      <c r="L600" s="18"/>
      <c r="M600" s="18"/>
      <c r="N600" s="18"/>
      <c r="O600" s="18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>
      <c r="A601" s="1"/>
      <c r="B601" s="1"/>
      <c r="C601" s="18"/>
      <c r="D601" s="47"/>
      <c r="E601" s="18"/>
      <c r="F601" s="18"/>
      <c r="G601" s="18"/>
      <c r="H601" s="18"/>
      <c r="I601" s="25"/>
      <c r="J601" s="18"/>
      <c r="K601" s="18"/>
      <c r="L601" s="18"/>
      <c r="M601" s="18"/>
      <c r="N601" s="18"/>
      <c r="O601" s="18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>
      <c r="A602" s="1"/>
      <c r="B602" s="1"/>
      <c r="C602" s="18"/>
      <c r="D602" s="47"/>
      <c r="E602" s="18"/>
      <c r="F602" s="18"/>
      <c r="G602" s="18"/>
      <c r="H602" s="18"/>
      <c r="I602" s="25"/>
      <c r="J602" s="18"/>
      <c r="K602" s="18"/>
      <c r="L602" s="18"/>
      <c r="M602" s="18"/>
      <c r="N602" s="18"/>
      <c r="O602" s="18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>
      <c r="A603" s="1"/>
      <c r="B603" s="1"/>
      <c r="C603" s="18"/>
      <c r="D603" s="47"/>
      <c r="E603" s="18"/>
      <c r="F603" s="18"/>
      <c r="G603" s="18"/>
      <c r="H603" s="18"/>
      <c r="I603" s="25"/>
      <c r="J603" s="18"/>
      <c r="K603" s="18"/>
      <c r="L603" s="18"/>
      <c r="M603" s="18"/>
      <c r="N603" s="18"/>
      <c r="O603" s="18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>
      <c r="A604" s="1"/>
      <c r="B604" s="1"/>
      <c r="C604" s="18"/>
      <c r="D604" s="47"/>
      <c r="E604" s="18"/>
      <c r="F604" s="18"/>
      <c r="G604" s="18"/>
      <c r="H604" s="18"/>
      <c r="I604" s="25"/>
      <c r="J604" s="18"/>
      <c r="K604" s="18"/>
      <c r="L604" s="18"/>
      <c r="M604" s="18"/>
      <c r="N604" s="18"/>
      <c r="O604" s="18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>
      <c r="A605" s="1"/>
      <c r="B605" s="1"/>
      <c r="C605" s="18"/>
      <c r="D605" s="47"/>
      <c r="E605" s="18"/>
      <c r="F605" s="18"/>
      <c r="G605" s="18"/>
      <c r="H605" s="18"/>
      <c r="I605" s="25"/>
      <c r="J605" s="18"/>
      <c r="K605" s="18"/>
      <c r="L605" s="18"/>
      <c r="M605" s="18"/>
      <c r="N605" s="18"/>
      <c r="O605" s="18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>
      <c r="A606" s="1"/>
      <c r="B606" s="1"/>
      <c r="C606" s="18"/>
      <c r="D606" s="47"/>
      <c r="E606" s="18"/>
      <c r="F606" s="18"/>
      <c r="G606" s="18"/>
      <c r="H606" s="18"/>
      <c r="I606" s="25"/>
      <c r="J606" s="18"/>
      <c r="K606" s="18"/>
      <c r="L606" s="18"/>
      <c r="M606" s="18"/>
      <c r="N606" s="18"/>
      <c r="O606" s="18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>
      <c r="A607" s="1"/>
      <c r="B607" s="1"/>
      <c r="C607" s="18"/>
      <c r="D607" s="47"/>
      <c r="E607" s="18"/>
      <c r="F607" s="18"/>
      <c r="G607" s="18"/>
      <c r="H607" s="18"/>
      <c r="I607" s="25"/>
      <c r="J607" s="18"/>
      <c r="K607" s="18"/>
      <c r="L607" s="18"/>
      <c r="M607" s="18"/>
      <c r="N607" s="18"/>
      <c r="O607" s="18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>
      <c r="A608" s="1"/>
      <c r="B608" s="1"/>
      <c r="C608" s="18"/>
      <c r="D608" s="47"/>
      <c r="E608" s="18"/>
      <c r="F608" s="18"/>
      <c r="G608" s="18"/>
      <c r="H608" s="18"/>
      <c r="I608" s="25"/>
      <c r="J608" s="18"/>
      <c r="K608" s="18"/>
      <c r="L608" s="18"/>
      <c r="M608" s="18"/>
      <c r="N608" s="18"/>
      <c r="O608" s="18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>
      <c r="A609" s="1"/>
      <c r="B609" s="1"/>
      <c r="C609" s="18"/>
      <c r="D609" s="47"/>
      <c r="E609" s="18"/>
      <c r="F609" s="18"/>
      <c r="G609" s="18"/>
      <c r="H609" s="18"/>
      <c r="I609" s="25"/>
      <c r="J609" s="18"/>
      <c r="K609" s="18"/>
      <c r="L609" s="18"/>
      <c r="M609" s="18"/>
      <c r="N609" s="18"/>
      <c r="O609" s="18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>
      <c r="A610" s="1"/>
      <c r="B610" s="1"/>
      <c r="C610" s="18"/>
      <c r="D610" s="47"/>
      <c r="E610" s="18"/>
      <c r="F610" s="18"/>
      <c r="G610" s="18"/>
      <c r="H610" s="18"/>
      <c r="I610" s="25"/>
      <c r="J610" s="18"/>
      <c r="K610" s="18"/>
      <c r="L610" s="18"/>
      <c r="M610" s="18"/>
      <c r="N610" s="18"/>
      <c r="O610" s="18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>
      <c r="A611" s="1"/>
      <c r="B611" s="1"/>
      <c r="C611" s="18"/>
      <c r="D611" s="47"/>
      <c r="E611" s="18"/>
      <c r="F611" s="18"/>
      <c r="G611" s="18"/>
      <c r="H611" s="18"/>
      <c r="I611" s="25"/>
      <c r="J611" s="18"/>
      <c r="K611" s="18"/>
      <c r="L611" s="18"/>
      <c r="M611" s="18"/>
      <c r="N611" s="18"/>
      <c r="O611" s="18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>
      <c r="A612" s="1"/>
      <c r="B612" s="1"/>
      <c r="C612" s="18"/>
      <c r="D612" s="47"/>
      <c r="E612" s="18"/>
      <c r="F612" s="18"/>
      <c r="G612" s="18"/>
      <c r="H612" s="18"/>
      <c r="I612" s="25"/>
      <c r="J612" s="18"/>
      <c r="K612" s="18"/>
      <c r="L612" s="18"/>
      <c r="M612" s="18"/>
      <c r="N612" s="18"/>
      <c r="O612" s="18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>
      <c r="A613" s="1"/>
      <c r="B613" s="1"/>
      <c r="C613" s="18"/>
      <c r="D613" s="47"/>
      <c r="E613" s="18"/>
      <c r="F613" s="18"/>
      <c r="G613" s="18"/>
      <c r="H613" s="18"/>
      <c r="I613" s="25"/>
      <c r="J613" s="18"/>
      <c r="K613" s="18"/>
      <c r="L613" s="18"/>
      <c r="M613" s="18"/>
      <c r="N613" s="18"/>
      <c r="O613" s="18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>
      <c r="A614" s="1"/>
      <c r="B614" s="1"/>
      <c r="C614" s="18"/>
      <c r="D614" s="47"/>
      <c r="E614" s="18"/>
      <c r="F614" s="18"/>
      <c r="G614" s="18"/>
      <c r="H614" s="18"/>
      <c r="I614" s="25"/>
      <c r="J614" s="18"/>
      <c r="K614" s="18"/>
      <c r="L614" s="18"/>
      <c r="M614" s="18"/>
      <c r="N614" s="18"/>
      <c r="O614" s="18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>
      <c r="A615" s="1"/>
      <c r="B615" s="1"/>
      <c r="C615" s="18"/>
      <c r="D615" s="47"/>
      <c r="E615" s="18"/>
      <c r="F615" s="18"/>
      <c r="G615" s="18"/>
      <c r="H615" s="18"/>
      <c r="I615" s="25"/>
      <c r="J615" s="18"/>
      <c r="K615" s="18"/>
      <c r="L615" s="18"/>
      <c r="M615" s="18"/>
      <c r="N615" s="18"/>
      <c r="O615" s="18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>
      <c r="A616" s="1"/>
      <c r="B616" s="1"/>
      <c r="C616" s="18"/>
      <c r="D616" s="47"/>
      <c r="E616" s="18"/>
      <c r="F616" s="18"/>
      <c r="G616" s="18"/>
      <c r="H616" s="18"/>
      <c r="I616" s="25"/>
      <c r="J616" s="18"/>
      <c r="K616" s="18"/>
      <c r="L616" s="18"/>
      <c r="M616" s="18"/>
      <c r="N616" s="18"/>
      <c r="O616" s="18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>
      <c r="A617" s="1"/>
      <c r="B617" s="1"/>
      <c r="C617" s="18"/>
      <c r="D617" s="47"/>
      <c r="E617" s="18"/>
      <c r="F617" s="18"/>
      <c r="G617" s="18"/>
      <c r="H617" s="18"/>
      <c r="I617" s="25"/>
      <c r="J617" s="18"/>
      <c r="K617" s="18"/>
      <c r="L617" s="18"/>
      <c r="M617" s="18"/>
      <c r="N617" s="18"/>
      <c r="O617" s="18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>
      <c r="A618" s="1"/>
      <c r="B618" s="1"/>
      <c r="C618" s="18"/>
      <c r="D618" s="47"/>
      <c r="E618" s="18"/>
      <c r="F618" s="18"/>
      <c r="G618" s="18"/>
      <c r="H618" s="18"/>
      <c r="I618" s="25"/>
      <c r="J618" s="18"/>
      <c r="K618" s="18"/>
      <c r="L618" s="18"/>
      <c r="M618" s="18"/>
      <c r="N618" s="18"/>
      <c r="O618" s="18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>
      <c r="A619" s="1"/>
      <c r="B619" s="1"/>
      <c r="C619" s="18"/>
      <c r="D619" s="47"/>
      <c r="E619" s="18"/>
      <c r="F619" s="18"/>
      <c r="G619" s="18"/>
      <c r="H619" s="18"/>
      <c r="I619" s="25"/>
      <c r="J619" s="18"/>
      <c r="K619" s="18"/>
      <c r="L619" s="18"/>
      <c r="M619" s="18"/>
      <c r="N619" s="18"/>
      <c r="O619" s="18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>
      <c r="A620" s="1"/>
      <c r="B620" s="1"/>
      <c r="C620" s="18"/>
      <c r="D620" s="47"/>
      <c r="E620" s="18"/>
      <c r="F620" s="18"/>
      <c r="G620" s="18"/>
      <c r="H620" s="18"/>
      <c r="I620" s="25"/>
      <c r="J620" s="18"/>
      <c r="K620" s="18"/>
      <c r="L620" s="18"/>
      <c r="M620" s="18"/>
      <c r="N620" s="18"/>
      <c r="O620" s="18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>
      <c r="A621" s="1"/>
      <c r="B621" s="1"/>
      <c r="C621" s="18"/>
      <c r="D621" s="47"/>
      <c r="E621" s="18"/>
      <c r="F621" s="18"/>
      <c r="G621" s="18"/>
      <c r="H621" s="18"/>
      <c r="I621" s="25"/>
      <c r="J621" s="18"/>
      <c r="K621" s="18"/>
      <c r="L621" s="18"/>
      <c r="M621" s="18"/>
      <c r="N621" s="18"/>
      <c r="O621" s="18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>
      <c r="A622" s="1"/>
      <c r="B622" s="1"/>
      <c r="C622" s="18"/>
      <c r="D622" s="47"/>
      <c r="E622" s="18"/>
      <c r="F622" s="18"/>
      <c r="G622" s="18"/>
      <c r="H622" s="18"/>
      <c r="I622" s="25"/>
      <c r="J622" s="18"/>
      <c r="K622" s="18"/>
      <c r="L622" s="18"/>
      <c r="M622" s="18"/>
      <c r="N622" s="18"/>
      <c r="O622" s="18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>
      <c r="A623" s="1"/>
      <c r="B623" s="1"/>
      <c r="C623" s="18"/>
      <c r="D623" s="47"/>
      <c r="E623" s="18"/>
      <c r="F623" s="18"/>
      <c r="G623" s="18"/>
      <c r="H623" s="18"/>
      <c r="I623" s="25"/>
      <c r="J623" s="18"/>
      <c r="K623" s="18"/>
      <c r="L623" s="18"/>
      <c r="M623" s="18"/>
      <c r="N623" s="18"/>
      <c r="O623" s="18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>
      <c r="A624" s="1"/>
      <c r="B624" s="1"/>
      <c r="C624" s="18"/>
      <c r="D624" s="47"/>
      <c r="E624" s="18"/>
      <c r="F624" s="18"/>
      <c r="G624" s="18"/>
      <c r="H624" s="18"/>
      <c r="I624" s="25"/>
      <c r="J624" s="18"/>
      <c r="K624" s="18"/>
      <c r="L624" s="18"/>
      <c r="M624" s="18"/>
      <c r="N624" s="18"/>
      <c r="O624" s="18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>
      <c r="A625" s="1"/>
      <c r="B625" s="1"/>
      <c r="C625" s="18"/>
      <c r="D625" s="47"/>
      <c r="E625" s="18"/>
      <c r="F625" s="18"/>
      <c r="G625" s="18"/>
      <c r="H625" s="18"/>
      <c r="I625" s="25"/>
      <c r="J625" s="18"/>
      <c r="K625" s="18"/>
      <c r="L625" s="18"/>
      <c r="M625" s="18"/>
      <c r="N625" s="18"/>
      <c r="O625" s="18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>
      <c r="A626" s="1"/>
      <c r="B626" s="1"/>
      <c r="C626" s="18"/>
      <c r="D626" s="47"/>
      <c r="E626" s="18"/>
      <c r="F626" s="18"/>
      <c r="G626" s="18"/>
      <c r="H626" s="18"/>
      <c r="I626" s="25"/>
      <c r="J626" s="18"/>
      <c r="K626" s="18"/>
      <c r="L626" s="18"/>
      <c r="M626" s="18"/>
      <c r="N626" s="18"/>
      <c r="O626" s="18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>
      <c r="A627" s="1"/>
      <c r="B627" s="1"/>
      <c r="C627" s="18"/>
      <c r="D627" s="47"/>
      <c r="E627" s="18"/>
      <c r="F627" s="18"/>
      <c r="G627" s="18"/>
      <c r="H627" s="18"/>
      <c r="I627" s="25"/>
      <c r="J627" s="18"/>
      <c r="K627" s="18"/>
      <c r="L627" s="18"/>
      <c r="M627" s="18"/>
      <c r="N627" s="18"/>
      <c r="O627" s="18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>
      <c r="A628" s="1"/>
      <c r="B628" s="1"/>
      <c r="C628" s="18"/>
      <c r="D628" s="47"/>
      <c r="E628" s="18"/>
      <c r="F628" s="18"/>
      <c r="G628" s="18"/>
      <c r="H628" s="18"/>
      <c r="I628" s="25"/>
      <c r="J628" s="18"/>
      <c r="K628" s="18"/>
      <c r="L628" s="18"/>
      <c r="M628" s="18"/>
      <c r="N628" s="18"/>
      <c r="O628" s="18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>
      <c r="A629" s="1"/>
      <c r="B629" s="1"/>
      <c r="C629" s="18"/>
      <c r="D629" s="47"/>
      <c r="E629" s="18"/>
      <c r="F629" s="18"/>
      <c r="G629" s="18"/>
      <c r="H629" s="18"/>
      <c r="I629" s="25"/>
      <c r="J629" s="18"/>
      <c r="K629" s="18"/>
      <c r="L629" s="18"/>
      <c r="M629" s="18"/>
      <c r="N629" s="18"/>
      <c r="O629" s="18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>
      <c r="A630" s="1"/>
      <c r="B630" s="1"/>
      <c r="C630" s="18"/>
      <c r="D630" s="47"/>
      <c r="E630" s="18"/>
      <c r="F630" s="18"/>
      <c r="G630" s="18"/>
      <c r="H630" s="18"/>
      <c r="I630" s="25"/>
      <c r="J630" s="18"/>
      <c r="K630" s="18"/>
      <c r="L630" s="18"/>
      <c r="M630" s="18"/>
      <c r="N630" s="18"/>
      <c r="O630" s="18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>
      <c r="A631" s="1"/>
      <c r="B631" s="1"/>
      <c r="C631" s="18"/>
      <c r="D631" s="47"/>
      <c r="E631" s="18"/>
      <c r="F631" s="18"/>
      <c r="G631" s="18"/>
      <c r="H631" s="18"/>
      <c r="I631" s="25"/>
      <c r="J631" s="18"/>
      <c r="K631" s="18"/>
      <c r="L631" s="18"/>
      <c r="M631" s="18"/>
      <c r="N631" s="18"/>
      <c r="O631" s="18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>
      <c r="A632" s="1"/>
      <c r="B632" s="1"/>
      <c r="C632" s="18"/>
      <c r="D632" s="47"/>
      <c r="E632" s="18"/>
      <c r="F632" s="18"/>
      <c r="G632" s="18"/>
      <c r="H632" s="18"/>
      <c r="I632" s="25"/>
      <c r="J632" s="18"/>
      <c r="K632" s="18"/>
      <c r="L632" s="18"/>
      <c r="M632" s="18"/>
      <c r="N632" s="18"/>
      <c r="O632" s="18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>
      <c r="A633" s="1"/>
      <c r="B633" s="1"/>
      <c r="C633" s="18"/>
      <c r="D633" s="47"/>
      <c r="E633" s="18"/>
      <c r="F633" s="18"/>
      <c r="G633" s="18"/>
      <c r="H633" s="18"/>
      <c r="I633" s="25"/>
      <c r="J633" s="18"/>
      <c r="K633" s="18"/>
      <c r="L633" s="18"/>
      <c r="M633" s="18"/>
      <c r="N633" s="18"/>
      <c r="O633" s="18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>
      <c r="A634" s="1"/>
      <c r="B634" s="1"/>
      <c r="C634" s="18"/>
      <c r="D634" s="47"/>
      <c r="E634" s="18"/>
      <c r="F634" s="18"/>
      <c r="G634" s="18"/>
      <c r="H634" s="18"/>
      <c r="I634" s="25"/>
      <c r="J634" s="18"/>
      <c r="K634" s="18"/>
      <c r="L634" s="18"/>
      <c r="M634" s="18"/>
      <c r="N634" s="18"/>
      <c r="O634" s="18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>
      <c r="A635" s="1"/>
      <c r="B635" s="1"/>
      <c r="C635" s="18"/>
      <c r="D635" s="47"/>
      <c r="E635" s="18"/>
      <c r="F635" s="18"/>
      <c r="G635" s="18"/>
      <c r="H635" s="18"/>
      <c r="I635" s="25"/>
      <c r="J635" s="18"/>
      <c r="K635" s="18"/>
      <c r="L635" s="18"/>
      <c r="M635" s="18"/>
      <c r="N635" s="18"/>
      <c r="O635" s="18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>
      <c r="A636" s="1"/>
      <c r="B636" s="1"/>
      <c r="C636" s="18"/>
      <c r="D636" s="47"/>
      <c r="E636" s="18"/>
      <c r="F636" s="18"/>
      <c r="G636" s="18"/>
      <c r="H636" s="18"/>
      <c r="I636" s="25"/>
      <c r="J636" s="18"/>
      <c r="K636" s="18"/>
      <c r="L636" s="18"/>
      <c r="M636" s="18"/>
      <c r="N636" s="18"/>
      <c r="O636" s="18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>
      <c r="A637" s="1"/>
      <c r="B637" s="1"/>
      <c r="C637" s="18"/>
      <c r="D637" s="47"/>
      <c r="E637" s="18"/>
      <c r="F637" s="18"/>
      <c r="G637" s="18"/>
      <c r="H637" s="18"/>
      <c r="I637" s="25"/>
      <c r="J637" s="18"/>
      <c r="K637" s="18"/>
      <c r="L637" s="18"/>
      <c r="M637" s="18"/>
      <c r="N637" s="18"/>
      <c r="O637" s="18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>
      <c r="A638" s="1"/>
      <c r="B638" s="1"/>
      <c r="C638" s="18"/>
      <c r="D638" s="47"/>
      <c r="E638" s="18"/>
      <c r="F638" s="18"/>
      <c r="G638" s="18"/>
      <c r="H638" s="18"/>
      <c r="I638" s="25"/>
      <c r="J638" s="18"/>
      <c r="K638" s="18"/>
      <c r="L638" s="18"/>
      <c r="M638" s="18"/>
      <c r="N638" s="18"/>
      <c r="O638" s="18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>
      <c r="A639" s="1"/>
      <c r="B639" s="1"/>
      <c r="C639" s="18"/>
      <c r="D639" s="47"/>
      <c r="E639" s="18"/>
      <c r="F639" s="18"/>
      <c r="G639" s="18"/>
      <c r="H639" s="18"/>
      <c r="I639" s="25"/>
      <c r="J639" s="18"/>
      <c r="K639" s="18"/>
      <c r="L639" s="18"/>
      <c r="M639" s="18"/>
      <c r="N639" s="18"/>
      <c r="O639" s="18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>
      <c r="A640" s="1"/>
      <c r="B640" s="1"/>
      <c r="C640" s="18"/>
      <c r="D640" s="47"/>
      <c r="E640" s="18"/>
      <c r="F640" s="18"/>
      <c r="G640" s="18"/>
      <c r="H640" s="18"/>
      <c r="I640" s="25"/>
      <c r="J640" s="18"/>
      <c r="K640" s="18"/>
      <c r="L640" s="18"/>
      <c r="M640" s="18"/>
      <c r="N640" s="18"/>
      <c r="O640" s="18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>
      <c r="A641" s="1"/>
      <c r="B641" s="1"/>
      <c r="C641" s="18"/>
      <c r="D641" s="47"/>
      <c r="E641" s="18"/>
      <c r="F641" s="18"/>
      <c r="G641" s="18"/>
      <c r="H641" s="18"/>
      <c r="I641" s="25"/>
      <c r="J641" s="18"/>
      <c r="K641" s="18"/>
      <c r="L641" s="18"/>
      <c r="M641" s="18"/>
      <c r="N641" s="18"/>
      <c r="O641" s="18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>
      <c r="A642" s="1"/>
      <c r="B642" s="1"/>
      <c r="C642" s="18"/>
      <c r="D642" s="47"/>
      <c r="E642" s="18"/>
      <c r="F642" s="18"/>
      <c r="G642" s="18"/>
      <c r="H642" s="18"/>
      <c r="I642" s="25"/>
      <c r="J642" s="18"/>
      <c r="K642" s="18"/>
      <c r="L642" s="18"/>
      <c r="M642" s="18"/>
      <c r="N642" s="18"/>
      <c r="O642" s="18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>
      <c r="A643" s="1"/>
      <c r="B643" s="1"/>
      <c r="C643" s="18"/>
      <c r="D643" s="47"/>
      <c r="E643" s="18"/>
      <c r="F643" s="18"/>
      <c r="G643" s="18"/>
      <c r="H643" s="18"/>
      <c r="I643" s="25"/>
      <c r="J643" s="18"/>
      <c r="K643" s="18"/>
      <c r="L643" s="18"/>
      <c r="M643" s="18"/>
      <c r="N643" s="18"/>
      <c r="O643" s="18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>
      <c r="A644" s="1"/>
      <c r="B644" s="1"/>
      <c r="C644" s="18"/>
      <c r="D644" s="47"/>
      <c r="E644" s="18"/>
      <c r="F644" s="18"/>
      <c r="G644" s="18"/>
      <c r="H644" s="18"/>
      <c r="I644" s="25"/>
      <c r="J644" s="18"/>
      <c r="K644" s="18"/>
      <c r="L644" s="18"/>
      <c r="M644" s="18"/>
      <c r="N644" s="18"/>
      <c r="O644" s="18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>
      <c r="A645" s="1"/>
      <c r="B645" s="1"/>
      <c r="C645" s="18"/>
      <c r="D645" s="47"/>
      <c r="E645" s="18"/>
      <c r="F645" s="18"/>
      <c r="G645" s="18"/>
      <c r="H645" s="18"/>
      <c r="I645" s="25"/>
      <c r="J645" s="18"/>
      <c r="K645" s="18"/>
      <c r="L645" s="18"/>
      <c r="M645" s="18"/>
      <c r="N645" s="18"/>
      <c r="O645" s="18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>
      <c r="A646" s="1"/>
      <c r="B646" s="1"/>
      <c r="C646" s="18"/>
      <c r="D646" s="47"/>
      <c r="E646" s="18"/>
      <c r="F646" s="18"/>
      <c r="G646" s="18"/>
      <c r="H646" s="18"/>
      <c r="I646" s="25"/>
      <c r="J646" s="18"/>
      <c r="K646" s="18"/>
      <c r="L646" s="18"/>
      <c r="M646" s="18"/>
      <c r="N646" s="18"/>
      <c r="O646" s="18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>
      <c r="A647" s="1"/>
      <c r="B647" s="1"/>
      <c r="C647" s="18"/>
      <c r="D647" s="47"/>
      <c r="E647" s="18"/>
      <c r="F647" s="18"/>
      <c r="G647" s="18"/>
      <c r="H647" s="18"/>
      <c r="I647" s="25"/>
      <c r="J647" s="18"/>
      <c r="K647" s="18"/>
      <c r="L647" s="18"/>
      <c r="M647" s="18"/>
      <c r="N647" s="18"/>
      <c r="O647" s="18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>
      <c r="A648" s="1"/>
      <c r="B648" s="1"/>
      <c r="C648" s="18"/>
      <c r="D648" s="47"/>
      <c r="E648" s="18"/>
      <c r="F648" s="18"/>
      <c r="G648" s="18"/>
      <c r="H648" s="18"/>
      <c r="I648" s="25"/>
      <c r="J648" s="18"/>
      <c r="K648" s="18"/>
      <c r="L648" s="18"/>
      <c r="M648" s="18"/>
      <c r="N648" s="18"/>
      <c r="O648" s="18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>
      <c r="A649" s="1"/>
      <c r="B649" s="1"/>
      <c r="C649" s="18"/>
      <c r="D649" s="47"/>
      <c r="E649" s="18"/>
      <c r="F649" s="18"/>
      <c r="G649" s="18"/>
      <c r="H649" s="18"/>
      <c r="I649" s="25"/>
      <c r="J649" s="18"/>
      <c r="K649" s="18"/>
      <c r="L649" s="18"/>
      <c r="M649" s="18"/>
      <c r="N649" s="18"/>
      <c r="O649" s="18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>
      <c r="A650" s="1"/>
      <c r="B650" s="1"/>
      <c r="C650" s="18"/>
      <c r="D650" s="47"/>
      <c r="E650" s="18"/>
      <c r="F650" s="18"/>
      <c r="G650" s="18"/>
      <c r="H650" s="18"/>
      <c r="I650" s="25"/>
      <c r="J650" s="18"/>
      <c r="K650" s="18"/>
      <c r="L650" s="18"/>
      <c r="M650" s="18"/>
      <c r="N650" s="18"/>
      <c r="O650" s="18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>
      <c r="A651" s="1"/>
      <c r="B651" s="1"/>
      <c r="C651" s="18"/>
      <c r="D651" s="47"/>
      <c r="E651" s="18"/>
      <c r="F651" s="18"/>
      <c r="G651" s="18"/>
      <c r="H651" s="18"/>
      <c r="I651" s="25"/>
      <c r="J651" s="18"/>
      <c r="K651" s="18"/>
      <c r="L651" s="18"/>
      <c r="M651" s="18"/>
      <c r="N651" s="18"/>
      <c r="O651" s="18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>
      <c r="A652" s="1"/>
      <c r="B652" s="1"/>
      <c r="C652" s="18"/>
      <c r="D652" s="47"/>
      <c r="E652" s="18"/>
      <c r="F652" s="18"/>
      <c r="G652" s="18"/>
      <c r="H652" s="18"/>
      <c r="I652" s="25"/>
      <c r="J652" s="18"/>
      <c r="K652" s="18"/>
      <c r="L652" s="18"/>
      <c r="M652" s="18"/>
      <c r="N652" s="18"/>
      <c r="O652" s="18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>
      <c r="A653" s="1"/>
      <c r="B653" s="1"/>
      <c r="C653" s="18"/>
      <c r="D653" s="47"/>
      <c r="E653" s="18"/>
      <c r="F653" s="18"/>
      <c r="G653" s="18"/>
      <c r="H653" s="18"/>
      <c r="I653" s="25"/>
      <c r="J653" s="18"/>
      <c r="K653" s="18"/>
      <c r="L653" s="18"/>
      <c r="M653" s="18"/>
      <c r="N653" s="18"/>
      <c r="O653" s="18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>
      <c r="A654" s="1"/>
      <c r="B654" s="1"/>
      <c r="C654" s="18"/>
      <c r="D654" s="47"/>
      <c r="E654" s="18"/>
      <c r="F654" s="18"/>
      <c r="G654" s="18"/>
      <c r="H654" s="18"/>
      <c r="I654" s="25"/>
      <c r="J654" s="18"/>
      <c r="K654" s="18"/>
      <c r="L654" s="18"/>
      <c r="M654" s="18"/>
      <c r="N654" s="18"/>
      <c r="O654" s="18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>
      <c r="A655" s="1"/>
      <c r="B655" s="1"/>
      <c r="C655" s="18"/>
      <c r="D655" s="47"/>
      <c r="E655" s="18"/>
      <c r="F655" s="18"/>
      <c r="G655" s="18"/>
      <c r="H655" s="18"/>
      <c r="I655" s="25"/>
      <c r="J655" s="18"/>
      <c r="K655" s="18"/>
      <c r="L655" s="18"/>
      <c r="M655" s="18"/>
      <c r="N655" s="18"/>
      <c r="O655" s="18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>
      <c r="A656" s="1"/>
      <c r="B656" s="1"/>
      <c r="C656" s="18"/>
      <c r="D656" s="47"/>
      <c r="E656" s="18"/>
      <c r="F656" s="18"/>
      <c r="G656" s="18"/>
      <c r="H656" s="18"/>
      <c r="I656" s="25"/>
      <c r="J656" s="18"/>
      <c r="K656" s="18"/>
      <c r="L656" s="18"/>
      <c r="M656" s="18"/>
      <c r="N656" s="18"/>
      <c r="O656" s="18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>
      <c r="A657" s="1"/>
      <c r="B657" s="1"/>
      <c r="C657" s="18"/>
      <c r="D657" s="47"/>
      <c r="E657" s="18"/>
      <c r="F657" s="18"/>
      <c r="G657" s="18"/>
      <c r="H657" s="18"/>
      <c r="I657" s="25"/>
      <c r="J657" s="18"/>
      <c r="K657" s="18"/>
      <c r="L657" s="18"/>
      <c r="M657" s="18"/>
      <c r="N657" s="18"/>
      <c r="O657" s="18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>
      <c r="A658" s="1"/>
      <c r="B658" s="1"/>
      <c r="C658" s="18"/>
      <c r="D658" s="47"/>
      <c r="E658" s="18"/>
      <c r="F658" s="18"/>
      <c r="G658" s="18"/>
      <c r="H658" s="18"/>
      <c r="I658" s="25"/>
      <c r="J658" s="18"/>
      <c r="K658" s="18"/>
      <c r="L658" s="18"/>
      <c r="M658" s="18"/>
      <c r="N658" s="18"/>
      <c r="O658" s="18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>
      <c r="A659" s="1"/>
      <c r="B659" s="1"/>
      <c r="C659" s="18"/>
      <c r="D659" s="47"/>
      <c r="E659" s="18"/>
      <c r="F659" s="18"/>
      <c r="G659" s="18"/>
      <c r="H659" s="18"/>
      <c r="I659" s="25"/>
      <c r="J659" s="18"/>
      <c r="K659" s="18"/>
      <c r="L659" s="18"/>
      <c r="M659" s="18"/>
      <c r="N659" s="18"/>
      <c r="O659" s="18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>
      <c r="A660" s="1"/>
      <c r="B660" s="1"/>
      <c r="C660" s="18"/>
      <c r="D660" s="47"/>
      <c r="E660" s="18"/>
      <c r="F660" s="18"/>
      <c r="G660" s="18"/>
      <c r="H660" s="18"/>
      <c r="I660" s="25"/>
      <c r="J660" s="18"/>
      <c r="K660" s="18"/>
      <c r="L660" s="18"/>
      <c r="M660" s="18"/>
      <c r="N660" s="18"/>
      <c r="O660" s="18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>
      <c r="A661" s="1"/>
      <c r="B661" s="1"/>
      <c r="C661" s="18"/>
      <c r="D661" s="47"/>
      <c r="E661" s="18"/>
      <c r="F661" s="18"/>
      <c r="G661" s="18"/>
      <c r="H661" s="18"/>
      <c r="I661" s="25"/>
      <c r="J661" s="18"/>
      <c r="K661" s="18"/>
      <c r="L661" s="18"/>
      <c r="M661" s="18"/>
      <c r="N661" s="18"/>
      <c r="O661" s="18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>
      <c r="A662" s="1"/>
      <c r="B662" s="1"/>
      <c r="C662" s="18"/>
      <c r="D662" s="47"/>
      <c r="E662" s="18"/>
      <c r="F662" s="18"/>
      <c r="G662" s="18"/>
      <c r="H662" s="18"/>
      <c r="I662" s="25"/>
      <c r="J662" s="18"/>
      <c r="K662" s="18"/>
      <c r="L662" s="18"/>
      <c r="M662" s="18"/>
      <c r="N662" s="18"/>
      <c r="O662" s="18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>
      <c r="A663" s="1"/>
      <c r="B663" s="1"/>
      <c r="C663" s="18"/>
      <c r="D663" s="47"/>
      <c r="E663" s="18"/>
      <c r="F663" s="18"/>
      <c r="G663" s="18"/>
      <c r="H663" s="18"/>
      <c r="I663" s="25"/>
      <c r="J663" s="18"/>
      <c r="K663" s="18"/>
      <c r="L663" s="18"/>
      <c r="M663" s="18"/>
      <c r="N663" s="18"/>
      <c r="O663" s="18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>
      <c r="A664" s="1"/>
      <c r="B664" s="1"/>
      <c r="C664" s="18"/>
      <c r="D664" s="47"/>
      <c r="E664" s="18"/>
      <c r="F664" s="18"/>
      <c r="G664" s="18"/>
      <c r="H664" s="18"/>
      <c r="I664" s="25"/>
      <c r="J664" s="18"/>
      <c r="K664" s="18"/>
      <c r="L664" s="18"/>
      <c r="M664" s="18"/>
      <c r="N664" s="18"/>
      <c r="O664" s="18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>
      <c r="A665" s="1"/>
      <c r="B665" s="1"/>
      <c r="C665" s="18"/>
      <c r="D665" s="47"/>
      <c r="E665" s="18"/>
      <c r="F665" s="18"/>
      <c r="G665" s="18"/>
      <c r="H665" s="18"/>
      <c r="I665" s="25"/>
      <c r="J665" s="18"/>
      <c r="K665" s="18"/>
      <c r="L665" s="18"/>
      <c r="M665" s="18"/>
      <c r="N665" s="18"/>
      <c r="O665" s="18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>
      <c r="A666" s="1"/>
      <c r="B666" s="1"/>
      <c r="C666" s="18"/>
      <c r="D666" s="47"/>
      <c r="E666" s="18"/>
      <c r="F666" s="18"/>
      <c r="G666" s="18"/>
      <c r="H666" s="18"/>
      <c r="I666" s="25"/>
      <c r="J666" s="18"/>
      <c r="K666" s="18"/>
      <c r="L666" s="18"/>
      <c r="M666" s="18"/>
      <c r="N666" s="18"/>
      <c r="O666" s="18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>
      <c r="A667" s="1"/>
      <c r="B667" s="1"/>
      <c r="C667" s="18"/>
      <c r="D667" s="47"/>
      <c r="E667" s="18"/>
      <c r="F667" s="18"/>
      <c r="G667" s="18"/>
      <c r="H667" s="18"/>
      <c r="I667" s="25"/>
      <c r="J667" s="18"/>
      <c r="K667" s="18"/>
      <c r="L667" s="18"/>
      <c r="M667" s="18"/>
      <c r="N667" s="18"/>
      <c r="O667" s="18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>
      <c r="A668" s="1"/>
      <c r="B668" s="1"/>
      <c r="C668" s="18"/>
      <c r="D668" s="47"/>
      <c r="E668" s="18"/>
      <c r="F668" s="18"/>
      <c r="G668" s="18"/>
      <c r="H668" s="18"/>
      <c r="I668" s="25"/>
      <c r="J668" s="18"/>
      <c r="K668" s="18"/>
      <c r="L668" s="18"/>
      <c r="M668" s="18"/>
      <c r="N668" s="18"/>
      <c r="O668" s="18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>
      <c r="A669" s="1"/>
      <c r="B669" s="1"/>
      <c r="C669" s="18"/>
      <c r="D669" s="47"/>
      <c r="E669" s="18"/>
      <c r="F669" s="18"/>
      <c r="G669" s="18"/>
      <c r="H669" s="18"/>
      <c r="I669" s="25"/>
      <c r="J669" s="18"/>
      <c r="K669" s="18"/>
      <c r="L669" s="18"/>
      <c r="M669" s="18"/>
      <c r="N669" s="18"/>
      <c r="O669" s="18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>
      <c r="A670" s="1"/>
      <c r="B670" s="1"/>
      <c r="C670" s="18"/>
      <c r="D670" s="47"/>
      <c r="E670" s="18"/>
      <c r="F670" s="18"/>
      <c r="G670" s="18"/>
      <c r="H670" s="18"/>
      <c r="I670" s="25"/>
      <c r="J670" s="18"/>
      <c r="K670" s="18"/>
      <c r="L670" s="18"/>
      <c r="M670" s="18"/>
      <c r="N670" s="18"/>
      <c r="O670" s="18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>
      <c r="A671" s="1"/>
      <c r="B671" s="1"/>
      <c r="C671" s="18"/>
      <c r="D671" s="47"/>
      <c r="E671" s="18"/>
      <c r="F671" s="18"/>
      <c r="G671" s="18"/>
      <c r="H671" s="18"/>
      <c r="I671" s="25"/>
      <c r="J671" s="18"/>
      <c r="K671" s="18"/>
      <c r="L671" s="18"/>
      <c r="M671" s="18"/>
      <c r="N671" s="18"/>
      <c r="O671" s="18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>
      <c r="A672" s="1"/>
      <c r="B672" s="1"/>
      <c r="C672" s="18"/>
      <c r="D672" s="47"/>
      <c r="E672" s="18"/>
      <c r="F672" s="18"/>
      <c r="G672" s="18"/>
      <c r="H672" s="18"/>
      <c r="I672" s="25"/>
      <c r="J672" s="18"/>
      <c r="K672" s="18"/>
      <c r="L672" s="18"/>
      <c r="M672" s="18"/>
      <c r="N672" s="18"/>
      <c r="O672" s="18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>
      <c r="A673" s="1"/>
      <c r="B673" s="1"/>
      <c r="C673" s="18"/>
      <c r="D673" s="47"/>
      <c r="E673" s="18"/>
      <c r="F673" s="18"/>
      <c r="G673" s="18"/>
      <c r="H673" s="18"/>
      <c r="I673" s="25"/>
      <c r="J673" s="18"/>
      <c r="K673" s="18"/>
      <c r="L673" s="18"/>
      <c r="M673" s="18"/>
      <c r="N673" s="18"/>
      <c r="O673" s="18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>
      <c r="A674" s="1"/>
      <c r="B674" s="1"/>
      <c r="C674" s="18"/>
      <c r="D674" s="47"/>
      <c r="E674" s="18"/>
      <c r="F674" s="18"/>
      <c r="G674" s="18"/>
      <c r="H674" s="18"/>
      <c r="I674" s="25"/>
      <c r="J674" s="18"/>
      <c r="K674" s="18"/>
      <c r="L674" s="18"/>
      <c r="M674" s="18"/>
      <c r="N674" s="18"/>
      <c r="O674" s="18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>
      <c r="A675" s="1"/>
      <c r="B675" s="1"/>
      <c r="C675" s="18"/>
      <c r="D675" s="47"/>
      <c r="E675" s="18"/>
      <c r="F675" s="18"/>
      <c r="G675" s="18"/>
      <c r="H675" s="18"/>
      <c r="I675" s="25"/>
      <c r="J675" s="18"/>
      <c r="K675" s="18"/>
      <c r="L675" s="18"/>
      <c r="M675" s="18"/>
      <c r="N675" s="18"/>
      <c r="O675" s="18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>
      <c r="A676" s="1"/>
      <c r="B676" s="1"/>
      <c r="C676" s="18"/>
      <c r="D676" s="47"/>
      <c r="E676" s="18"/>
      <c r="F676" s="18"/>
      <c r="G676" s="18"/>
      <c r="H676" s="18"/>
      <c r="I676" s="25"/>
      <c r="J676" s="18"/>
      <c r="K676" s="18"/>
      <c r="L676" s="18"/>
      <c r="M676" s="18"/>
      <c r="N676" s="18"/>
      <c r="O676" s="18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>
      <c r="A677" s="1"/>
      <c r="B677" s="1"/>
      <c r="C677" s="18"/>
      <c r="D677" s="47"/>
      <c r="E677" s="18"/>
      <c r="F677" s="18"/>
      <c r="G677" s="18"/>
      <c r="H677" s="18"/>
      <c r="I677" s="25"/>
      <c r="J677" s="18"/>
      <c r="K677" s="18"/>
      <c r="L677" s="18"/>
      <c r="M677" s="18"/>
      <c r="N677" s="18"/>
      <c r="O677" s="18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>
      <c r="A678" s="1"/>
      <c r="B678" s="1"/>
      <c r="C678" s="18"/>
      <c r="D678" s="47"/>
      <c r="E678" s="18"/>
      <c r="F678" s="18"/>
      <c r="G678" s="18"/>
      <c r="H678" s="18"/>
      <c r="I678" s="25"/>
      <c r="J678" s="18"/>
      <c r="K678" s="18"/>
      <c r="L678" s="18"/>
      <c r="M678" s="18"/>
      <c r="N678" s="18"/>
      <c r="O678" s="18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>
      <c r="A679" s="1"/>
      <c r="B679" s="1"/>
      <c r="C679" s="18"/>
      <c r="D679" s="47"/>
      <c r="E679" s="18"/>
      <c r="F679" s="18"/>
      <c r="G679" s="18"/>
      <c r="H679" s="18"/>
      <c r="I679" s="25"/>
      <c r="J679" s="18"/>
      <c r="K679" s="18"/>
      <c r="L679" s="18"/>
      <c r="M679" s="18"/>
      <c r="N679" s="18"/>
      <c r="O679" s="18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>
      <c r="A680" s="1"/>
      <c r="B680" s="1"/>
      <c r="C680" s="18"/>
      <c r="D680" s="47"/>
      <c r="E680" s="18"/>
      <c r="F680" s="18"/>
      <c r="G680" s="18"/>
      <c r="H680" s="18"/>
      <c r="I680" s="25"/>
      <c r="J680" s="18"/>
      <c r="K680" s="18"/>
      <c r="L680" s="18"/>
      <c r="M680" s="18"/>
      <c r="N680" s="18"/>
      <c r="O680" s="18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>
      <c r="A681" s="1"/>
      <c r="B681" s="1"/>
      <c r="C681" s="18"/>
      <c r="D681" s="47"/>
      <c r="E681" s="18"/>
      <c r="F681" s="18"/>
      <c r="G681" s="18"/>
      <c r="H681" s="18"/>
      <c r="I681" s="25"/>
      <c r="J681" s="18"/>
      <c r="K681" s="18"/>
      <c r="L681" s="18"/>
      <c r="M681" s="18"/>
      <c r="N681" s="18"/>
      <c r="O681" s="18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>
      <c r="A682" s="1"/>
      <c r="B682" s="1"/>
      <c r="C682" s="18"/>
      <c r="D682" s="47"/>
      <c r="E682" s="18"/>
      <c r="F682" s="18"/>
      <c r="G682" s="18"/>
      <c r="H682" s="18"/>
      <c r="I682" s="25"/>
      <c r="J682" s="18"/>
      <c r="K682" s="18"/>
      <c r="L682" s="18"/>
      <c r="M682" s="18"/>
      <c r="N682" s="18"/>
      <c r="O682" s="18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>
      <c r="A683" s="1"/>
      <c r="B683" s="1"/>
      <c r="C683" s="18"/>
      <c r="D683" s="47"/>
      <c r="E683" s="18"/>
      <c r="F683" s="18"/>
      <c r="G683" s="18"/>
      <c r="H683" s="18"/>
      <c r="I683" s="25"/>
      <c r="J683" s="18"/>
      <c r="K683" s="18"/>
      <c r="L683" s="18"/>
      <c r="M683" s="18"/>
      <c r="N683" s="18"/>
      <c r="O683" s="18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>
      <c r="A684" s="1"/>
      <c r="B684" s="1"/>
      <c r="C684" s="18"/>
      <c r="D684" s="47"/>
      <c r="E684" s="18"/>
      <c r="F684" s="18"/>
      <c r="G684" s="18"/>
      <c r="H684" s="18"/>
      <c r="I684" s="25"/>
      <c r="J684" s="18"/>
      <c r="K684" s="18"/>
      <c r="L684" s="18"/>
      <c r="M684" s="18"/>
      <c r="N684" s="18"/>
      <c r="O684" s="18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>
      <c r="A685" s="1"/>
      <c r="B685" s="1"/>
      <c r="C685" s="18"/>
      <c r="D685" s="47"/>
      <c r="E685" s="18"/>
      <c r="F685" s="18"/>
      <c r="G685" s="18"/>
      <c r="H685" s="18"/>
      <c r="I685" s="25"/>
      <c r="J685" s="18"/>
      <c r="K685" s="18"/>
      <c r="L685" s="18"/>
      <c r="M685" s="18"/>
      <c r="N685" s="18"/>
      <c r="O685" s="18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>
      <c r="A686" s="1"/>
      <c r="B686" s="1"/>
      <c r="C686" s="18"/>
      <c r="D686" s="47"/>
      <c r="E686" s="18"/>
      <c r="F686" s="18"/>
      <c r="G686" s="18"/>
      <c r="H686" s="18"/>
      <c r="I686" s="25"/>
      <c r="J686" s="18"/>
      <c r="K686" s="18"/>
      <c r="L686" s="18"/>
      <c r="M686" s="18"/>
      <c r="N686" s="18"/>
      <c r="O686" s="18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>
      <c r="A687" s="1"/>
      <c r="B687" s="1"/>
      <c r="C687" s="18"/>
      <c r="D687" s="47"/>
      <c r="E687" s="18"/>
      <c r="F687" s="18"/>
      <c r="G687" s="18"/>
      <c r="H687" s="18"/>
      <c r="I687" s="25"/>
      <c r="J687" s="18"/>
      <c r="K687" s="18"/>
      <c r="L687" s="18"/>
      <c r="M687" s="18"/>
      <c r="N687" s="18"/>
      <c r="O687" s="18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>
      <c r="A688" s="1"/>
      <c r="B688" s="1"/>
      <c r="C688" s="18"/>
      <c r="D688" s="47"/>
      <c r="E688" s="18"/>
      <c r="F688" s="18"/>
      <c r="G688" s="18"/>
      <c r="H688" s="18"/>
      <c r="I688" s="25"/>
      <c r="J688" s="18"/>
      <c r="K688" s="18"/>
      <c r="L688" s="18"/>
      <c r="M688" s="18"/>
      <c r="N688" s="18"/>
      <c r="O688" s="18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>
      <c r="A689" s="1"/>
      <c r="B689" s="1"/>
      <c r="C689" s="18"/>
      <c r="D689" s="47"/>
      <c r="E689" s="18"/>
      <c r="F689" s="18"/>
      <c r="G689" s="18"/>
      <c r="H689" s="18"/>
      <c r="I689" s="25"/>
      <c r="J689" s="18"/>
      <c r="K689" s="18"/>
      <c r="L689" s="18"/>
      <c r="M689" s="18"/>
      <c r="N689" s="18"/>
      <c r="O689" s="18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>
      <c r="A690" s="1"/>
      <c r="B690" s="1"/>
      <c r="C690" s="18"/>
      <c r="D690" s="47"/>
      <c r="E690" s="18"/>
      <c r="F690" s="18"/>
      <c r="G690" s="18"/>
      <c r="H690" s="18"/>
      <c r="I690" s="25"/>
      <c r="J690" s="18"/>
      <c r="K690" s="18"/>
      <c r="L690" s="18"/>
      <c r="M690" s="18"/>
      <c r="N690" s="18"/>
      <c r="O690" s="18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>
      <c r="A691" s="1"/>
      <c r="B691" s="1"/>
      <c r="C691" s="18"/>
      <c r="D691" s="47"/>
      <c r="E691" s="18"/>
      <c r="F691" s="18"/>
      <c r="G691" s="18"/>
      <c r="H691" s="18"/>
      <c r="I691" s="25"/>
      <c r="J691" s="18"/>
      <c r="K691" s="18"/>
      <c r="L691" s="18"/>
      <c r="M691" s="18"/>
      <c r="N691" s="18"/>
      <c r="O691" s="18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>
      <c r="A692" s="1"/>
      <c r="B692" s="1"/>
      <c r="C692" s="18"/>
      <c r="D692" s="47"/>
      <c r="E692" s="18"/>
      <c r="F692" s="18"/>
      <c r="G692" s="18"/>
      <c r="H692" s="18"/>
      <c r="I692" s="25"/>
      <c r="J692" s="18"/>
      <c r="K692" s="18"/>
      <c r="L692" s="18"/>
      <c r="M692" s="18"/>
      <c r="N692" s="18"/>
      <c r="O692" s="18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>
      <c r="A693" s="1"/>
      <c r="B693" s="1"/>
      <c r="C693" s="18"/>
      <c r="D693" s="47"/>
      <c r="E693" s="18"/>
      <c r="F693" s="18"/>
      <c r="G693" s="18"/>
      <c r="H693" s="18"/>
      <c r="I693" s="25"/>
      <c r="J693" s="18"/>
      <c r="K693" s="18"/>
      <c r="L693" s="18"/>
      <c r="M693" s="18"/>
      <c r="N693" s="18"/>
      <c r="O693" s="18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>
      <c r="A694" s="1"/>
      <c r="B694" s="1"/>
      <c r="C694" s="18"/>
      <c r="D694" s="47"/>
      <c r="E694" s="18"/>
      <c r="F694" s="18"/>
      <c r="G694" s="18"/>
      <c r="H694" s="18"/>
      <c r="I694" s="25"/>
      <c r="J694" s="18"/>
      <c r="K694" s="18"/>
      <c r="L694" s="18"/>
      <c r="M694" s="18"/>
      <c r="N694" s="18"/>
      <c r="O694" s="18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>
      <c r="A695" s="1"/>
      <c r="B695" s="1"/>
      <c r="C695" s="18"/>
      <c r="D695" s="47"/>
      <c r="E695" s="18"/>
      <c r="F695" s="18"/>
      <c r="G695" s="18"/>
      <c r="H695" s="18"/>
      <c r="I695" s="25"/>
      <c r="J695" s="18"/>
      <c r="K695" s="18"/>
      <c r="L695" s="18"/>
      <c r="M695" s="18"/>
      <c r="N695" s="18"/>
      <c r="O695" s="18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>
      <c r="A696" s="1"/>
      <c r="B696" s="1"/>
      <c r="C696" s="18"/>
      <c r="D696" s="47"/>
      <c r="E696" s="18"/>
      <c r="F696" s="18"/>
      <c r="G696" s="18"/>
      <c r="H696" s="18"/>
      <c r="I696" s="25"/>
      <c r="J696" s="18"/>
      <c r="K696" s="18"/>
      <c r="L696" s="18"/>
      <c r="M696" s="18"/>
      <c r="N696" s="18"/>
      <c r="O696" s="18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>
      <c r="A697" s="1"/>
      <c r="B697" s="1"/>
      <c r="C697" s="18"/>
      <c r="D697" s="47"/>
      <c r="E697" s="18"/>
      <c r="F697" s="18"/>
      <c r="G697" s="18"/>
      <c r="H697" s="18"/>
      <c r="I697" s="25"/>
      <c r="J697" s="18"/>
      <c r="K697" s="18"/>
      <c r="L697" s="18"/>
      <c r="M697" s="18"/>
      <c r="N697" s="18"/>
      <c r="O697" s="18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>
      <c r="A698" s="1"/>
      <c r="B698" s="1"/>
      <c r="C698" s="18"/>
      <c r="D698" s="47"/>
      <c r="E698" s="18"/>
      <c r="F698" s="18"/>
      <c r="G698" s="18"/>
      <c r="H698" s="18"/>
      <c r="I698" s="25"/>
      <c r="J698" s="18"/>
      <c r="K698" s="18"/>
      <c r="L698" s="18"/>
      <c r="M698" s="18"/>
      <c r="N698" s="18"/>
      <c r="O698" s="18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>
      <c r="A699" s="1"/>
      <c r="B699" s="1"/>
      <c r="C699" s="18"/>
      <c r="D699" s="47"/>
      <c r="E699" s="18"/>
      <c r="F699" s="18"/>
      <c r="G699" s="18"/>
      <c r="H699" s="18"/>
      <c r="I699" s="25"/>
      <c r="J699" s="18"/>
      <c r="K699" s="18"/>
      <c r="L699" s="18"/>
      <c r="M699" s="18"/>
      <c r="N699" s="18"/>
      <c r="O699" s="18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>
      <c r="A700" s="1"/>
      <c r="B700" s="1"/>
      <c r="C700" s="18"/>
      <c r="D700" s="47"/>
      <c r="E700" s="18"/>
      <c r="F700" s="18"/>
      <c r="G700" s="18"/>
      <c r="H700" s="18"/>
      <c r="I700" s="25"/>
      <c r="J700" s="18"/>
      <c r="K700" s="18"/>
      <c r="L700" s="18"/>
      <c r="M700" s="18"/>
      <c r="N700" s="18"/>
      <c r="O700" s="18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>
      <c r="A701" s="1"/>
      <c r="B701" s="1"/>
      <c r="C701" s="18"/>
      <c r="D701" s="47"/>
      <c r="E701" s="18"/>
      <c r="F701" s="18"/>
      <c r="G701" s="18"/>
      <c r="H701" s="18"/>
      <c r="I701" s="25"/>
      <c r="J701" s="18"/>
      <c r="K701" s="18"/>
      <c r="L701" s="18"/>
      <c r="M701" s="18"/>
      <c r="N701" s="18"/>
      <c r="O701" s="18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>
      <c r="A702" s="1"/>
      <c r="B702" s="1"/>
      <c r="C702" s="18"/>
      <c r="D702" s="47"/>
      <c r="E702" s="18"/>
      <c r="F702" s="18"/>
      <c r="G702" s="18"/>
      <c r="H702" s="18"/>
      <c r="I702" s="25"/>
      <c r="J702" s="18"/>
      <c r="K702" s="18"/>
      <c r="L702" s="18"/>
      <c r="M702" s="18"/>
      <c r="N702" s="18"/>
      <c r="O702" s="18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>
      <c r="A703" s="1"/>
      <c r="B703" s="1"/>
      <c r="C703" s="18"/>
      <c r="D703" s="47"/>
      <c r="E703" s="18"/>
      <c r="F703" s="18"/>
      <c r="G703" s="18"/>
      <c r="H703" s="18"/>
      <c r="I703" s="25"/>
      <c r="J703" s="18"/>
      <c r="K703" s="18"/>
      <c r="L703" s="18"/>
      <c r="M703" s="18"/>
      <c r="N703" s="18"/>
      <c r="O703" s="18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>
      <c r="A704" s="1"/>
      <c r="B704" s="1"/>
      <c r="C704" s="18"/>
      <c r="D704" s="47"/>
      <c r="E704" s="18"/>
      <c r="F704" s="18"/>
      <c r="G704" s="18"/>
      <c r="H704" s="18"/>
      <c r="I704" s="25"/>
      <c r="J704" s="18"/>
      <c r="K704" s="18"/>
      <c r="L704" s="18"/>
      <c r="M704" s="18"/>
      <c r="N704" s="18"/>
      <c r="O704" s="18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>
      <c r="A705" s="1"/>
      <c r="B705" s="1"/>
      <c r="C705" s="18"/>
      <c r="D705" s="47"/>
      <c r="E705" s="18"/>
      <c r="F705" s="18"/>
      <c r="G705" s="18"/>
      <c r="H705" s="18"/>
      <c r="I705" s="25"/>
      <c r="J705" s="18"/>
      <c r="K705" s="18"/>
      <c r="L705" s="18"/>
      <c r="M705" s="18"/>
      <c r="N705" s="18"/>
      <c r="O705" s="18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>
      <c r="A706" s="1"/>
      <c r="B706" s="1"/>
      <c r="C706" s="18"/>
      <c r="D706" s="47"/>
      <c r="E706" s="18"/>
      <c r="F706" s="18"/>
      <c r="G706" s="18"/>
      <c r="H706" s="18"/>
      <c r="I706" s="25"/>
      <c r="J706" s="18"/>
      <c r="K706" s="18"/>
      <c r="L706" s="18"/>
      <c r="M706" s="18"/>
      <c r="N706" s="18"/>
      <c r="O706" s="18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>
      <c r="A707" s="1"/>
      <c r="B707" s="1"/>
      <c r="C707" s="18"/>
      <c r="D707" s="47"/>
      <c r="E707" s="18"/>
      <c r="F707" s="18"/>
      <c r="G707" s="18"/>
      <c r="H707" s="18"/>
      <c r="I707" s="25"/>
      <c r="J707" s="18"/>
      <c r="K707" s="18"/>
      <c r="L707" s="18"/>
      <c r="M707" s="18"/>
      <c r="N707" s="18"/>
      <c r="O707" s="18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>
      <c r="A708" s="1"/>
      <c r="B708" s="1"/>
      <c r="C708" s="18"/>
      <c r="D708" s="47"/>
      <c r="E708" s="18"/>
      <c r="F708" s="18"/>
      <c r="G708" s="18"/>
      <c r="H708" s="18"/>
      <c r="I708" s="25"/>
      <c r="J708" s="18"/>
      <c r="K708" s="18"/>
      <c r="L708" s="18"/>
      <c r="M708" s="18"/>
      <c r="N708" s="18"/>
      <c r="O708" s="18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>
      <c r="A709" s="1"/>
      <c r="B709" s="1"/>
      <c r="C709" s="18"/>
      <c r="D709" s="47"/>
      <c r="E709" s="18"/>
      <c r="F709" s="18"/>
      <c r="G709" s="18"/>
      <c r="H709" s="18"/>
      <c r="I709" s="25"/>
      <c r="J709" s="18"/>
      <c r="K709" s="18"/>
      <c r="L709" s="18"/>
      <c r="M709" s="18"/>
      <c r="N709" s="18"/>
      <c r="O709" s="18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>
      <c r="A710" s="1"/>
      <c r="B710" s="1"/>
      <c r="C710" s="18"/>
      <c r="D710" s="47"/>
      <c r="E710" s="18"/>
      <c r="F710" s="18"/>
      <c r="G710" s="18"/>
      <c r="H710" s="18"/>
      <c r="I710" s="25"/>
      <c r="J710" s="18"/>
      <c r="K710" s="18"/>
      <c r="L710" s="18"/>
      <c r="M710" s="18"/>
      <c r="N710" s="18"/>
      <c r="O710" s="18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>
      <c r="A711" s="1"/>
      <c r="B711" s="1"/>
      <c r="C711" s="18"/>
      <c r="D711" s="47"/>
      <c r="E711" s="18"/>
      <c r="F711" s="18"/>
      <c r="G711" s="18"/>
      <c r="H711" s="18"/>
      <c r="I711" s="25"/>
      <c r="J711" s="18"/>
      <c r="K711" s="18"/>
      <c r="L711" s="18"/>
      <c r="M711" s="18"/>
      <c r="N711" s="18"/>
      <c r="O711" s="18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>
      <c r="A712" s="1"/>
      <c r="B712" s="1"/>
      <c r="C712" s="18"/>
      <c r="D712" s="47"/>
      <c r="E712" s="18"/>
      <c r="F712" s="18"/>
      <c r="G712" s="18"/>
      <c r="H712" s="18"/>
      <c r="I712" s="25"/>
      <c r="J712" s="18"/>
      <c r="K712" s="18"/>
      <c r="L712" s="18"/>
      <c r="M712" s="18"/>
      <c r="N712" s="18"/>
      <c r="O712" s="18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>
      <c r="A713" s="1"/>
      <c r="B713" s="1"/>
      <c r="C713" s="18"/>
      <c r="D713" s="47"/>
      <c r="E713" s="18"/>
      <c r="F713" s="18"/>
      <c r="G713" s="18"/>
      <c r="H713" s="18"/>
      <c r="I713" s="25"/>
      <c r="J713" s="18"/>
      <c r="K713" s="18"/>
      <c r="L713" s="18"/>
      <c r="M713" s="18"/>
      <c r="N713" s="18"/>
      <c r="O713" s="18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>
      <c r="A714" s="1"/>
      <c r="B714" s="1"/>
      <c r="C714" s="18"/>
      <c r="D714" s="47"/>
      <c r="E714" s="18"/>
      <c r="F714" s="18"/>
      <c r="G714" s="18"/>
      <c r="H714" s="18"/>
      <c r="I714" s="25"/>
      <c r="J714" s="18"/>
      <c r="K714" s="18"/>
      <c r="L714" s="18"/>
      <c r="M714" s="18"/>
      <c r="N714" s="18"/>
      <c r="O714" s="18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>
      <c r="A715" s="1"/>
      <c r="B715" s="1"/>
      <c r="C715" s="18"/>
      <c r="D715" s="47"/>
      <c r="E715" s="18"/>
      <c r="F715" s="18"/>
      <c r="G715" s="18"/>
      <c r="H715" s="18"/>
      <c r="I715" s="25"/>
      <c r="J715" s="18"/>
      <c r="K715" s="18"/>
      <c r="L715" s="18"/>
      <c r="M715" s="18"/>
      <c r="N715" s="18"/>
      <c r="O715" s="18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>
      <c r="A716" s="1"/>
      <c r="B716" s="1"/>
      <c r="C716" s="18"/>
      <c r="D716" s="47"/>
      <c r="E716" s="18"/>
      <c r="F716" s="18"/>
      <c r="G716" s="18"/>
      <c r="H716" s="18"/>
      <c r="I716" s="25"/>
      <c r="J716" s="18"/>
      <c r="K716" s="18"/>
      <c r="L716" s="18"/>
      <c r="M716" s="18"/>
      <c r="N716" s="18"/>
      <c r="O716" s="18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>
      <c r="A717" s="1"/>
      <c r="B717" s="1"/>
      <c r="C717" s="18"/>
      <c r="D717" s="47"/>
      <c r="E717" s="18"/>
      <c r="F717" s="18"/>
      <c r="G717" s="18"/>
      <c r="H717" s="18"/>
      <c r="I717" s="25"/>
      <c r="J717" s="18"/>
      <c r="K717" s="18"/>
      <c r="L717" s="18"/>
      <c r="M717" s="18"/>
      <c r="N717" s="18"/>
      <c r="O717" s="18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>
      <c r="A718" s="1"/>
      <c r="B718" s="1"/>
      <c r="C718" s="18"/>
      <c r="D718" s="47"/>
      <c r="E718" s="18"/>
      <c r="F718" s="18"/>
      <c r="G718" s="18"/>
      <c r="H718" s="18"/>
      <c r="I718" s="25"/>
      <c r="J718" s="18"/>
      <c r="K718" s="18"/>
      <c r="L718" s="18"/>
      <c r="M718" s="18"/>
      <c r="N718" s="18"/>
      <c r="O718" s="18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>
      <c r="A719" s="1"/>
      <c r="B719" s="1"/>
      <c r="C719" s="18"/>
      <c r="D719" s="47"/>
      <c r="E719" s="18"/>
      <c r="F719" s="18"/>
      <c r="G719" s="18"/>
      <c r="H719" s="18"/>
      <c r="I719" s="25"/>
      <c r="J719" s="18"/>
      <c r="K719" s="18"/>
      <c r="L719" s="18"/>
      <c r="M719" s="18"/>
      <c r="N719" s="18"/>
      <c r="O719" s="18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>
      <c r="A720" s="1"/>
      <c r="B720" s="1"/>
      <c r="C720" s="18"/>
      <c r="D720" s="47"/>
      <c r="E720" s="18"/>
      <c r="F720" s="18"/>
      <c r="G720" s="18"/>
      <c r="H720" s="18"/>
      <c r="I720" s="25"/>
      <c r="J720" s="18"/>
      <c r="K720" s="18"/>
      <c r="L720" s="18"/>
      <c r="M720" s="18"/>
      <c r="N720" s="18"/>
      <c r="O720" s="18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>
      <c r="A721" s="1"/>
      <c r="B721" s="1"/>
      <c r="C721" s="18"/>
      <c r="D721" s="47"/>
      <c r="E721" s="18"/>
      <c r="F721" s="18"/>
      <c r="G721" s="18"/>
      <c r="H721" s="18"/>
      <c r="I721" s="25"/>
      <c r="J721" s="18"/>
      <c r="K721" s="18"/>
      <c r="L721" s="18"/>
      <c r="M721" s="18"/>
      <c r="N721" s="18"/>
      <c r="O721" s="18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>
      <c r="A722" s="1"/>
      <c r="B722" s="1"/>
      <c r="C722" s="18"/>
      <c r="D722" s="47"/>
      <c r="E722" s="18"/>
      <c r="F722" s="18"/>
      <c r="G722" s="18"/>
      <c r="H722" s="18"/>
      <c r="I722" s="25"/>
      <c r="J722" s="18"/>
      <c r="K722" s="18"/>
      <c r="L722" s="18"/>
      <c r="M722" s="18"/>
      <c r="N722" s="18"/>
      <c r="O722" s="18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>
      <c r="A723" s="1"/>
      <c r="B723" s="1"/>
      <c r="C723" s="18"/>
      <c r="D723" s="47"/>
      <c r="E723" s="18"/>
      <c r="F723" s="18"/>
      <c r="G723" s="18"/>
      <c r="H723" s="18"/>
      <c r="I723" s="25"/>
      <c r="J723" s="18"/>
      <c r="K723" s="18"/>
      <c r="L723" s="18"/>
      <c r="M723" s="18"/>
      <c r="N723" s="18"/>
      <c r="O723" s="18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>
      <c r="A724" s="1"/>
      <c r="B724" s="1"/>
      <c r="C724" s="18"/>
      <c r="D724" s="47"/>
      <c r="E724" s="18"/>
      <c r="F724" s="18"/>
      <c r="G724" s="18"/>
      <c r="H724" s="18"/>
      <c r="I724" s="25"/>
      <c r="J724" s="18"/>
      <c r="K724" s="18"/>
      <c r="L724" s="18"/>
      <c r="M724" s="18"/>
      <c r="N724" s="18"/>
      <c r="O724" s="18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>
      <c r="A725" s="1"/>
      <c r="B725" s="1"/>
      <c r="C725" s="18"/>
      <c r="D725" s="47"/>
      <c r="E725" s="18"/>
      <c r="F725" s="18"/>
      <c r="G725" s="18"/>
      <c r="H725" s="18"/>
      <c r="I725" s="25"/>
      <c r="J725" s="18"/>
      <c r="K725" s="18"/>
      <c r="L725" s="18"/>
      <c r="M725" s="18"/>
      <c r="N725" s="18"/>
      <c r="O725" s="18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>
      <c r="A726" s="1"/>
      <c r="B726" s="1"/>
      <c r="C726" s="18"/>
      <c r="D726" s="47"/>
      <c r="E726" s="18"/>
      <c r="F726" s="18"/>
      <c r="G726" s="18"/>
      <c r="H726" s="18"/>
      <c r="I726" s="25"/>
      <c r="J726" s="18"/>
      <c r="K726" s="18"/>
      <c r="L726" s="18"/>
      <c r="M726" s="18"/>
      <c r="N726" s="18"/>
      <c r="O726" s="18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>
      <c r="A727" s="1"/>
      <c r="B727" s="1"/>
      <c r="C727" s="18"/>
      <c r="D727" s="47"/>
      <c r="E727" s="18"/>
      <c r="F727" s="18"/>
      <c r="G727" s="18"/>
      <c r="H727" s="18"/>
      <c r="I727" s="25"/>
      <c r="J727" s="18"/>
      <c r="K727" s="18"/>
      <c r="L727" s="18"/>
      <c r="M727" s="18"/>
      <c r="N727" s="18"/>
      <c r="O727" s="18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>
      <c r="A728" s="1"/>
      <c r="B728" s="1"/>
      <c r="C728" s="18"/>
      <c r="D728" s="47"/>
      <c r="E728" s="18"/>
      <c r="F728" s="18"/>
      <c r="G728" s="18"/>
      <c r="H728" s="18"/>
      <c r="I728" s="25"/>
      <c r="J728" s="18"/>
      <c r="K728" s="18"/>
      <c r="L728" s="18"/>
      <c r="M728" s="18"/>
      <c r="N728" s="18"/>
      <c r="O728" s="18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>
      <c r="A729" s="1"/>
      <c r="B729" s="1"/>
      <c r="C729" s="18"/>
      <c r="D729" s="47"/>
      <c r="E729" s="18"/>
      <c r="F729" s="18"/>
      <c r="G729" s="18"/>
      <c r="H729" s="18"/>
      <c r="I729" s="25"/>
      <c r="J729" s="18"/>
      <c r="K729" s="18"/>
      <c r="L729" s="18"/>
      <c r="M729" s="18"/>
      <c r="N729" s="18"/>
      <c r="O729" s="18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>
      <c r="A730" s="1"/>
      <c r="B730" s="1"/>
      <c r="C730" s="18"/>
      <c r="D730" s="47"/>
      <c r="E730" s="18"/>
      <c r="F730" s="18"/>
      <c r="G730" s="18"/>
      <c r="H730" s="18"/>
      <c r="I730" s="25"/>
      <c r="J730" s="18"/>
      <c r="K730" s="18"/>
      <c r="L730" s="18"/>
      <c r="M730" s="18"/>
      <c r="N730" s="18"/>
      <c r="O730" s="18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>
      <c r="A731" s="1"/>
      <c r="B731" s="1"/>
      <c r="C731" s="18"/>
      <c r="D731" s="47"/>
      <c r="E731" s="18"/>
      <c r="F731" s="18"/>
      <c r="G731" s="18"/>
      <c r="H731" s="18"/>
      <c r="I731" s="25"/>
      <c r="J731" s="18"/>
      <c r="K731" s="18"/>
      <c r="L731" s="18"/>
      <c r="M731" s="18"/>
      <c r="N731" s="18"/>
      <c r="O731" s="18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>
      <c r="A732" s="1"/>
      <c r="B732" s="1"/>
      <c r="C732" s="18"/>
      <c r="D732" s="47"/>
      <c r="E732" s="18"/>
      <c r="F732" s="18"/>
      <c r="G732" s="18"/>
      <c r="H732" s="18"/>
      <c r="I732" s="25"/>
      <c r="J732" s="18"/>
      <c r="K732" s="18"/>
      <c r="L732" s="18"/>
      <c r="M732" s="18"/>
      <c r="N732" s="18"/>
      <c r="O732" s="18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>
      <c r="A733" s="1"/>
      <c r="B733" s="1"/>
      <c r="C733" s="18"/>
      <c r="D733" s="47"/>
      <c r="E733" s="18"/>
      <c r="F733" s="18"/>
      <c r="G733" s="18"/>
      <c r="H733" s="18"/>
      <c r="I733" s="25"/>
      <c r="J733" s="18"/>
      <c r="K733" s="18"/>
      <c r="L733" s="18"/>
      <c r="M733" s="18"/>
      <c r="N733" s="18"/>
      <c r="O733" s="18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>
      <c r="A734" s="1"/>
      <c r="B734" s="1"/>
      <c r="C734" s="18"/>
      <c r="D734" s="47"/>
      <c r="E734" s="18"/>
      <c r="F734" s="18"/>
      <c r="G734" s="18"/>
      <c r="H734" s="18"/>
      <c r="I734" s="25"/>
      <c r="J734" s="18"/>
      <c r="K734" s="18"/>
      <c r="L734" s="18"/>
      <c r="M734" s="18"/>
      <c r="N734" s="18"/>
      <c r="O734" s="18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>
      <c r="A735" s="1"/>
      <c r="B735" s="1"/>
      <c r="C735" s="18"/>
      <c r="D735" s="47"/>
      <c r="E735" s="18"/>
      <c r="F735" s="18"/>
      <c r="G735" s="18"/>
      <c r="H735" s="18"/>
      <c r="I735" s="25"/>
      <c r="J735" s="18"/>
      <c r="K735" s="18"/>
      <c r="L735" s="18"/>
      <c r="M735" s="18"/>
      <c r="N735" s="18"/>
      <c r="O735" s="18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>
      <c r="A736" s="1"/>
      <c r="B736" s="1"/>
      <c r="C736" s="18"/>
      <c r="D736" s="47"/>
      <c r="E736" s="18"/>
      <c r="F736" s="18"/>
      <c r="G736" s="18"/>
      <c r="H736" s="18"/>
      <c r="I736" s="25"/>
      <c r="J736" s="18"/>
      <c r="K736" s="18"/>
      <c r="L736" s="18"/>
      <c r="M736" s="18"/>
      <c r="N736" s="18"/>
      <c r="O736" s="18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>
      <c r="A737" s="1"/>
      <c r="B737" s="1"/>
      <c r="C737" s="18"/>
      <c r="D737" s="47"/>
      <c r="E737" s="18"/>
      <c r="F737" s="18"/>
      <c r="G737" s="18"/>
      <c r="H737" s="18"/>
      <c r="I737" s="25"/>
      <c r="J737" s="18"/>
      <c r="K737" s="18"/>
      <c r="L737" s="18"/>
      <c r="M737" s="18"/>
      <c r="N737" s="18"/>
      <c r="O737" s="18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>
      <c r="A738" s="1"/>
      <c r="B738" s="1"/>
      <c r="C738" s="18"/>
      <c r="D738" s="47"/>
      <c r="E738" s="18"/>
      <c r="F738" s="18"/>
      <c r="G738" s="18"/>
      <c r="H738" s="18"/>
      <c r="I738" s="25"/>
      <c r="J738" s="18"/>
      <c r="K738" s="18"/>
      <c r="L738" s="18"/>
      <c r="M738" s="18"/>
      <c r="N738" s="18"/>
      <c r="O738" s="18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>
      <c r="A739" s="1"/>
      <c r="B739" s="1"/>
      <c r="C739" s="18"/>
      <c r="D739" s="47"/>
      <c r="E739" s="18"/>
      <c r="F739" s="18"/>
      <c r="G739" s="18"/>
      <c r="H739" s="18"/>
      <c r="I739" s="25"/>
      <c r="J739" s="18"/>
      <c r="K739" s="18"/>
      <c r="L739" s="18"/>
      <c r="M739" s="18"/>
      <c r="N739" s="18"/>
      <c r="O739" s="18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>
      <c r="A740" s="1"/>
      <c r="B740" s="1"/>
      <c r="C740" s="18"/>
      <c r="D740" s="47"/>
      <c r="E740" s="18"/>
      <c r="F740" s="18"/>
      <c r="G740" s="18"/>
      <c r="H740" s="18"/>
      <c r="I740" s="25"/>
      <c r="J740" s="18"/>
      <c r="K740" s="18"/>
      <c r="L740" s="18"/>
      <c r="M740" s="18"/>
      <c r="N740" s="18"/>
      <c r="O740" s="18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>
      <c r="A741" s="1"/>
      <c r="B741" s="1"/>
      <c r="C741" s="18"/>
      <c r="D741" s="47"/>
      <c r="E741" s="18"/>
      <c r="F741" s="18"/>
      <c r="G741" s="18"/>
      <c r="H741" s="18"/>
      <c r="I741" s="25"/>
      <c r="J741" s="18"/>
      <c r="K741" s="18"/>
      <c r="L741" s="18"/>
      <c r="M741" s="18"/>
      <c r="N741" s="18"/>
      <c r="O741" s="18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>
      <c r="A742" s="1"/>
      <c r="B742" s="1"/>
      <c r="C742" s="18"/>
      <c r="D742" s="47"/>
      <c r="E742" s="18"/>
      <c r="F742" s="18"/>
      <c r="G742" s="18"/>
      <c r="H742" s="18"/>
      <c r="I742" s="25"/>
      <c r="J742" s="18"/>
      <c r="K742" s="18"/>
      <c r="L742" s="18"/>
      <c r="M742" s="18"/>
      <c r="N742" s="18"/>
      <c r="O742" s="18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>
      <c r="A743" s="1"/>
      <c r="B743" s="1"/>
      <c r="C743" s="18"/>
      <c r="D743" s="47"/>
      <c r="E743" s="18"/>
      <c r="F743" s="18"/>
      <c r="G743" s="18"/>
      <c r="H743" s="18"/>
      <c r="I743" s="25"/>
      <c r="J743" s="18"/>
      <c r="K743" s="18"/>
      <c r="L743" s="18"/>
      <c r="M743" s="18"/>
      <c r="N743" s="18"/>
      <c r="O743" s="18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>
      <c r="A744" s="1"/>
      <c r="B744" s="1"/>
      <c r="C744" s="18"/>
      <c r="D744" s="47"/>
      <c r="E744" s="18"/>
      <c r="F744" s="18"/>
      <c r="G744" s="18"/>
      <c r="H744" s="18"/>
      <c r="I744" s="25"/>
      <c r="J744" s="18"/>
      <c r="K744" s="18"/>
      <c r="L744" s="18"/>
      <c r="M744" s="18"/>
      <c r="N744" s="18"/>
      <c r="O744" s="18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>
      <c r="A745" s="1"/>
      <c r="B745" s="1"/>
      <c r="C745" s="18"/>
      <c r="D745" s="47"/>
      <c r="E745" s="18"/>
      <c r="F745" s="18"/>
      <c r="G745" s="18"/>
      <c r="H745" s="18"/>
      <c r="I745" s="25"/>
      <c r="J745" s="18"/>
      <c r="K745" s="18"/>
      <c r="L745" s="18"/>
      <c r="M745" s="18"/>
      <c r="N745" s="18"/>
      <c r="O745" s="18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>
      <c r="A746" s="1"/>
      <c r="B746" s="1"/>
      <c r="C746" s="18"/>
      <c r="D746" s="47"/>
      <c r="E746" s="18"/>
      <c r="F746" s="18"/>
      <c r="G746" s="18"/>
      <c r="H746" s="18"/>
      <c r="I746" s="25"/>
      <c r="J746" s="18"/>
      <c r="K746" s="18"/>
      <c r="L746" s="18"/>
      <c r="M746" s="18"/>
      <c r="N746" s="18"/>
      <c r="O746" s="18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>
      <c r="A747" s="1"/>
      <c r="B747" s="1"/>
      <c r="C747" s="18"/>
      <c r="D747" s="47"/>
      <c r="E747" s="18"/>
      <c r="F747" s="18"/>
      <c r="G747" s="18"/>
      <c r="H747" s="18"/>
      <c r="I747" s="25"/>
      <c r="J747" s="18"/>
      <c r="K747" s="18"/>
      <c r="L747" s="18"/>
      <c r="M747" s="18"/>
      <c r="N747" s="18"/>
      <c r="O747" s="18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>
      <c r="A748" s="1"/>
      <c r="B748" s="1"/>
      <c r="C748" s="18"/>
      <c r="D748" s="47"/>
      <c r="E748" s="18"/>
      <c r="F748" s="18"/>
      <c r="G748" s="18"/>
      <c r="H748" s="18"/>
      <c r="I748" s="25"/>
      <c r="J748" s="18"/>
      <c r="K748" s="18"/>
      <c r="L748" s="18"/>
      <c r="M748" s="18"/>
      <c r="N748" s="18"/>
      <c r="O748" s="18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>
      <c r="A749" s="1"/>
      <c r="B749" s="1"/>
      <c r="C749" s="18"/>
      <c r="D749" s="47"/>
      <c r="E749" s="18"/>
      <c r="F749" s="18"/>
      <c r="G749" s="18"/>
      <c r="H749" s="18"/>
      <c r="I749" s="25"/>
      <c r="J749" s="18"/>
      <c r="K749" s="18"/>
      <c r="L749" s="18"/>
      <c r="M749" s="18"/>
      <c r="N749" s="18"/>
      <c r="O749" s="18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>
      <c r="A750" s="1"/>
      <c r="B750" s="1"/>
      <c r="C750" s="18"/>
      <c r="D750" s="47"/>
      <c r="E750" s="18"/>
      <c r="F750" s="18"/>
      <c r="G750" s="18"/>
      <c r="H750" s="18"/>
      <c r="I750" s="25"/>
      <c r="J750" s="18"/>
      <c r="K750" s="18"/>
      <c r="L750" s="18"/>
      <c r="M750" s="18"/>
      <c r="N750" s="18"/>
      <c r="O750" s="18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>
      <c r="A751" s="1"/>
      <c r="B751" s="1"/>
      <c r="C751" s="18"/>
      <c r="D751" s="47"/>
      <c r="E751" s="18"/>
      <c r="F751" s="18"/>
      <c r="G751" s="18"/>
      <c r="H751" s="18"/>
      <c r="I751" s="25"/>
      <c r="J751" s="18"/>
      <c r="K751" s="18"/>
      <c r="L751" s="18"/>
      <c r="M751" s="18"/>
      <c r="N751" s="18"/>
      <c r="O751" s="18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>
      <c r="A752" s="1"/>
      <c r="B752" s="1"/>
      <c r="C752" s="18"/>
      <c r="D752" s="47"/>
      <c r="E752" s="18"/>
      <c r="F752" s="18"/>
      <c r="G752" s="18"/>
      <c r="H752" s="18"/>
      <c r="I752" s="25"/>
      <c r="J752" s="18"/>
      <c r="K752" s="18"/>
      <c r="L752" s="18"/>
      <c r="M752" s="18"/>
      <c r="N752" s="18"/>
      <c r="O752" s="18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>
      <c r="A753" s="1"/>
      <c r="B753" s="1"/>
      <c r="C753" s="18"/>
      <c r="D753" s="47"/>
      <c r="E753" s="18"/>
      <c r="F753" s="18"/>
      <c r="G753" s="18"/>
      <c r="H753" s="18"/>
      <c r="I753" s="25"/>
      <c r="J753" s="18"/>
      <c r="K753" s="18"/>
      <c r="L753" s="18"/>
      <c r="M753" s="18"/>
      <c r="N753" s="18"/>
      <c r="O753" s="18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>
      <c r="A754" s="1"/>
      <c r="B754" s="1"/>
      <c r="C754" s="18"/>
      <c r="D754" s="47"/>
      <c r="E754" s="18"/>
      <c r="F754" s="18"/>
      <c r="G754" s="18"/>
      <c r="H754" s="18"/>
      <c r="I754" s="25"/>
      <c r="J754" s="18"/>
      <c r="K754" s="18"/>
      <c r="L754" s="18"/>
      <c r="M754" s="18"/>
      <c r="N754" s="18"/>
      <c r="O754" s="18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>
      <c r="A755" s="1"/>
      <c r="B755" s="1"/>
      <c r="C755" s="18"/>
      <c r="D755" s="47"/>
      <c r="E755" s="18"/>
      <c r="F755" s="18"/>
      <c r="G755" s="18"/>
      <c r="H755" s="18"/>
      <c r="I755" s="25"/>
      <c r="J755" s="18"/>
      <c r="K755" s="18"/>
      <c r="L755" s="18"/>
      <c r="M755" s="18"/>
      <c r="N755" s="18"/>
      <c r="O755" s="18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>
      <c r="A756" s="1"/>
      <c r="B756" s="1"/>
      <c r="C756" s="18"/>
      <c r="D756" s="47"/>
      <c r="E756" s="18"/>
      <c r="F756" s="18"/>
      <c r="G756" s="18"/>
      <c r="H756" s="18"/>
      <c r="I756" s="25"/>
      <c r="J756" s="18"/>
      <c r="K756" s="18"/>
      <c r="L756" s="18"/>
      <c r="M756" s="18"/>
      <c r="N756" s="18"/>
      <c r="O756" s="18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>
      <c r="A757" s="1"/>
      <c r="B757" s="1"/>
      <c r="C757" s="18"/>
      <c r="D757" s="47"/>
      <c r="E757" s="18"/>
      <c r="F757" s="18"/>
      <c r="G757" s="18"/>
      <c r="H757" s="18"/>
      <c r="I757" s="25"/>
      <c r="J757" s="18"/>
      <c r="K757" s="18"/>
      <c r="L757" s="18"/>
      <c r="M757" s="18"/>
      <c r="N757" s="18"/>
      <c r="O757" s="18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>
      <c r="A758" s="1"/>
      <c r="B758" s="1"/>
      <c r="C758" s="18"/>
      <c r="D758" s="47"/>
      <c r="E758" s="18"/>
      <c r="F758" s="18"/>
      <c r="G758" s="18"/>
      <c r="H758" s="18"/>
      <c r="I758" s="25"/>
      <c r="J758" s="18"/>
      <c r="K758" s="18"/>
      <c r="L758" s="18"/>
      <c r="M758" s="18"/>
      <c r="N758" s="18"/>
      <c r="O758" s="18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>
      <c r="A759" s="1"/>
      <c r="B759" s="1"/>
      <c r="C759" s="18"/>
      <c r="D759" s="47"/>
      <c r="E759" s="18"/>
      <c r="F759" s="18"/>
      <c r="G759" s="18"/>
      <c r="H759" s="18"/>
      <c r="I759" s="25"/>
      <c r="J759" s="18"/>
      <c r="K759" s="18"/>
      <c r="L759" s="18"/>
      <c r="M759" s="18"/>
      <c r="N759" s="18"/>
      <c r="O759" s="18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>
      <c r="A760" s="1"/>
      <c r="B760" s="1"/>
      <c r="C760" s="18"/>
      <c r="D760" s="47"/>
      <c r="E760" s="18"/>
      <c r="F760" s="18"/>
      <c r="G760" s="18"/>
      <c r="H760" s="18"/>
      <c r="I760" s="25"/>
      <c r="J760" s="18"/>
      <c r="K760" s="18"/>
      <c r="L760" s="18"/>
      <c r="M760" s="18"/>
      <c r="N760" s="18"/>
      <c r="O760" s="18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>
      <c r="A761" s="1"/>
      <c r="B761" s="1"/>
      <c r="C761" s="18"/>
      <c r="D761" s="47"/>
      <c r="E761" s="18"/>
      <c r="F761" s="18"/>
      <c r="G761" s="18"/>
      <c r="H761" s="18"/>
      <c r="I761" s="25"/>
      <c r="J761" s="18"/>
      <c r="K761" s="18"/>
      <c r="L761" s="18"/>
      <c r="M761" s="18"/>
      <c r="N761" s="18"/>
      <c r="O761" s="18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>
      <c r="A762" s="1"/>
      <c r="B762" s="1"/>
      <c r="C762" s="18"/>
      <c r="D762" s="47"/>
      <c r="E762" s="18"/>
      <c r="F762" s="18"/>
      <c r="G762" s="18"/>
      <c r="H762" s="18"/>
      <c r="I762" s="25"/>
      <c r="J762" s="18"/>
      <c r="K762" s="18"/>
      <c r="L762" s="18"/>
      <c r="M762" s="18"/>
      <c r="N762" s="18"/>
      <c r="O762" s="18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>
      <c r="A763" s="1"/>
      <c r="B763" s="1"/>
      <c r="C763" s="18"/>
      <c r="D763" s="47"/>
      <c r="E763" s="18"/>
      <c r="F763" s="18"/>
      <c r="G763" s="18"/>
      <c r="H763" s="18"/>
      <c r="I763" s="25"/>
      <c r="J763" s="18"/>
      <c r="K763" s="18"/>
      <c r="L763" s="18"/>
      <c r="M763" s="18"/>
      <c r="N763" s="18"/>
      <c r="O763" s="18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>
      <c r="A764" s="1"/>
      <c r="B764" s="1"/>
      <c r="C764" s="18"/>
      <c r="D764" s="47"/>
      <c r="E764" s="18"/>
      <c r="F764" s="18"/>
      <c r="G764" s="18"/>
      <c r="H764" s="18"/>
      <c r="I764" s="25"/>
      <c r="J764" s="18"/>
      <c r="K764" s="18"/>
      <c r="L764" s="18"/>
      <c r="M764" s="18"/>
      <c r="N764" s="18"/>
      <c r="O764" s="18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>
      <c r="A765" s="1"/>
      <c r="B765" s="1"/>
      <c r="C765" s="18"/>
      <c r="D765" s="47"/>
      <c r="E765" s="18"/>
      <c r="F765" s="18"/>
      <c r="G765" s="18"/>
      <c r="H765" s="18"/>
      <c r="I765" s="25"/>
      <c r="J765" s="18"/>
      <c r="K765" s="18"/>
      <c r="L765" s="18"/>
      <c r="M765" s="18"/>
      <c r="N765" s="18"/>
      <c r="O765" s="18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>
      <c r="A766" s="1"/>
      <c r="B766" s="1"/>
      <c r="C766" s="18"/>
      <c r="D766" s="47"/>
      <c r="E766" s="18"/>
      <c r="F766" s="18"/>
      <c r="G766" s="18"/>
      <c r="H766" s="18"/>
      <c r="I766" s="25"/>
      <c r="J766" s="18"/>
      <c r="K766" s="18"/>
      <c r="L766" s="18"/>
      <c r="M766" s="18"/>
      <c r="N766" s="18"/>
      <c r="O766" s="18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>
      <c r="A767" s="1"/>
      <c r="B767" s="1"/>
      <c r="C767" s="18"/>
      <c r="D767" s="47"/>
      <c r="E767" s="18"/>
      <c r="F767" s="18"/>
      <c r="G767" s="18"/>
      <c r="H767" s="18"/>
      <c r="I767" s="25"/>
      <c r="J767" s="18"/>
      <c r="K767" s="18"/>
      <c r="L767" s="18"/>
      <c r="M767" s="18"/>
      <c r="N767" s="18"/>
      <c r="O767" s="18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>
      <c r="A768" s="1"/>
      <c r="B768" s="1"/>
      <c r="C768" s="18"/>
      <c r="D768" s="47"/>
      <c r="E768" s="18"/>
      <c r="F768" s="18"/>
      <c r="G768" s="18"/>
      <c r="H768" s="18"/>
      <c r="I768" s="25"/>
      <c r="J768" s="18"/>
      <c r="K768" s="18"/>
      <c r="L768" s="18"/>
      <c r="M768" s="18"/>
      <c r="N768" s="18"/>
      <c r="O768" s="18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>
      <c r="A769" s="1"/>
      <c r="B769" s="1"/>
      <c r="C769" s="18"/>
      <c r="D769" s="47"/>
      <c r="E769" s="18"/>
      <c r="F769" s="18"/>
      <c r="G769" s="18"/>
      <c r="H769" s="18"/>
      <c r="I769" s="25"/>
      <c r="J769" s="18"/>
      <c r="K769" s="18"/>
      <c r="L769" s="18"/>
      <c r="M769" s="18"/>
      <c r="N769" s="18"/>
      <c r="O769" s="18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>
      <c r="A770" s="1"/>
      <c r="B770" s="1"/>
      <c r="C770" s="18"/>
      <c r="D770" s="47"/>
      <c r="E770" s="18"/>
      <c r="F770" s="18"/>
      <c r="G770" s="18"/>
      <c r="H770" s="18"/>
      <c r="I770" s="25"/>
      <c r="J770" s="18"/>
      <c r="K770" s="18"/>
      <c r="L770" s="18"/>
      <c r="M770" s="18"/>
      <c r="N770" s="18"/>
      <c r="O770" s="18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>
      <c r="A771" s="1"/>
      <c r="B771" s="1"/>
      <c r="C771" s="18"/>
      <c r="D771" s="47"/>
      <c r="E771" s="18"/>
      <c r="F771" s="18"/>
      <c r="G771" s="18"/>
      <c r="H771" s="18"/>
      <c r="I771" s="25"/>
      <c r="J771" s="18"/>
      <c r="K771" s="18"/>
      <c r="L771" s="18"/>
      <c r="M771" s="18"/>
      <c r="N771" s="18"/>
      <c r="O771" s="18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>
      <c r="A772" s="1"/>
      <c r="B772" s="1"/>
      <c r="C772" s="18"/>
      <c r="D772" s="47"/>
      <c r="E772" s="18"/>
      <c r="F772" s="18"/>
      <c r="G772" s="18"/>
      <c r="H772" s="18"/>
      <c r="I772" s="25"/>
      <c r="J772" s="18"/>
      <c r="K772" s="18"/>
      <c r="L772" s="18"/>
      <c r="M772" s="18"/>
      <c r="N772" s="18"/>
      <c r="O772" s="18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>
      <c r="A773" s="1"/>
      <c r="B773" s="1"/>
      <c r="C773" s="18"/>
      <c r="D773" s="47"/>
      <c r="E773" s="18"/>
      <c r="F773" s="18"/>
      <c r="G773" s="18"/>
      <c r="H773" s="18"/>
      <c r="I773" s="25"/>
      <c r="J773" s="18"/>
      <c r="K773" s="18"/>
      <c r="L773" s="18"/>
      <c r="M773" s="18"/>
      <c r="N773" s="18"/>
      <c r="O773" s="18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>
      <c r="A774" s="1"/>
      <c r="B774" s="1"/>
      <c r="C774" s="18"/>
      <c r="D774" s="47"/>
      <c r="E774" s="18"/>
      <c r="F774" s="18"/>
      <c r="G774" s="18"/>
      <c r="H774" s="18"/>
      <c r="I774" s="25"/>
      <c r="J774" s="18"/>
      <c r="K774" s="18"/>
      <c r="L774" s="18"/>
      <c r="M774" s="18"/>
      <c r="N774" s="18"/>
      <c r="O774" s="18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>
      <c r="A775" s="1"/>
      <c r="B775" s="1"/>
      <c r="C775" s="18"/>
      <c r="D775" s="47"/>
      <c r="E775" s="18"/>
      <c r="F775" s="18"/>
      <c r="G775" s="18"/>
      <c r="H775" s="18"/>
      <c r="I775" s="25"/>
      <c r="J775" s="18"/>
      <c r="K775" s="18"/>
      <c r="L775" s="18"/>
      <c r="M775" s="18"/>
      <c r="N775" s="18"/>
      <c r="O775" s="18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>
      <c r="A776" s="1"/>
      <c r="B776" s="1"/>
      <c r="C776" s="18"/>
      <c r="D776" s="47"/>
      <c r="E776" s="18"/>
      <c r="F776" s="18"/>
      <c r="G776" s="18"/>
      <c r="H776" s="18"/>
      <c r="I776" s="25"/>
      <c r="J776" s="18"/>
      <c r="K776" s="18"/>
      <c r="L776" s="18"/>
      <c r="M776" s="18"/>
      <c r="N776" s="18"/>
      <c r="O776" s="18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>
      <c r="A777" s="1"/>
      <c r="B777" s="1"/>
      <c r="C777" s="18"/>
      <c r="D777" s="47"/>
      <c r="E777" s="18"/>
      <c r="F777" s="18"/>
      <c r="G777" s="18"/>
      <c r="H777" s="18"/>
      <c r="I777" s="25"/>
      <c r="J777" s="18"/>
      <c r="K777" s="18"/>
      <c r="L777" s="18"/>
      <c r="M777" s="18"/>
      <c r="N777" s="18"/>
      <c r="O777" s="18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>
      <c r="A778" s="1"/>
      <c r="B778" s="1"/>
      <c r="C778" s="18"/>
      <c r="D778" s="47"/>
      <c r="E778" s="18"/>
      <c r="F778" s="18"/>
      <c r="G778" s="18"/>
      <c r="H778" s="18"/>
      <c r="I778" s="25"/>
      <c r="J778" s="18"/>
      <c r="K778" s="18"/>
      <c r="L778" s="18"/>
      <c r="M778" s="18"/>
      <c r="N778" s="18"/>
      <c r="O778" s="18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>
      <c r="A779" s="1"/>
      <c r="B779" s="1"/>
      <c r="C779" s="18"/>
      <c r="D779" s="47"/>
      <c r="E779" s="18"/>
      <c r="F779" s="18"/>
      <c r="G779" s="18"/>
      <c r="H779" s="18"/>
      <c r="I779" s="25"/>
      <c r="J779" s="18"/>
      <c r="K779" s="18"/>
      <c r="L779" s="18"/>
      <c r="M779" s="18"/>
      <c r="N779" s="18"/>
      <c r="O779" s="18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>
      <c r="A780" s="1"/>
      <c r="B780" s="1"/>
      <c r="C780" s="18"/>
      <c r="D780" s="47"/>
      <c r="E780" s="18"/>
      <c r="F780" s="18"/>
      <c r="G780" s="18"/>
      <c r="H780" s="18"/>
      <c r="I780" s="25"/>
      <c r="J780" s="18"/>
      <c r="K780" s="18"/>
      <c r="L780" s="18"/>
      <c r="M780" s="18"/>
      <c r="N780" s="18"/>
      <c r="O780" s="18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>
      <c r="A781" s="1"/>
      <c r="B781" s="1"/>
      <c r="C781" s="18"/>
      <c r="D781" s="47"/>
      <c r="E781" s="18"/>
      <c r="F781" s="18"/>
      <c r="G781" s="18"/>
      <c r="H781" s="18"/>
      <c r="I781" s="25"/>
      <c r="J781" s="18"/>
      <c r="K781" s="18"/>
      <c r="L781" s="18"/>
      <c r="M781" s="18"/>
      <c r="N781" s="18"/>
      <c r="O781" s="18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>
      <c r="A782" s="1"/>
      <c r="B782" s="1"/>
      <c r="C782" s="18"/>
      <c r="D782" s="47"/>
      <c r="E782" s="18"/>
      <c r="F782" s="18"/>
      <c r="G782" s="18"/>
      <c r="H782" s="18"/>
      <c r="I782" s="25"/>
      <c r="J782" s="18"/>
      <c r="K782" s="18"/>
      <c r="L782" s="18"/>
      <c r="M782" s="18"/>
      <c r="N782" s="18"/>
      <c r="O782" s="18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>
      <c r="A783" s="1"/>
      <c r="B783" s="1"/>
      <c r="C783" s="18"/>
      <c r="D783" s="47"/>
      <c r="E783" s="18"/>
      <c r="F783" s="18"/>
      <c r="G783" s="18"/>
      <c r="H783" s="18"/>
      <c r="I783" s="25"/>
      <c r="J783" s="18"/>
      <c r="K783" s="18"/>
      <c r="L783" s="18"/>
      <c r="M783" s="18"/>
      <c r="N783" s="18"/>
      <c r="O783" s="18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>
      <c r="A784" s="1"/>
      <c r="B784" s="1"/>
      <c r="C784" s="18"/>
      <c r="D784" s="47"/>
      <c r="E784" s="18"/>
      <c r="F784" s="18"/>
      <c r="G784" s="18"/>
      <c r="H784" s="18"/>
      <c r="I784" s="25"/>
      <c r="J784" s="18"/>
      <c r="K784" s="18"/>
      <c r="L784" s="18"/>
      <c r="M784" s="18"/>
      <c r="N784" s="18"/>
      <c r="O784" s="18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>
      <c r="A785" s="1"/>
      <c r="B785" s="1"/>
      <c r="C785" s="18"/>
      <c r="D785" s="47"/>
      <c r="E785" s="18"/>
      <c r="F785" s="18"/>
      <c r="G785" s="18"/>
      <c r="H785" s="18"/>
      <c r="I785" s="25"/>
      <c r="J785" s="18"/>
      <c r="K785" s="18"/>
      <c r="L785" s="18"/>
      <c r="M785" s="18"/>
      <c r="N785" s="18"/>
      <c r="O785" s="18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>
      <c r="A786" s="1"/>
      <c r="B786" s="1"/>
      <c r="C786" s="18"/>
      <c r="D786" s="47"/>
      <c r="E786" s="18"/>
      <c r="F786" s="18"/>
      <c r="G786" s="18"/>
      <c r="H786" s="18"/>
      <c r="I786" s="25"/>
      <c r="J786" s="18"/>
      <c r="K786" s="18"/>
      <c r="L786" s="18"/>
      <c r="M786" s="18"/>
      <c r="N786" s="18"/>
      <c r="O786" s="18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>
      <c r="A787" s="1"/>
      <c r="B787" s="1"/>
      <c r="C787" s="18"/>
      <c r="D787" s="47"/>
      <c r="E787" s="18"/>
      <c r="F787" s="18"/>
      <c r="G787" s="18"/>
      <c r="H787" s="18"/>
      <c r="I787" s="25"/>
      <c r="J787" s="18"/>
      <c r="K787" s="18"/>
      <c r="L787" s="18"/>
      <c r="M787" s="18"/>
      <c r="N787" s="18"/>
      <c r="O787" s="18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>
      <c r="A788" s="1"/>
      <c r="B788" s="1"/>
      <c r="C788" s="18"/>
      <c r="D788" s="47"/>
      <c r="E788" s="18"/>
      <c r="F788" s="18"/>
      <c r="G788" s="18"/>
      <c r="H788" s="18"/>
      <c r="I788" s="25"/>
      <c r="J788" s="18"/>
      <c r="K788" s="18"/>
      <c r="L788" s="18"/>
      <c r="M788" s="18"/>
      <c r="N788" s="18"/>
      <c r="O788" s="18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>
      <c r="A789" s="1"/>
      <c r="B789" s="1"/>
      <c r="C789" s="18"/>
      <c r="D789" s="47"/>
      <c r="E789" s="18"/>
      <c r="F789" s="18"/>
      <c r="G789" s="18"/>
      <c r="H789" s="18"/>
      <c r="I789" s="25"/>
      <c r="J789" s="18"/>
      <c r="K789" s="18"/>
      <c r="L789" s="18"/>
      <c r="M789" s="18"/>
      <c r="N789" s="18"/>
      <c r="O789" s="18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>
      <c r="A790" s="1"/>
      <c r="B790" s="1"/>
      <c r="C790" s="18"/>
      <c r="D790" s="47"/>
      <c r="E790" s="18"/>
      <c r="F790" s="18"/>
      <c r="G790" s="18"/>
      <c r="H790" s="18"/>
      <c r="I790" s="25"/>
      <c r="J790" s="18"/>
      <c r="K790" s="18"/>
      <c r="L790" s="18"/>
      <c r="M790" s="18"/>
      <c r="N790" s="18"/>
      <c r="O790" s="18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>
      <c r="A791" s="1"/>
      <c r="B791" s="1"/>
      <c r="C791" s="18"/>
      <c r="D791" s="47"/>
      <c r="E791" s="18"/>
      <c r="F791" s="18"/>
      <c r="G791" s="18"/>
      <c r="H791" s="18"/>
      <c r="I791" s="25"/>
      <c r="J791" s="18"/>
      <c r="K791" s="18"/>
      <c r="L791" s="18"/>
      <c r="M791" s="18"/>
      <c r="N791" s="18"/>
      <c r="O791" s="18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>
      <c r="A792" s="1"/>
      <c r="B792" s="1"/>
      <c r="C792" s="18"/>
      <c r="D792" s="47"/>
      <c r="E792" s="18"/>
      <c r="F792" s="18"/>
      <c r="G792" s="18"/>
      <c r="H792" s="18"/>
      <c r="I792" s="25"/>
      <c r="J792" s="18"/>
      <c r="K792" s="18"/>
      <c r="L792" s="18"/>
      <c r="M792" s="18"/>
      <c r="N792" s="18"/>
      <c r="O792" s="18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>
      <c r="A793" s="1"/>
      <c r="B793" s="1"/>
      <c r="C793" s="18"/>
      <c r="D793" s="47"/>
      <c r="E793" s="18"/>
      <c r="F793" s="18"/>
      <c r="G793" s="18"/>
      <c r="H793" s="18"/>
      <c r="I793" s="25"/>
      <c r="J793" s="18"/>
      <c r="K793" s="18"/>
      <c r="L793" s="18"/>
      <c r="M793" s="18"/>
      <c r="N793" s="18"/>
      <c r="O793" s="18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>
      <c r="A794" s="1"/>
      <c r="B794" s="1"/>
      <c r="C794" s="18"/>
      <c r="D794" s="47"/>
      <c r="E794" s="18"/>
      <c r="F794" s="18"/>
      <c r="G794" s="18"/>
      <c r="H794" s="18"/>
      <c r="I794" s="25"/>
      <c r="J794" s="18"/>
      <c r="K794" s="18"/>
      <c r="L794" s="18"/>
      <c r="M794" s="18"/>
      <c r="N794" s="18"/>
      <c r="O794" s="18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>
      <c r="A795" s="1"/>
      <c r="B795" s="1"/>
      <c r="C795" s="18"/>
      <c r="D795" s="47"/>
      <c r="E795" s="18"/>
      <c r="F795" s="18"/>
      <c r="G795" s="18"/>
      <c r="H795" s="18"/>
      <c r="I795" s="25"/>
      <c r="J795" s="18"/>
      <c r="K795" s="18"/>
      <c r="L795" s="18"/>
      <c r="M795" s="18"/>
      <c r="N795" s="18"/>
      <c r="O795" s="18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>
      <c r="A796" s="1"/>
      <c r="B796" s="1"/>
      <c r="C796" s="18"/>
      <c r="D796" s="47"/>
      <c r="E796" s="18"/>
      <c r="F796" s="18"/>
      <c r="G796" s="18"/>
      <c r="H796" s="18"/>
      <c r="I796" s="25"/>
      <c r="J796" s="18"/>
      <c r="K796" s="18"/>
      <c r="L796" s="18"/>
      <c r="M796" s="18"/>
      <c r="N796" s="18"/>
      <c r="O796" s="18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>
      <c r="A797" s="1"/>
      <c r="B797" s="1"/>
      <c r="C797" s="18"/>
      <c r="D797" s="47"/>
      <c r="E797" s="18"/>
      <c r="F797" s="18"/>
      <c r="G797" s="18"/>
      <c r="H797" s="18"/>
      <c r="I797" s="25"/>
      <c r="J797" s="18"/>
      <c r="K797" s="18"/>
      <c r="L797" s="18"/>
      <c r="M797" s="18"/>
      <c r="N797" s="18"/>
      <c r="O797" s="18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>
      <c r="A798" s="1"/>
      <c r="B798" s="1"/>
      <c r="C798" s="18"/>
      <c r="D798" s="47"/>
      <c r="E798" s="18"/>
      <c r="F798" s="18"/>
      <c r="G798" s="18"/>
      <c r="H798" s="18"/>
      <c r="I798" s="25"/>
      <c r="J798" s="18"/>
      <c r="K798" s="18"/>
      <c r="L798" s="18"/>
      <c r="M798" s="18"/>
      <c r="N798" s="18"/>
      <c r="O798" s="18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>
      <c r="A799" s="1"/>
      <c r="B799" s="1"/>
      <c r="C799" s="18"/>
      <c r="D799" s="47"/>
      <c r="E799" s="18"/>
      <c r="F799" s="18"/>
      <c r="G799" s="18"/>
      <c r="H799" s="18"/>
      <c r="I799" s="25"/>
      <c r="J799" s="18"/>
      <c r="K799" s="18"/>
      <c r="L799" s="18"/>
      <c r="M799" s="18"/>
      <c r="N799" s="18"/>
      <c r="O799" s="18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>
      <c r="A800" s="1"/>
      <c r="B800" s="1"/>
      <c r="C800" s="18"/>
      <c r="D800" s="47"/>
      <c r="E800" s="18"/>
      <c r="F800" s="18"/>
      <c r="G800" s="18"/>
      <c r="H800" s="18"/>
      <c r="I800" s="25"/>
      <c r="J800" s="18"/>
      <c r="K800" s="18"/>
      <c r="L800" s="18"/>
      <c r="M800" s="18"/>
      <c r="N800" s="18"/>
      <c r="O800" s="18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>
      <c r="A801" s="1"/>
      <c r="B801" s="1"/>
      <c r="C801" s="18"/>
      <c r="D801" s="47"/>
      <c r="E801" s="18"/>
      <c r="F801" s="18"/>
      <c r="G801" s="18"/>
      <c r="H801" s="18"/>
      <c r="I801" s="25"/>
      <c r="J801" s="18"/>
      <c r="K801" s="18"/>
      <c r="L801" s="18"/>
      <c r="M801" s="18"/>
      <c r="N801" s="18"/>
      <c r="O801" s="18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>
      <c r="A802" s="1"/>
      <c r="B802" s="1"/>
      <c r="C802" s="18"/>
      <c r="D802" s="47"/>
      <c r="E802" s="18"/>
      <c r="F802" s="18"/>
      <c r="G802" s="18"/>
      <c r="H802" s="18"/>
      <c r="I802" s="25"/>
      <c r="J802" s="18"/>
      <c r="K802" s="18"/>
      <c r="L802" s="18"/>
      <c r="M802" s="18"/>
      <c r="N802" s="18"/>
      <c r="O802" s="18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>
      <c r="A803" s="1"/>
      <c r="B803" s="1"/>
      <c r="C803" s="18"/>
      <c r="D803" s="47"/>
      <c r="E803" s="18"/>
      <c r="F803" s="18"/>
      <c r="G803" s="18"/>
      <c r="H803" s="18"/>
      <c r="I803" s="25"/>
      <c r="J803" s="18"/>
      <c r="K803" s="18"/>
      <c r="L803" s="18"/>
      <c r="M803" s="18"/>
      <c r="N803" s="18"/>
      <c r="O803" s="18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>
      <c r="A804" s="1"/>
      <c r="B804" s="1"/>
      <c r="C804" s="18"/>
      <c r="D804" s="47"/>
      <c r="E804" s="18"/>
      <c r="F804" s="18"/>
      <c r="G804" s="18"/>
      <c r="H804" s="18"/>
      <c r="I804" s="25"/>
      <c r="J804" s="18"/>
      <c r="K804" s="18"/>
      <c r="L804" s="18"/>
      <c r="M804" s="18"/>
      <c r="N804" s="18"/>
      <c r="O804" s="18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>
      <c r="A805" s="1"/>
      <c r="B805" s="1"/>
      <c r="C805" s="18"/>
      <c r="D805" s="47"/>
      <c r="E805" s="18"/>
      <c r="F805" s="18"/>
      <c r="G805" s="18"/>
      <c r="H805" s="18"/>
      <c r="I805" s="25"/>
      <c r="J805" s="18"/>
      <c r="K805" s="18"/>
      <c r="L805" s="18"/>
      <c r="M805" s="18"/>
      <c r="N805" s="18"/>
      <c r="O805" s="18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>
      <c r="A806" s="1"/>
      <c r="B806" s="1"/>
      <c r="C806" s="18"/>
      <c r="D806" s="47"/>
      <c r="E806" s="18"/>
      <c r="F806" s="18"/>
      <c r="G806" s="18"/>
      <c r="H806" s="18"/>
      <c r="I806" s="25"/>
      <c r="J806" s="18"/>
      <c r="K806" s="18"/>
      <c r="L806" s="18"/>
      <c r="M806" s="18"/>
      <c r="N806" s="18"/>
      <c r="O806" s="18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>
      <c r="A807" s="1"/>
      <c r="B807" s="1"/>
      <c r="C807" s="18"/>
      <c r="D807" s="47"/>
      <c r="E807" s="18"/>
      <c r="F807" s="18"/>
      <c r="G807" s="18"/>
      <c r="H807" s="18"/>
      <c r="I807" s="25"/>
      <c r="J807" s="18"/>
      <c r="K807" s="18"/>
      <c r="L807" s="18"/>
      <c r="M807" s="18"/>
      <c r="N807" s="18"/>
      <c r="O807" s="18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>
      <c r="A808" s="1"/>
      <c r="B808" s="1"/>
      <c r="C808" s="18"/>
      <c r="D808" s="47"/>
      <c r="E808" s="18"/>
      <c r="F808" s="18"/>
      <c r="G808" s="18"/>
      <c r="H808" s="18"/>
      <c r="I808" s="25"/>
      <c r="J808" s="18"/>
      <c r="K808" s="18"/>
      <c r="L808" s="18"/>
      <c r="M808" s="18"/>
      <c r="N808" s="18"/>
      <c r="O808" s="18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>
      <c r="A809" s="1"/>
      <c r="B809" s="1"/>
      <c r="C809" s="18"/>
      <c r="D809" s="47"/>
      <c r="E809" s="18"/>
      <c r="F809" s="18"/>
      <c r="G809" s="18"/>
      <c r="H809" s="18"/>
      <c r="I809" s="25"/>
      <c r="J809" s="18"/>
      <c r="K809" s="18"/>
      <c r="L809" s="18"/>
      <c r="M809" s="18"/>
      <c r="N809" s="18"/>
      <c r="O809" s="18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>
      <c r="A810" s="1"/>
      <c r="B810" s="1"/>
      <c r="C810" s="18"/>
      <c r="D810" s="47"/>
      <c r="E810" s="18"/>
      <c r="F810" s="18"/>
      <c r="G810" s="18"/>
      <c r="H810" s="18"/>
      <c r="I810" s="25"/>
      <c r="J810" s="18"/>
      <c r="K810" s="18"/>
      <c r="L810" s="18"/>
      <c r="M810" s="18"/>
      <c r="N810" s="18"/>
      <c r="O810" s="18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>
      <c r="A811" s="1"/>
      <c r="B811" s="1"/>
      <c r="C811" s="18"/>
      <c r="D811" s="47"/>
      <c r="E811" s="18"/>
      <c r="F811" s="18"/>
      <c r="G811" s="18"/>
      <c r="H811" s="18"/>
      <c r="I811" s="25"/>
      <c r="J811" s="18"/>
      <c r="K811" s="18"/>
      <c r="L811" s="18"/>
      <c r="M811" s="18"/>
      <c r="N811" s="18"/>
      <c r="O811" s="18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>
      <c r="A812" s="1"/>
      <c r="B812" s="1"/>
      <c r="C812" s="18"/>
      <c r="D812" s="47"/>
      <c r="E812" s="18"/>
      <c r="F812" s="18"/>
      <c r="G812" s="18"/>
      <c r="H812" s="18"/>
      <c r="I812" s="25"/>
      <c r="J812" s="18"/>
      <c r="K812" s="18"/>
      <c r="L812" s="18"/>
      <c r="M812" s="18"/>
      <c r="N812" s="18"/>
      <c r="O812" s="18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>
      <c r="A813" s="1"/>
      <c r="B813" s="1"/>
      <c r="C813" s="18"/>
      <c r="D813" s="47"/>
      <c r="E813" s="18"/>
      <c r="F813" s="18"/>
      <c r="G813" s="18"/>
      <c r="H813" s="18"/>
      <c r="I813" s="25"/>
      <c r="J813" s="18"/>
      <c r="K813" s="18"/>
      <c r="L813" s="18"/>
      <c r="M813" s="18"/>
      <c r="N813" s="18"/>
      <c r="O813" s="18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>
      <c r="A814" s="1"/>
      <c r="B814" s="1"/>
      <c r="C814" s="18"/>
      <c r="D814" s="47"/>
      <c r="E814" s="18"/>
      <c r="F814" s="18"/>
      <c r="G814" s="18"/>
      <c r="H814" s="18"/>
      <c r="I814" s="25"/>
      <c r="J814" s="18"/>
      <c r="K814" s="18"/>
      <c r="L814" s="18"/>
      <c r="M814" s="18"/>
      <c r="N814" s="18"/>
      <c r="O814" s="18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>
      <c r="A815" s="1"/>
      <c r="B815" s="1"/>
      <c r="C815" s="18"/>
      <c r="D815" s="47"/>
      <c r="E815" s="18"/>
      <c r="F815" s="18"/>
      <c r="G815" s="18"/>
      <c r="H815" s="18"/>
      <c r="I815" s="25"/>
      <c r="J815" s="18"/>
      <c r="K815" s="18"/>
      <c r="L815" s="18"/>
      <c r="M815" s="18"/>
      <c r="N815" s="18"/>
      <c r="O815" s="18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>
      <c r="A816" s="1"/>
      <c r="B816" s="1"/>
      <c r="C816" s="18"/>
      <c r="D816" s="47"/>
      <c r="E816" s="18"/>
      <c r="F816" s="18"/>
      <c r="G816" s="18"/>
      <c r="H816" s="18"/>
      <c r="I816" s="25"/>
      <c r="J816" s="18"/>
      <c r="K816" s="18"/>
      <c r="L816" s="18"/>
      <c r="M816" s="18"/>
      <c r="N816" s="18"/>
      <c r="O816" s="18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>
      <c r="A817" s="1"/>
      <c r="B817" s="1"/>
      <c r="C817" s="18"/>
      <c r="D817" s="47"/>
      <c r="E817" s="18"/>
      <c r="F817" s="18"/>
      <c r="G817" s="18"/>
      <c r="H817" s="18"/>
      <c r="I817" s="25"/>
      <c r="J817" s="18"/>
      <c r="K817" s="18"/>
      <c r="L817" s="18"/>
      <c r="M817" s="18"/>
      <c r="N817" s="18"/>
      <c r="O817" s="18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>
      <c r="A818" s="1"/>
      <c r="B818" s="1"/>
      <c r="C818" s="18"/>
      <c r="D818" s="47"/>
      <c r="E818" s="18"/>
      <c r="F818" s="18"/>
      <c r="G818" s="18"/>
      <c r="H818" s="18"/>
      <c r="I818" s="25"/>
      <c r="J818" s="18"/>
      <c r="K818" s="18"/>
      <c r="L818" s="18"/>
      <c r="M818" s="18"/>
      <c r="N818" s="18"/>
      <c r="O818" s="18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>
      <c r="A819" s="1"/>
      <c r="B819" s="1"/>
      <c r="C819" s="18"/>
      <c r="D819" s="47"/>
      <c r="E819" s="18"/>
      <c r="F819" s="18"/>
      <c r="G819" s="18"/>
      <c r="H819" s="18"/>
      <c r="I819" s="25"/>
      <c r="J819" s="18"/>
      <c r="K819" s="18"/>
      <c r="L819" s="18"/>
      <c r="M819" s="18"/>
      <c r="N819" s="18"/>
      <c r="O819" s="18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>
      <c r="A820" s="1"/>
      <c r="B820" s="1"/>
      <c r="C820" s="18"/>
      <c r="D820" s="47"/>
      <c r="E820" s="18"/>
      <c r="F820" s="18"/>
      <c r="G820" s="18"/>
      <c r="H820" s="18"/>
      <c r="I820" s="25"/>
      <c r="J820" s="18"/>
      <c r="K820" s="18"/>
      <c r="L820" s="18"/>
      <c r="M820" s="18"/>
      <c r="N820" s="18"/>
      <c r="O820" s="18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>
      <c r="A821" s="1"/>
      <c r="B821" s="1"/>
      <c r="C821" s="18"/>
      <c r="D821" s="47"/>
      <c r="E821" s="18"/>
      <c r="F821" s="18"/>
      <c r="G821" s="18"/>
      <c r="H821" s="18"/>
      <c r="I821" s="25"/>
      <c r="J821" s="18"/>
      <c r="K821" s="18"/>
      <c r="L821" s="18"/>
      <c r="M821" s="18"/>
      <c r="N821" s="18"/>
      <c r="O821" s="18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>
      <c r="A822" s="1"/>
      <c r="B822" s="1"/>
      <c r="C822" s="18"/>
      <c r="D822" s="47"/>
      <c r="E822" s="18"/>
      <c r="F822" s="18"/>
      <c r="G822" s="18"/>
      <c r="H822" s="18"/>
      <c r="I822" s="25"/>
      <c r="J822" s="18"/>
      <c r="K822" s="18"/>
      <c r="L822" s="18"/>
      <c r="M822" s="18"/>
      <c r="N822" s="18"/>
      <c r="O822" s="18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>
      <c r="A823" s="1"/>
      <c r="B823" s="1"/>
      <c r="C823" s="18"/>
      <c r="D823" s="47"/>
      <c r="E823" s="18"/>
      <c r="F823" s="18"/>
      <c r="G823" s="18"/>
      <c r="H823" s="18"/>
      <c r="I823" s="25"/>
      <c r="J823" s="18"/>
      <c r="K823" s="18"/>
      <c r="L823" s="18"/>
      <c r="M823" s="18"/>
      <c r="N823" s="18"/>
      <c r="O823" s="18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>
      <c r="A824" s="1"/>
      <c r="B824" s="1"/>
      <c r="C824" s="18"/>
      <c r="D824" s="47"/>
      <c r="E824" s="18"/>
      <c r="F824" s="18"/>
      <c r="G824" s="18"/>
      <c r="H824" s="18"/>
      <c r="I824" s="25"/>
      <c r="J824" s="18"/>
      <c r="K824" s="18"/>
      <c r="L824" s="18"/>
      <c r="M824" s="18"/>
      <c r="N824" s="18"/>
      <c r="O824" s="18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>
      <c r="A825" s="1"/>
      <c r="B825" s="1"/>
      <c r="C825" s="18"/>
      <c r="D825" s="47"/>
      <c r="E825" s="18"/>
      <c r="F825" s="18"/>
      <c r="G825" s="18"/>
      <c r="H825" s="18"/>
      <c r="I825" s="25"/>
      <c r="J825" s="18"/>
      <c r="K825" s="18"/>
      <c r="L825" s="18"/>
      <c r="M825" s="18"/>
      <c r="N825" s="18"/>
      <c r="O825" s="18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>
      <c r="A826" s="1"/>
      <c r="B826" s="1"/>
      <c r="C826" s="18"/>
      <c r="D826" s="47"/>
      <c r="E826" s="18"/>
      <c r="F826" s="18"/>
      <c r="G826" s="18"/>
      <c r="H826" s="18"/>
      <c r="I826" s="25"/>
      <c r="J826" s="18"/>
      <c r="K826" s="18"/>
      <c r="L826" s="18"/>
      <c r="M826" s="18"/>
      <c r="N826" s="18"/>
      <c r="O826" s="18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>
      <c r="A827" s="1"/>
      <c r="B827" s="1"/>
      <c r="C827" s="18"/>
      <c r="D827" s="47"/>
      <c r="E827" s="18"/>
      <c r="F827" s="18"/>
      <c r="G827" s="18"/>
      <c r="H827" s="18"/>
      <c r="I827" s="25"/>
      <c r="J827" s="18"/>
      <c r="K827" s="18"/>
      <c r="L827" s="18"/>
      <c r="M827" s="18"/>
      <c r="N827" s="18"/>
      <c r="O827" s="18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>
      <c r="A828" s="1"/>
      <c r="B828" s="1"/>
      <c r="C828" s="18"/>
      <c r="D828" s="47"/>
      <c r="E828" s="18"/>
      <c r="F828" s="18"/>
      <c r="G828" s="18"/>
      <c r="H828" s="18"/>
      <c r="I828" s="25"/>
      <c r="J828" s="18"/>
      <c r="K828" s="18"/>
      <c r="L828" s="18"/>
      <c r="M828" s="18"/>
      <c r="N828" s="18"/>
      <c r="O828" s="18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>
      <c r="A829" s="1"/>
      <c r="B829" s="1"/>
      <c r="C829" s="18"/>
      <c r="D829" s="47"/>
      <c r="E829" s="18"/>
      <c r="F829" s="18"/>
      <c r="G829" s="18"/>
      <c r="H829" s="18"/>
      <c r="I829" s="25"/>
      <c r="J829" s="18"/>
      <c r="K829" s="18"/>
      <c r="L829" s="18"/>
      <c r="M829" s="18"/>
      <c r="N829" s="18"/>
      <c r="O829" s="18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>
      <c r="A830" s="1"/>
      <c r="B830" s="1"/>
      <c r="C830" s="18"/>
      <c r="D830" s="47"/>
      <c r="E830" s="18"/>
      <c r="F830" s="18"/>
      <c r="G830" s="18"/>
      <c r="H830" s="18"/>
      <c r="I830" s="25"/>
      <c r="J830" s="18"/>
      <c r="K830" s="18"/>
      <c r="L830" s="18"/>
      <c r="M830" s="18"/>
      <c r="N830" s="18"/>
      <c r="O830" s="18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>
      <c r="A831" s="1"/>
      <c r="B831" s="1"/>
      <c r="C831" s="18"/>
      <c r="D831" s="47"/>
      <c r="E831" s="18"/>
      <c r="F831" s="18"/>
      <c r="G831" s="18"/>
      <c r="H831" s="18"/>
      <c r="I831" s="25"/>
      <c r="J831" s="18"/>
      <c r="K831" s="18"/>
      <c r="L831" s="18"/>
      <c r="M831" s="18"/>
      <c r="N831" s="18"/>
      <c r="O831" s="18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>
      <c r="A832" s="1"/>
      <c r="B832" s="1"/>
      <c r="C832" s="18"/>
      <c r="D832" s="47"/>
      <c r="E832" s="18"/>
      <c r="F832" s="18"/>
      <c r="G832" s="18"/>
      <c r="H832" s="18"/>
      <c r="I832" s="25"/>
      <c r="J832" s="18"/>
      <c r="K832" s="18"/>
      <c r="L832" s="18"/>
      <c r="M832" s="18"/>
      <c r="N832" s="18"/>
      <c r="O832" s="18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>
      <c r="A833" s="1"/>
      <c r="B833" s="1"/>
      <c r="C833" s="18"/>
      <c r="D833" s="47"/>
      <c r="E833" s="18"/>
      <c r="F833" s="18"/>
      <c r="G833" s="18"/>
      <c r="H833" s="18"/>
      <c r="I833" s="25"/>
      <c r="J833" s="18"/>
      <c r="K833" s="18"/>
      <c r="L833" s="18"/>
      <c r="M833" s="18"/>
      <c r="N833" s="18"/>
      <c r="O833" s="18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>
      <c r="A834" s="1"/>
      <c r="B834" s="1"/>
      <c r="C834" s="18"/>
      <c r="D834" s="47"/>
      <c r="E834" s="18"/>
      <c r="F834" s="18"/>
      <c r="G834" s="18"/>
      <c r="H834" s="18"/>
      <c r="I834" s="25"/>
      <c r="J834" s="18"/>
      <c r="K834" s="18"/>
      <c r="L834" s="18"/>
      <c r="M834" s="18"/>
      <c r="N834" s="18"/>
      <c r="O834" s="18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>
      <c r="A835" s="1"/>
      <c r="B835" s="1"/>
      <c r="C835" s="18"/>
      <c r="D835" s="47"/>
      <c r="E835" s="18"/>
      <c r="F835" s="18"/>
      <c r="G835" s="18"/>
      <c r="H835" s="18"/>
      <c r="I835" s="25"/>
      <c r="J835" s="18"/>
      <c r="K835" s="18"/>
      <c r="L835" s="18"/>
      <c r="M835" s="18"/>
      <c r="N835" s="18"/>
      <c r="O835" s="18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>
      <c r="A836" s="1"/>
      <c r="B836" s="1"/>
      <c r="C836" s="18"/>
      <c r="D836" s="47"/>
      <c r="E836" s="18"/>
      <c r="F836" s="18"/>
      <c r="G836" s="18"/>
      <c r="H836" s="18"/>
      <c r="I836" s="25"/>
      <c r="J836" s="18"/>
      <c r="K836" s="18"/>
      <c r="L836" s="18"/>
      <c r="M836" s="18"/>
      <c r="N836" s="18"/>
      <c r="O836" s="18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>
      <c r="A837" s="1"/>
      <c r="B837" s="1"/>
      <c r="C837" s="18"/>
      <c r="D837" s="47"/>
      <c r="E837" s="18"/>
      <c r="F837" s="18"/>
      <c r="G837" s="18"/>
      <c r="H837" s="18"/>
      <c r="I837" s="25"/>
      <c r="J837" s="18"/>
      <c r="K837" s="18"/>
      <c r="L837" s="18"/>
      <c r="M837" s="18"/>
      <c r="N837" s="18"/>
      <c r="O837" s="18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>
      <c r="A838" s="1"/>
      <c r="B838" s="1"/>
      <c r="C838" s="18"/>
      <c r="D838" s="47"/>
      <c r="E838" s="18"/>
      <c r="F838" s="18"/>
      <c r="G838" s="18"/>
      <c r="H838" s="18"/>
      <c r="I838" s="25"/>
      <c r="J838" s="18"/>
      <c r="K838" s="18"/>
      <c r="L838" s="18"/>
      <c r="M838" s="18"/>
      <c r="N838" s="18"/>
      <c r="O838" s="18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>
      <c r="A839" s="1"/>
      <c r="B839" s="1"/>
      <c r="C839" s="18"/>
      <c r="D839" s="47"/>
      <c r="E839" s="18"/>
      <c r="F839" s="18"/>
      <c r="G839" s="18"/>
      <c r="H839" s="18"/>
      <c r="I839" s="25"/>
      <c r="J839" s="18"/>
      <c r="K839" s="18"/>
      <c r="L839" s="18"/>
      <c r="M839" s="18"/>
      <c r="N839" s="18"/>
      <c r="O839" s="18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>
      <c r="A840" s="1"/>
      <c r="B840" s="1"/>
      <c r="C840" s="18"/>
      <c r="D840" s="47"/>
      <c r="E840" s="18"/>
      <c r="F840" s="18"/>
      <c r="G840" s="18"/>
      <c r="H840" s="18"/>
      <c r="I840" s="25"/>
      <c r="J840" s="18"/>
      <c r="K840" s="18"/>
      <c r="L840" s="18"/>
      <c r="M840" s="18"/>
      <c r="N840" s="18"/>
      <c r="O840" s="18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>
      <c r="A841" s="1"/>
      <c r="B841" s="1"/>
      <c r="C841" s="18"/>
      <c r="D841" s="47"/>
      <c r="E841" s="18"/>
      <c r="F841" s="18"/>
      <c r="G841" s="18"/>
      <c r="H841" s="18"/>
      <c r="I841" s="25"/>
      <c r="J841" s="18"/>
      <c r="K841" s="18"/>
      <c r="L841" s="18"/>
      <c r="M841" s="18"/>
      <c r="N841" s="18"/>
      <c r="O841" s="18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>
      <c r="A842" s="1"/>
      <c r="B842" s="1"/>
      <c r="C842" s="18"/>
      <c r="D842" s="47"/>
      <c r="E842" s="18"/>
      <c r="F842" s="18"/>
      <c r="G842" s="18"/>
      <c r="H842" s="18"/>
      <c r="I842" s="25"/>
      <c r="J842" s="18"/>
      <c r="K842" s="18"/>
      <c r="L842" s="18"/>
      <c r="M842" s="18"/>
      <c r="N842" s="18"/>
      <c r="O842" s="18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>
      <c r="A843" s="1"/>
      <c r="B843" s="1"/>
      <c r="C843" s="18"/>
      <c r="D843" s="47"/>
      <c r="E843" s="18"/>
      <c r="F843" s="18"/>
      <c r="G843" s="18"/>
      <c r="H843" s="18"/>
      <c r="I843" s="25"/>
      <c r="J843" s="18"/>
      <c r="K843" s="18"/>
      <c r="L843" s="18"/>
      <c r="M843" s="18"/>
      <c r="N843" s="18"/>
      <c r="O843" s="18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>
      <c r="A844" s="1"/>
      <c r="B844" s="1"/>
      <c r="C844" s="18"/>
      <c r="D844" s="47"/>
      <c r="E844" s="18"/>
      <c r="F844" s="18"/>
      <c r="G844" s="18"/>
      <c r="H844" s="18"/>
      <c r="I844" s="25"/>
      <c r="J844" s="18"/>
      <c r="K844" s="18"/>
      <c r="L844" s="18"/>
      <c r="M844" s="18"/>
      <c r="N844" s="18"/>
      <c r="O844" s="18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>
      <c r="A845" s="1"/>
      <c r="B845" s="1"/>
      <c r="C845" s="18"/>
      <c r="D845" s="47"/>
      <c r="E845" s="18"/>
      <c r="F845" s="18"/>
      <c r="G845" s="18"/>
      <c r="H845" s="18"/>
      <c r="I845" s="25"/>
      <c r="J845" s="18"/>
      <c r="K845" s="18"/>
      <c r="L845" s="18"/>
      <c r="M845" s="18"/>
      <c r="N845" s="18"/>
      <c r="O845" s="18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>
      <c r="A846" s="1"/>
      <c r="B846" s="1"/>
      <c r="C846" s="18"/>
      <c r="D846" s="47"/>
      <c r="E846" s="18"/>
      <c r="F846" s="18"/>
      <c r="G846" s="18"/>
      <c r="H846" s="18"/>
      <c r="I846" s="25"/>
      <c r="J846" s="18"/>
      <c r="K846" s="18"/>
      <c r="L846" s="18"/>
      <c r="M846" s="18"/>
      <c r="N846" s="18"/>
      <c r="O846" s="18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>
      <c r="A847" s="1"/>
      <c r="B847" s="1"/>
      <c r="C847" s="18"/>
      <c r="D847" s="47"/>
      <c r="E847" s="18"/>
      <c r="F847" s="18"/>
      <c r="G847" s="18"/>
      <c r="H847" s="18"/>
      <c r="I847" s="25"/>
      <c r="J847" s="18"/>
      <c r="K847" s="18"/>
      <c r="L847" s="18"/>
      <c r="M847" s="18"/>
      <c r="N847" s="18"/>
      <c r="O847" s="18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>
      <c r="A848" s="1"/>
      <c r="B848" s="1"/>
      <c r="C848" s="18"/>
      <c r="D848" s="47"/>
      <c r="E848" s="18"/>
      <c r="F848" s="18"/>
      <c r="G848" s="18"/>
      <c r="H848" s="18"/>
      <c r="I848" s="25"/>
      <c r="J848" s="18"/>
      <c r="K848" s="18"/>
      <c r="L848" s="18"/>
      <c r="M848" s="18"/>
      <c r="N848" s="18"/>
      <c r="O848" s="18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>
      <c r="A849" s="1"/>
      <c r="B849" s="1"/>
      <c r="C849" s="18"/>
      <c r="D849" s="47"/>
      <c r="E849" s="18"/>
      <c r="F849" s="18"/>
      <c r="G849" s="18"/>
      <c r="H849" s="18"/>
      <c r="I849" s="25"/>
      <c r="J849" s="18"/>
      <c r="K849" s="18"/>
      <c r="L849" s="18"/>
      <c r="M849" s="18"/>
      <c r="N849" s="18"/>
      <c r="O849" s="18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>
      <c r="A850" s="1"/>
      <c r="B850" s="1"/>
      <c r="C850" s="18"/>
      <c r="D850" s="47"/>
      <c r="E850" s="18"/>
      <c r="F850" s="18"/>
      <c r="G850" s="18"/>
      <c r="H850" s="18"/>
      <c r="I850" s="25"/>
      <c r="J850" s="18"/>
      <c r="K850" s="18"/>
      <c r="L850" s="18"/>
      <c r="M850" s="18"/>
      <c r="N850" s="18"/>
      <c r="O850" s="18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>
      <c r="A851" s="1"/>
      <c r="B851" s="1"/>
      <c r="C851" s="18"/>
      <c r="D851" s="47"/>
      <c r="E851" s="18"/>
      <c r="F851" s="18"/>
      <c r="G851" s="18"/>
      <c r="H851" s="18"/>
      <c r="I851" s="25"/>
      <c r="J851" s="18"/>
      <c r="K851" s="18"/>
      <c r="L851" s="18"/>
      <c r="M851" s="18"/>
      <c r="N851" s="18"/>
      <c r="O851" s="18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>
      <c r="A852" s="1"/>
      <c r="B852" s="1"/>
      <c r="C852" s="18"/>
      <c r="D852" s="47"/>
      <c r="E852" s="18"/>
      <c r="F852" s="18"/>
      <c r="G852" s="18"/>
      <c r="H852" s="18"/>
      <c r="I852" s="25"/>
      <c r="J852" s="18"/>
      <c r="K852" s="18"/>
      <c r="L852" s="18"/>
      <c r="M852" s="18"/>
      <c r="N852" s="18"/>
      <c r="O852" s="18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>
      <c r="A853" s="1"/>
      <c r="B853" s="1"/>
      <c r="C853" s="18"/>
      <c r="D853" s="47"/>
      <c r="E853" s="18"/>
      <c r="F853" s="18"/>
      <c r="G853" s="18"/>
      <c r="H853" s="18"/>
      <c r="I853" s="25"/>
      <c r="J853" s="18"/>
      <c r="K853" s="18"/>
      <c r="L853" s="18"/>
      <c r="M853" s="18"/>
      <c r="N853" s="18"/>
      <c r="O853" s="18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>
      <c r="A854" s="1"/>
      <c r="B854" s="1"/>
      <c r="C854" s="18"/>
      <c r="D854" s="47"/>
      <c r="E854" s="18"/>
      <c r="F854" s="18"/>
      <c r="G854" s="18"/>
      <c r="H854" s="18"/>
      <c r="I854" s="25"/>
      <c r="J854" s="18"/>
      <c r="K854" s="18"/>
      <c r="L854" s="18"/>
      <c r="M854" s="18"/>
      <c r="N854" s="18"/>
      <c r="O854" s="18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>
      <c r="A855" s="1"/>
      <c r="B855" s="1"/>
      <c r="C855" s="18"/>
      <c r="D855" s="47"/>
      <c r="E855" s="18"/>
      <c r="F855" s="18"/>
      <c r="G855" s="18"/>
      <c r="H855" s="18"/>
      <c r="I855" s="25"/>
      <c r="J855" s="18"/>
      <c r="K855" s="18"/>
      <c r="L855" s="18"/>
      <c r="M855" s="18"/>
      <c r="N855" s="18"/>
      <c r="O855" s="18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>
      <c r="A856" s="1"/>
      <c r="B856" s="1"/>
      <c r="C856" s="18"/>
      <c r="D856" s="47"/>
      <c r="E856" s="18"/>
      <c r="F856" s="18"/>
      <c r="G856" s="18"/>
      <c r="H856" s="18"/>
      <c r="I856" s="25"/>
      <c r="J856" s="18"/>
      <c r="K856" s="18"/>
      <c r="L856" s="18"/>
      <c r="M856" s="18"/>
      <c r="N856" s="18"/>
      <c r="O856" s="18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>
      <c r="A857" s="1"/>
      <c r="B857" s="1"/>
      <c r="C857" s="18"/>
      <c r="D857" s="47"/>
      <c r="E857" s="18"/>
      <c r="F857" s="18"/>
      <c r="G857" s="18"/>
      <c r="H857" s="18"/>
      <c r="I857" s="25"/>
      <c r="J857" s="18"/>
      <c r="K857" s="18"/>
      <c r="L857" s="18"/>
      <c r="M857" s="18"/>
      <c r="N857" s="18"/>
      <c r="O857" s="18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>
      <c r="A858" s="1"/>
      <c r="B858" s="1"/>
      <c r="C858" s="18"/>
      <c r="D858" s="47"/>
      <c r="E858" s="18"/>
      <c r="F858" s="18"/>
      <c r="G858" s="18"/>
      <c r="H858" s="18"/>
      <c r="I858" s="25"/>
      <c r="J858" s="18"/>
      <c r="K858" s="18"/>
      <c r="L858" s="18"/>
      <c r="M858" s="18"/>
      <c r="N858" s="18"/>
      <c r="O858" s="18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>
      <c r="A859" s="1"/>
      <c r="B859" s="1"/>
      <c r="C859" s="18"/>
      <c r="D859" s="47"/>
      <c r="E859" s="18"/>
      <c r="F859" s="18"/>
      <c r="G859" s="18"/>
      <c r="H859" s="18"/>
      <c r="I859" s="25"/>
      <c r="J859" s="18"/>
      <c r="K859" s="18"/>
      <c r="L859" s="18"/>
      <c r="M859" s="18"/>
      <c r="N859" s="18"/>
      <c r="O859" s="18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>
      <c r="A860" s="1"/>
      <c r="B860" s="1"/>
      <c r="C860" s="18"/>
      <c r="D860" s="47"/>
      <c r="E860" s="18"/>
      <c r="F860" s="18"/>
      <c r="G860" s="18"/>
      <c r="H860" s="18"/>
      <c r="I860" s="25"/>
      <c r="J860" s="18"/>
      <c r="K860" s="18"/>
      <c r="L860" s="18"/>
      <c r="M860" s="18"/>
      <c r="N860" s="18"/>
      <c r="O860" s="18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>
      <c r="A861" s="1"/>
      <c r="B861" s="1"/>
      <c r="C861" s="18"/>
      <c r="D861" s="47"/>
      <c r="E861" s="18"/>
      <c r="F861" s="18"/>
      <c r="G861" s="18"/>
      <c r="H861" s="18"/>
      <c r="I861" s="25"/>
      <c r="J861" s="18"/>
      <c r="K861" s="18"/>
      <c r="L861" s="18"/>
      <c r="M861" s="18"/>
      <c r="N861" s="18"/>
      <c r="O861" s="18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>
      <c r="A862" s="1"/>
      <c r="B862" s="1"/>
      <c r="C862" s="18"/>
      <c r="D862" s="47"/>
      <c r="E862" s="18"/>
      <c r="F862" s="18"/>
      <c r="G862" s="18"/>
      <c r="H862" s="18"/>
      <c r="I862" s="25"/>
      <c r="J862" s="18"/>
      <c r="K862" s="18"/>
      <c r="L862" s="18"/>
      <c r="M862" s="18"/>
      <c r="N862" s="18"/>
      <c r="O862" s="18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>
      <c r="A863" s="1"/>
      <c r="B863" s="1"/>
      <c r="C863" s="18"/>
      <c r="D863" s="47"/>
      <c r="E863" s="18"/>
      <c r="F863" s="18"/>
      <c r="G863" s="18"/>
      <c r="H863" s="18"/>
      <c r="I863" s="25"/>
      <c r="J863" s="18"/>
      <c r="K863" s="18"/>
      <c r="L863" s="18"/>
      <c r="M863" s="18"/>
      <c r="N863" s="18"/>
      <c r="O863" s="18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>
      <c r="A864" s="1"/>
      <c r="B864" s="1"/>
      <c r="C864" s="18"/>
      <c r="D864" s="47"/>
      <c r="E864" s="18"/>
      <c r="F864" s="18"/>
      <c r="G864" s="18"/>
      <c r="H864" s="18"/>
      <c r="I864" s="25"/>
      <c r="J864" s="18"/>
      <c r="K864" s="18"/>
      <c r="L864" s="18"/>
      <c r="M864" s="18"/>
      <c r="N864" s="18"/>
      <c r="O864" s="18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>
      <c r="A865" s="1"/>
      <c r="B865" s="1"/>
      <c r="C865" s="18"/>
      <c r="D865" s="47"/>
      <c r="E865" s="18"/>
      <c r="F865" s="18"/>
      <c r="G865" s="18"/>
      <c r="H865" s="18"/>
      <c r="I865" s="25"/>
      <c r="J865" s="18"/>
      <c r="K865" s="18"/>
      <c r="L865" s="18"/>
      <c r="M865" s="18"/>
      <c r="N865" s="18"/>
      <c r="O865" s="18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>
      <c r="A866" s="1"/>
      <c r="B866" s="1"/>
      <c r="C866" s="18"/>
      <c r="D866" s="47"/>
      <c r="E866" s="18"/>
      <c r="F866" s="18"/>
      <c r="G866" s="18"/>
      <c r="H866" s="18"/>
      <c r="I866" s="25"/>
      <c r="J866" s="18"/>
      <c r="K866" s="18"/>
      <c r="L866" s="18"/>
      <c r="M866" s="18"/>
      <c r="N866" s="18"/>
      <c r="O866" s="18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>
      <c r="A867" s="1"/>
      <c r="B867" s="1"/>
      <c r="C867" s="18"/>
      <c r="D867" s="47"/>
      <c r="E867" s="18"/>
      <c r="F867" s="18"/>
      <c r="G867" s="18"/>
      <c r="H867" s="18"/>
      <c r="I867" s="25"/>
      <c r="J867" s="18"/>
      <c r="K867" s="18"/>
      <c r="L867" s="18"/>
      <c r="M867" s="18"/>
      <c r="N867" s="18"/>
      <c r="O867" s="18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>
      <c r="A868" s="1"/>
      <c r="B868" s="1"/>
      <c r="C868" s="18"/>
      <c r="D868" s="47"/>
      <c r="E868" s="18"/>
      <c r="F868" s="18"/>
      <c r="G868" s="18"/>
      <c r="H868" s="18"/>
      <c r="I868" s="25"/>
      <c r="J868" s="18"/>
      <c r="K868" s="18"/>
      <c r="L868" s="18"/>
      <c r="M868" s="18"/>
      <c r="N868" s="18"/>
      <c r="O868" s="18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>
      <c r="A869" s="1"/>
      <c r="B869" s="1"/>
      <c r="C869" s="18"/>
      <c r="D869" s="47"/>
      <c r="E869" s="18"/>
      <c r="F869" s="18"/>
      <c r="G869" s="18"/>
      <c r="H869" s="18"/>
      <c r="I869" s="25"/>
      <c r="J869" s="18"/>
      <c r="K869" s="18"/>
      <c r="L869" s="18"/>
      <c r="M869" s="18"/>
      <c r="N869" s="18"/>
      <c r="O869" s="18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>
      <c r="A870" s="1"/>
      <c r="B870" s="1"/>
      <c r="C870" s="18"/>
      <c r="D870" s="47"/>
      <c r="E870" s="18"/>
      <c r="F870" s="18"/>
      <c r="G870" s="18"/>
      <c r="H870" s="18"/>
      <c r="I870" s="25"/>
      <c r="J870" s="18"/>
      <c r="K870" s="18"/>
      <c r="L870" s="18"/>
      <c r="M870" s="18"/>
      <c r="N870" s="18"/>
      <c r="O870" s="18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>
      <c r="A871" s="1"/>
      <c r="B871" s="1"/>
      <c r="C871" s="18"/>
      <c r="D871" s="47"/>
      <c r="E871" s="18"/>
      <c r="F871" s="18"/>
      <c r="G871" s="18"/>
      <c r="H871" s="18"/>
      <c r="I871" s="25"/>
      <c r="J871" s="18"/>
      <c r="K871" s="18"/>
      <c r="L871" s="18"/>
      <c r="M871" s="18"/>
      <c r="N871" s="18"/>
      <c r="O871" s="18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>
      <c r="A872" s="1"/>
      <c r="B872" s="1"/>
      <c r="C872" s="18"/>
      <c r="D872" s="47"/>
      <c r="E872" s="18"/>
      <c r="F872" s="18"/>
      <c r="G872" s="18"/>
      <c r="H872" s="18"/>
      <c r="I872" s="25"/>
      <c r="J872" s="18"/>
      <c r="K872" s="18"/>
      <c r="L872" s="18"/>
      <c r="M872" s="18"/>
      <c r="N872" s="18"/>
      <c r="O872" s="18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>
      <c r="A873" s="1"/>
      <c r="B873" s="1"/>
      <c r="C873" s="18"/>
      <c r="D873" s="47"/>
      <c r="E873" s="18"/>
      <c r="F873" s="18"/>
      <c r="G873" s="18"/>
      <c r="H873" s="18"/>
      <c r="I873" s="25"/>
      <c r="J873" s="18"/>
      <c r="K873" s="18"/>
      <c r="L873" s="18"/>
      <c r="M873" s="18"/>
      <c r="N873" s="18"/>
      <c r="O873" s="18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>
      <c r="A874" s="1"/>
      <c r="B874" s="1"/>
      <c r="C874" s="18"/>
      <c r="D874" s="47"/>
      <c r="E874" s="18"/>
      <c r="F874" s="18"/>
      <c r="G874" s="18"/>
      <c r="H874" s="18"/>
      <c r="I874" s="25"/>
      <c r="J874" s="18"/>
      <c r="K874" s="18"/>
      <c r="L874" s="18"/>
      <c r="M874" s="18"/>
      <c r="N874" s="18"/>
      <c r="O874" s="18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>
      <c r="A875" s="1"/>
      <c r="B875" s="1"/>
      <c r="C875" s="18"/>
      <c r="D875" s="47"/>
      <c r="E875" s="18"/>
      <c r="F875" s="18"/>
      <c r="G875" s="18"/>
      <c r="H875" s="18"/>
      <c r="I875" s="25"/>
      <c r="J875" s="18"/>
      <c r="K875" s="18"/>
      <c r="L875" s="18"/>
      <c r="M875" s="18"/>
      <c r="N875" s="18"/>
      <c r="O875" s="18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>
      <c r="A876" s="1"/>
      <c r="B876" s="1"/>
      <c r="C876" s="18"/>
      <c r="D876" s="47"/>
      <c r="E876" s="18"/>
      <c r="F876" s="18"/>
      <c r="G876" s="18"/>
      <c r="H876" s="18"/>
      <c r="I876" s="25"/>
      <c r="J876" s="18"/>
      <c r="K876" s="18"/>
      <c r="L876" s="18"/>
      <c r="M876" s="18"/>
      <c r="N876" s="18"/>
      <c r="O876" s="18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>
      <c r="A877" s="1"/>
      <c r="B877" s="1"/>
      <c r="C877" s="18"/>
      <c r="D877" s="47"/>
      <c r="E877" s="18"/>
      <c r="F877" s="18"/>
      <c r="G877" s="18"/>
      <c r="H877" s="18"/>
      <c r="I877" s="25"/>
      <c r="J877" s="18"/>
      <c r="K877" s="18"/>
      <c r="L877" s="18"/>
      <c r="M877" s="18"/>
      <c r="N877" s="18"/>
      <c r="O877" s="18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>
      <c r="A878" s="1"/>
      <c r="B878" s="1"/>
      <c r="C878" s="18"/>
      <c r="D878" s="47"/>
      <c r="E878" s="18"/>
      <c r="F878" s="18"/>
      <c r="G878" s="18"/>
      <c r="H878" s="18"/>
      <c r="I878" s="25"/>
      <c r="J878" s="18"/>
      <c r="K878" s="18"/>
      <c r="L878" s="18"/>
      <c r="M878" s="18"/>
      <c r="N878" s="18"/>
      <c r="O878" s="18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>
      <c r="A879" s="1"/>
      <c r="B879" s="1"/>
      <c r="C879" s="18"/>
      <c r="D879" s="47"/>
      <c r="E879" s="18"/>
      <c r="F879" s="18"/>
      <c r="G879" s="18"/>
      <c r="H879" s="18"/>
      <c r="I879" s="25"/>
      <c r="J879" s="18"/>
      <c r="K879" s="18"/>
      <c r="L879" s="18"/>
      <c r="M879" s="18"/>
      <c r="N879" s="18"/>
      <c r="O879" s="18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>
      <c r="A880" s="1"/>
      <c r="B880" s="1"/>
      <c r="C880" s="18"/>
      <c r="D880" s="47"/>
      <c r="E880" s="18"/>
      <c r="F880" s="18"/>
      <c r="G880" s="18"/>
      <c r="H880" s="18"/>
      <c r="I880" s="25"/>
      <c r="J880" s="18"/>
      <c r="K880" s="18"/>
      <c r="L880" s="18"/>
      <c r="M880" s="18"/>
      <c r="N880" s="18"/>
      <c r="O880" s="18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>
      <c r="A881" s="1"/>
      <c r="B881" s="1"/>
      <c r="C881" s="18"/>
      <c r="D881" s="47"/>
      <c r="E881" s="18"/>
      <c r="F881" s="18"/>
      <c r="G881" s="18"/>
      <c r="H881" s="18"/>
      <c r="I881" s="25"/>
      <c r="J881" s="18"/>
      <c r="K881" s="18"/>
      <c r="L881" s="18"/>
      <c r="M881" s="18"/>
      <c r="N881" s="18"/>
      <c r="O881" s="18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>
      <c r="A882" s="1"/>
      <c r="B882" s="1"/>
      <c r="C882" s="18"/>
      <c r="D882" s="47"/>
      <c r="E882" s="18"/>
      <c r="F882" s="18"/>
      <c r="G882" s="18"/>
      <c r="H882" s="18"/>
      <c r="I882" s="25"/>
      <c r="J882" s="18"/>
      <c r="K882" s="18"/>
      <c r="L882" s="18"/>
      <c r="M882" s="18"/>
      <c r="N882" s="18"/>
      <c r="O882" s="18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>
      <c r="A883" s="1"/>
      <c r="B883" s="1"/>
      <c r="C883" s="18"/>
      <c r="D883" s="47"/>
      <c r="E883" s="18"/>
      <c r="F883" s="18"/>
      <c r="G883" s="18"/>
      <c r="H883" s="18"/>
      <c r="I883" s="25"/>
      <c r="J883" s="18"/>
      <c r="K883" s="18"/>
      <c r="L883" s="18"/>
      <c r="M883" s="18"/>
      <c r="N883" s="18"/>
      <c r="O883" s="18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>
      <c r="A884" s="1"/>
      <c r="B884" s="1"/>
      <c r="C884" s="18"/>
      <c r="D884" s="47"/>
      <c r="E884" s="18"/>
      <c r="F884" s="18"/>
      <c r="G884" s="18"/>
      <c r="H884" s="18"/>
      <c r="I884" s="25"/>
      <c r="J884" s="18"/>
      <c r="K884" s="18"/>
      <c r="L884" s="18"/>
      <c r="M884" s="18"/>
      <c r="N884" s="18"/>
      <c r="O884" s="18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>
      <c r="A885" s="1"/>
      <c r="B885" s="1"/>
      <c r="C885" s="18"/>
      <c r="D885" s="47"/>
      <c r="E885" s="18"/>
      <c r="F885" s="18"/>
      <c r="G885" s="18"/>
      <c r="H885" s="18"/>
      <c r="I885" s="25"/>
      <c r="J885" s="18"/>
      <c r="K885" s="18"/>
      <c r="L885" s="18"/>
      <c r="M885" s="18"/>
      <c r="N885" s="18"/>
      <c r="O885" s="18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>
      <c r="A886" s="1"/>
      <c r="B886" s="1"/>
      <c r="C886" s="18"/>
      <c r="D886" s="47"/>
      <c r="E886" s="18"/>
      <c r="F886" s="18"/>
      <c r="G886" s="18"/>
      <c r="H886" s="18"/>
      <c r="I886" s="25"/>
      <c r="J886" s="18"/>
      <c r="K886" s="18"/>
      <c r="L886" s="18"/>
      <c r="M886" s="18"/>
      <c r="N886" s="18"/>
      <c r="O886" s="18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>
      <c r="A887" s="1"/>
      <c r="B887" s="1"/>
      <c r="C887" s="18"/>
      <c r="D887" s="47"/>
      <c r="E887" s="18"/>
      <c r="F887" s="18"/>
      <c r="G887" s="18"/>
      <c r="H887" s="18"/>
      <c r="I887" s="25"/>
      <c r="J887" s="18"/>
      <c r="K887" s="18"/>
      <c r="L887" s="18"/>
      <c r="M887" s="18"/>
      <c r="N887" s="18"/>
      <c r="O887" s="18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>
      <c r="A888" s="1"/>
      <c r="B888" s="1"/>
      <c r="C888" s="18"/>
      <c r="D888" s="47"/>
      <c r="E888" s="18"/>
      <c r="F888" s="18"/>
      <c r="G888" s="18"/>
      <c r="H888" s="18"/>
      <c r="I888" s="25"/>
      <c r="J888" s="18"/>
      <c r="K888" s="18"/>
      <c r="L888" s="18"/>
      <c r="M888" s="18"/>
      <c r="N888" s="18"/>
      <c r="O888" s="18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>
      <c r="A889" s="1"/>
      <c r="B889" s="1"/>
      <c r="C889" s="18"/>
      <c r="D889" s="47"/>
      <c r="E889" s="18"/>
      <c r="F889" s="18"/>
      <c r="G889" s="18"/>
      <c r="H889" s="18"/>
      <c r="I889" s="25"/>
      <c r="J889" s="18"/>
      <c r="K889" s="18"/>
      <c r="L889" s="18"/>
      <c r="M889" s="18"/>
      <c r="N889" s="18"/>
      <c r="O889" s="18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>
      <c r="A890" s="1"/>
      <c r="B890" s="1"/>
      <c r="C890" s="18"/>
      <c r="D890" s="47"/>
      <c r="E890" s="18"/>
      <c r="F890" s="18"/>
      <c r="G890" s="18"/>
      <c r="H890" s="18"/>
      <c r="I890" s="25"/>
      <c r="J890" s="18"/>
      <c r="K890" s="18"/>
      <c r="L890" s="18"/>
      <c r="M890" s="18"/>
      <c r="N890" s="18"/>
      <c r="O890" s="18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>
      <c r="A891" s="1"/>
      <c r="B891" s="1"/>
      <c r="C891" s="18"/>
      <c r="D891" s="47"/>
      <c r="E891" s="18"/>
      <c r="F891" s="18"/>
      <c r="G891" s="18"/>
      <c r="H891" s="18"/>
      <c r="I891" s="25"/>
      <c r="J891" s="18"/>
      <c r="K891" s="18"/>
      <c r="L891" s="18"/>
      <c r="M891" s="18"/>
      <c r="N891" s="18"/>
      <c r="O891" s="18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>
      <c r="A892" s="1"/>
      <c r="B892" s="1"/>
      <c r="C892" s="18"/>
      <c r="D892" s="47"/>
      <c r="E892" s="18"/>
      <c r="F892" s="18"/>
      <c r="G892" s="18"/>
      <c r="H892" s="18"/>
      <c r="I892" s="25"/>
      <c r="J892" s="18"/>
      <c r="K892" s="18"/>
      <c r="L892" s="18"/>
      <c r="M892" s="18"/>
      <c r="N892" s="18"/>
      <c r="O892" s="18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>
      <c r="A893" s="1"/>
      <c r="B893" s="1"/>
      <c r="C893" s="18"/>
      <c r="D893" s="47"/>
      <c r="E893" s="18"/>
      <c r="F893" s="18"/>
      <c r="G893" s="18"/>
      <c r="H893" s="18"/>
      <c r="I893" s="25"/>
      <c r="J893" s="18"/>
      <c r="K893" s="18"/>
      <c r="L893" s="18"/>
      <c r="M893" s="18"/>
      <c r="N893" s="18"/>
      <c r="O893" s="18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>
      <c r="A894" s="1"/>
      <c r="B894" s="1"/>
      <c r="C894" s="18"/>
      <c r="D894" s="47"/>
      <c r="E894" s="18"/>
      <c r="F894" s="18"/>
      <c r="G894" s="18"/>
      <c r="H894" s="18"/>
      <c r="I894" s="25"/>
      <c r="J894" s="18"/>
      <c r="K894" s="18"/>
      <c r="L894" s="18"/>
      <c r="M894" s="18"/>
      <c r="N894" s="18"/>
      <c r="O894" s="18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>
      <c r="A895" s="1"/>
      <c r="B895" s="1"/>
      <c r="C895" s="18"/>
      <c r="D895" s="47"/>
      <c r="E895" s="18"/>
      <c r="F895" s="18"/>
      <c r="G895" s="18"/>
      <c r="H895" s="18"/>
      <c r="I895" s="25"/>
      <c r="J895" s="18"/>
      <c r="K895" s="18"/>
      <c r="L895" s="18"/>
      <c r="M895" s="18"/>
      <c r="N895" s="18"/>
      <c r="O895" s="18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>
      <c r="A896" s="1"/>
      <c r="B896" s="1"/>
      <c r="C896" s="18"/>
      <c r="D896" s="47"/>
      <c r="E896" s="18"/>
      <c r="F896" s="18"/>
      <c r="G896" s="18"/>
      <c r="H896" s="18"/>
      <c r="I896" s="25"/>
      <c r="J896" s="18"/>
      <c r="K896" s="18"/>
      <c r="L896" s="18"/>
      <c r="M896" s="18"/>
      <c r="N896" s="18"/>
      <c r="O896" s="18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>
      <c r="A897" s="1"/>
      <c r="B897" s="1"/>
      <c r="C897" s="18"/>
      <c r="D897" s="47"/>
      <c r="E897" s="18"/>
      <c r="F897" s="18"/>
      <c r="G897" s="18"/>
      <c r="H897" s="18"/>
      <c r="I897" s="25"/>
      <c r="J897" s="18"/>
      <c r="K897" s="18"/>
      <c r="L897" s="18"/>
      <c r="M897" s="18"/>
      <c r="N897" s="18"/>
      <c r="O897" s="18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>
      <c r="A898" s="1"/>
      <c r="B898" s="1"/>
      <c r="C898" s="18"/>
      <c r="D898" s="47"/>
      <c r="E898" s="18"/>
      <c r="F898" s="18"/>
      <c r="G898" s="18"/>
      <c r="H898" s="18"/>
      <c r="I898" s="25"/>
      <c r="J898" s="18"/>
      <c r="K898" s="18"/>
      <c r="L898" s="18"/>
      <c r="M898" s="18"/>
      <c r="N898" s="18"/>
      <c r="O898" s="18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>
      <c r="A899" s="1"/>
      <c r="B899" s="1"/>
      <c r="C899" s="18"/>
      <c r="D899" s="47"/>
      <c r="E899" s="18"/>
      <c r="F899" s="18"/>
      <c r="G899" s="18"/>
      <c r="H899" s="18"/>
      <c r="I899" s="25"/>
      <c r="J899" s="18"/>
      <c r="K899" s="18"/>
      <c r="L899" s="18"/>
      <c r="M899" s="18"/>
      <c r="N899" s="18"/>
      <c r="O899" s="18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>
      <c r="A900" s="1"/>
      <c r="B900" s="1"/>
      <c r="C900" s="18"/>
      <c r="D900" s="47"/>
      <c r="E900" s="18"/>
      <c r="F900" s="18"/>
      <c r="G900" s="18"/>
      <c r="H900" s="18"/>
      <c r="I900" s="25"/>
      <c r="J900" s="18"/>
      <c r="K900" s="18"/>
      <c r="L900" s="18"/>
      <c r="M900" s="18"/>
      <c r="N900" s="18"/>
      <c r="O900" s="18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>
      <c r="A901" s="1"/>
      <c r="B901" s="1"/>
      <c r="C901" s="18"/>
      <c r="D901" s="47"/>
      <c r="E901" s="18"/>
      <c r="F901" s="18"/>
      <c r="G901" s="18"/>
      <c r="H901" s="18"/>
      <c r="I901" s="25"/>
      <c r="J901" s="18"/>
      <c r="K901" s="18"/>
      <c r="L901" s="18"/>
      <c r="M901" s="18"/>
      <c r="N901" s="18"/>
      <c r="O901" s="18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>
      <c r="A902" s="1"/>
      <c r="B902" s="1"/>
      <c r="C902" s="18"/>
      <c r="D902" s="47"/>
      <c r="E902" s="18"/>
      <c r="F902" s="18"/>
      <c r="G902" s="18"/>
      <c r="H902" s="18"/>
      <c r="I902" s="25"/>
      <c r="J902" s="18"/>
      <c r="K902" s="18"/>
      <c r="L902" s="18"/>
      <c r="M902" s="18"/>
      <c r="N902" s="18"/>
      <c r="O902" s="18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>
      <c r="A903" s="1"/>
      <c r="B903" s="1"/>
      <c r="C903" s="18"/>
      <c r="D903" s="47"/>
      <c r="E903" s="18"/>
      <c r="F903" s="18"/>
      <c r="G903" s="18"/>
      <c r="H903" s="18"/>
      <c r="I903" s="25"/>
      <c r="J903" s="18"/>
      <c r="K903" s="18"/>
      <c r="L903" s="18"/>
      <c r="M903" s="18"/>
      <c r="N903" s="18"/>
      <c r="O903" s="18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>
      <c r="A904" s="1"/>
      <c r="B904" s="1"/>
      <c r="C904" s="18"/>
      <c r="D904" s="47"/>
      <c r="E904" s="18"/>
      <c r="F904" s="18"/>
      <c r="G904" s="18"/>
      <c r="H904" s="18"/>
      <c r="I904" s="25"/>
      <c r="J904" s="18"/>
      <c r="K904" s="18"/>
      <c r="L904" s="18"/>
      <c r="M904" s="18"/>
      <c r="N904" s="18"/>
      <c r="O904" s="18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>
      <c r="A905" s="1"/>
      <c r="B905" s="1"/>
      <c r="C905" s="18"/>
      <c r="D905" s="47"/>
      <c r="E905" s="18"/>
      <c r="F905" s="18"/>
      <c r="G905" s="18"/>
      <c r="H905" s="18"/>
      <c r="I905" s="25"/>
      <c r="J905" s="18"/>
      <c r="K905" s="18"/>
      <c r="L905" s="18"/>
      <c r="M905" s="18"/>
      <c r="N905" s="18"/>
      <c r="O905" s="18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>
      <c r="A906" s="1"/>
      <c r="B906" s="1"/>
      <c r="C906" s="18"/>
      <c r="D906" s="47"/>
      <c r="E906" s="18"/>
      <c r="F906" s="18"/>
      <c r="G906" s="18"/>
      <c r="H906" s="18"/>
      <c r="I906" s="25"/>
      <c r="J906" s="18"/>
      <c r="K906" s="18"/>
      <c r="L906" s="18"/>
      <c r="M906" s="18"/>
      <c r="N906" s="18"/>
      <c r="O906" s="18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>
      <c r="A907" s="1"/>
      <c r="B907" s="1"/>
      <c r="C907" s="18"/>
      <c r="D907" s="47"/>
      <c r="E907" s="18"/>
      <c r="F907" s="18"/>
      <c r="G907" s="18"/>
      <c r="H907" s="18"/>
      <c r="I907" s="25"/>
      <c r="J907" s="18"/>
      <c r="K907" s="18"/>
      <c r="L907" s="18"/>
      <c r="M907" s="18"/>
      <c r="N907" s="18"/>
      <c r="O907" s="18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>
      <c r="A908" s="1"/>
      <c r="B908" s="1"/>
      <c r="C908" s="18"/>
      <c r="D908" s="47"/>
      <c r="E908" s="18"/>
      <c r="F908" s="18"/>
      <c r="G908" s="18"/>
      <c r="H908" s="18"/>
      <c r="I908" s="25"/>
      <c r="J908" s="18"/>
      <c r="K908" s="18"/>
      <c r="L908" s="18"/>
      <c r="M908" s="18"/>
      <c r="N908" s="18"/>
      <c r="O908" s="18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>
      <c r="A909" s="1"/>
      <c r="B909" s="1"/>
      <c r="C909" s="18"/>
      <c r="D909" s="47"/>
      <c r="E909" s="18"/>
      <c r="F909" s="18"/>
      <c r="G909" s="18"/>
      <c r="H909" s="18"/>
      <c r="I909" s="25"/>
      <c r="J909" s="18"/>
      <c r="K909" s="18"/>
      <c r="L909" s="18"/>
      <c r="M909" s="18"/>
      <c r="N909" s="18"/>
      <c r="O909" s="18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>
      <c r="A910" s="1"/>
      <c r="B910" s="1"/>
      <c r="C910" s="18"/>
      <c r="D910" s="47"/>
      <c r="E910" s="18"/>
      <c r="F910" s="18"/>
      <c r="G910" s="18"/>
      <c r="H910" s="18"/>
      <c r="I910" s="25"/>
      <c r="J910" s="18"/>
      <c r="K910" s="18"/>
      <c r="L910" s="18"/>
      <c r="M910" s="18"/>
      <c r="N910" s="18"/>
      <c r="O910" s="18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>
      <c r="A911" s="1"/>
      <c r="B911" s="1"/>
      <c r="C911" s="18"/>
      <c r="D911" s="47"/>
      <c r="E911" s="18"/>
      <c r="F911" s="18"/>
      <c r="G911" s="18"/>
      <c r="H911" s="18"/>
      <c r="I911" s="25"/>
      <c r="J911" s="18"/>
      <c r="K911" s="18"/>
      <c r="L911" s="18"/>
      <c r="M911" s="18"/>
      <c r="N911" s="18"/>
      <c r="O911" s="18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>
      <c r="A912" s="1"/>
      <c r="B912" s="1"/>
      <c r="C912" s="18"/>
      <c r="D912" s="47"/>
      <c r="E912" s="18"/>
      <c r="F912" s="18"/>
      <c r="G912" s="18"/>
      <c r="H912" s="18"/>
      <c r="I912" s="25"/>
      <c r="J912" s="18"/>
      <c r="K912" s="18"/>
      <c r="L912" s="18"/>
      <c r="M912" s="18"/>
      <c r="N912" s="18"/>
      <c r="O912" s="18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>
      <c r="A913" s="1"/>
      <c r="B913" s="1"/>
      <c r="C913" s="18"/>
      <c r="D913" s="47"/>
      <c r="E913" s="18"/>
      <c r="F913" s="18"/>
      <c r="G913" s="18"/>
      <c r="H913" s="18"/>
      <c r="I913" s="25"/>
      <c r="J913" s="18"/>
      <c r="K913" s="18"/>
      <c r="L913" s="18"/>
      <c r="M913" s="18"/>
      <c r="N913" s="18"/>
      <c r="O913" s="18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>
      <c r="A914" s="1"/>
      <c r="B914" s="1"/>
      <c r="C914" s="18"/>
      <c r="D914" s="47"/>
      <c r="E914" s="18"/>
      <c r="F914" s="18"/>
      <c r="G914" s="18"/>
      <c r="H914" s="18"/>
      <c r="I914" s="25"/>
      <c r="J914" s="18"/>
      <c r="K914" s="18"/>
      <c r="L914" s="18"/>
      <c r="M914" s="18"/>
      <c r="N914" s="18"/>
      <c r="O914" s="18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>
      <c r="A915" s="1"/>
      <c r="B915" s="1"/>
      <c r="C915" s="18"/>
      <c r="D915" s="47"/>
      <c r="E915" s="18"/>
      <c r="F915" s="18"/>
      <c r="G915" s="18"/>
      <c r="H915" s="18"/>
      <c r="I915" s="25"/>
      <c r="J915" s="18"/>
      <c r="K915" s="18"/>
      <c r="L915" s="18"/>
      <c r="M915" s="18"/>
      <c r="N915" s="18"/>
      <c r="O915" s="18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>
      <c r="A916" s="1"/>
      <c r="B916" s="1"/>
      <c r="C916" s="18"/>
      <c r="D916" s="47"/>
      <c r="E916" s="18"/>
      <c r="F916" s="18"/>
      <c r="G916" s="18"/>
      <c r="H916" s="18"/>
      <c r="I916" s="25"/>
      <c r="J916" s="18"/>
      <c r="K916" s="18"/>
      <c r="L916" s="18"/>
      <c r="M916" s="18"/>
      <c r="N916" s="18"/>
      <c r="O916" s="18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>
      <c r="A917" s="1"/>
      <c r="B917" s="1"/>
      <c r="C917" s="18"/>
      <c r="D917" s="47"/>
      <c r="E917" s="18"/>
      <c r="F917" s="18"/>
      <c r="G917" s="18"/>
      <c r="H917" s="18"/>
      <c r="I917" s="25"/>
      <c r="J917" s="18"/>
      <c r="K917" s="18"/>
      <c r="L917" s="18"/>
      <c r="M917" s="18"/>
      <c r="N917" s="18"/>
      <c r="O917" s="18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>
      <c r="A918" s="1"/>
      <c r="B918" s="1"/>
      <c r="C918" s="18"/>
      <c r="D918" s="47"/>
      <c r="E918" s="18"/>
      <c r="F918" s="18"/>
      <c r="G918" s="18"/>
      <c r="H918" s="18"/>
      <c r="I918" s="25"/>
      <c r="J918" s="18"/>
      <c r="K918" s="18"/>
      <c r="L918" s="18"/>
      <c r="M918" s="18"/>
      <c r="N918" s="18"/>
      <c r="O918" s="18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>
      <c r="A919" s="1"/>
      <c r="B919" s="1"/>
      <c r="C919" s="18"/>
      <c r="D919" s="47"/>
      <c r="E919" s="18"/>
      <c r="F919" s="18"/>
      <c r="G919" s="18"/>
      <c r="H919" s="18"/>
      <c r="I919" s="25"/>
      <c r="J919" s="18"/>
      <c r="K919" s="18"/>
      <c r="L919" s="18"/>
      <c r="M919" s="18"/>
      <c r="N919" s="18"/>
      <c r="O919" s="18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>
      <c r="A920" s="1"/>
      <c r="B920" s="1"/>
      <c r="C920" s="18"/>
      <c r="D920" s="47"/>
      <c r="E920" s="18"/>
      <c r="F920" s="18"/>
      <c r="G920" s="18"/>
      <c r="H920" s="18"/>
      <c r="I920" s="25"/>
      <c r="J920" s="18"/>
      <c r="K920" s="18"/>
      <c r="L920" s="18"/>
      <c r="M920" s="18"/>
      <c r="N920" s="18"/>
      <c r="O920" s="18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>
      <c r="A921" s="1"/>
      <c r="B921" s="1"/>
      <c r="C921" s="18"/>
      <c r="D921" s="47"/>
      <c r="E921" s="18"/>
      <c r="F921" s="18"/>
      <c r="G921" s="18"/>
      <c r="H921" s="18"/>
      <c r="I921" s="25"/>
      <c r="J921" s="18"/>
      <c r="K921" s="18"/>
      <c r="L921" s="18"/>
      <c r="M921" s="18"/>
      <c r="N921" s="18"/>
      <c r="O921" s="18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>
      <c r="A922" s="1"/>
      <c r="B922" s="1"/>
      <c r="C922" s="18"/>
      <c r="D922" s="47"/>
      <c r="E922" s="18"/>
      <c r="F922" s="18"/>
      <c r="G922" s="18"/>
      <c r="H922" s="18"/>
      <c r="I922" s="25"/>
      <c r="J922" s="18"/>
      <c r="K922" s="18"/>
      <c r="L922" s="18"/>
      <c r="M922" s="18"/>
      <c r="N922" s="18"/>
      <c r="O922" s="18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>
      <c r="A923" s="1"/>
      <c r="B923" s="1"/>
      <c r="C923" s="18"/>
      <c r="D923" s="47"/>
      <c r="E923" s="18"/>
      <c r="F923" s="18"/>
      <c r="G923" s="18"/>
      <c r="H923" s="18"/>
      <c r="I923" s="25"/>
      <c r="J923" s="18"/>
      <c r="K923" s="18"/>
      <c r="L923" s="18"/>
      <c r="M923" s="18"/>
      <c r="N923" s="18"/>
      <c r="O923" s="18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>
      <c r="A924" s="1"/>
      <c r="B924" s="1"/>
      <c r="C924" s="18"/>
      <c r="D924" s="47"/>
      <c r="E924" s="18"/>
      <c r="F924" s="18"/>
      <c r="G924" s="18"/>
      <c r="H924" s="18"/>
      <c r="I924" s="25"/>
      <c r="J924" s="18"/>
      <c r="K924" s="18"/>
      <c r="L924" s="18"/>
      <c r="M924" s="18"/>
      <c r="N924" s="18"/>
      <c r="O924" s="18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>
      <c r="A925" s="1"/>
      <c r="B925" s="1"/>
      <c r="C925" s="18"/>
      <c r="D925" s="47"/>
      <c r="E925" s="18"/>
      <c r="F925" s="18"/>
      <c r="G925" s="18"/>
      <c r="H925" s="18"/>
      <c r="I925" s="25"/>
      <c r="J925" s="18"/>
      <c r="K925" s="18"/>
      <c r="L925" s="18"/>
      <c r="M925" s="18"/>
      <c r="N925" s="18"/>
      <c r="O925" s="18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>
      <c r="A926" s="1"/>
      <c r="B926" s="1"/>
      <c r="C926" s="18"/>
      <c r="D926" s="47"/>
      <c r="E926" s="18"/>
      <c r="F926" s="18"/>
      <c r="G926" s="18"/>
      <c r="H926" s="18"/>
      <c r="I926" s="25"/>
      <c r="J926" s="18"/>
      <c r="K926" s="18"/>
      <c r="L926" s="18"/>
      <c r="M926" s="18"/>
      <c r="N926" s="18"/>
      <c r="O926" s="18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>
      <c r="A927" s="1"/>
      <c r="B927" s="1"/>
      <c r="C927" s="18"/>
      <c r="D927" s="47"/>
      <c r="E927" s="18"/>
      <c r="F927" s="18"/>
      <c r="G927" s="18"/>
      <c r="H927" s="18"/>
      <c r="I927" s="25"/>
      <c r="J927" s="18"/>
      <c r="K927" s="18"/>
      <c r="L927" s="18"/>
      <c r="M927" s="18"/>
      <c r="N927" s="18"/>
      <c r="O927" s="18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>
      <c r="A928" s="1"/>
      <c r="B928" s="1"/>
      <c r="C928" s="18"/>
      <c r="D928" s="47"/>
      <c r="E928" s="18"/>
      <c r="F928" s="18"/>
      <c r="G928" s="18"/>
      <c r="H928" s="18"/>
      <c r="I928" s="25"/>
      <c r="J928" s="18"/>
      <c r="K928" s="18"/>
      <c r="L928" s="18"/>
      <c r="M928" s="18"/>
      <c r="N928" s="18"/>
      <c r="O928" s="18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>
      <c r="A929" s="1"/>
      <c r="B929" s="1"/>
      <c r="C929" s="18"/>
      <c r="D929" s="47"/>
      <c r="E929" s="18"/>
      <c r="F929" s="18"/>
      <c r="G929" s="18"/>
      <c r="H929" s="18"/>
      <c r="I929" s="25"/>
      <c r="J929" s="18"/>
      <c r="K929" s="18"/>
      <c r="L929" s="18"/>
      <c r="M929" s="18"/>
      <c r="N929" s="18"/>
      <c r="O929" s="18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>
      <c r="A930" s="1"/>
      <c r="B930" s="1"/>
      <c r="C930" s="18"/>
      <c r="D930" s="47"/>
      <c r="E930" s="18"/>
      <c r="F930" s="18"/>
      <c r="G930" s="18"/>
      <c r="H930" s="18"/>
      <c r="I930" s="25"/>
      <c r="J930" s="18"/>
      <c r="K930" s="18"/>
      <c r="L930" s="18"/>
      <c r="M930" s="18"/>
      <c r="N930" s="18"/>
      <c r="O930" s="18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>
      <c r="A931" s="1"/>
      <c r="B931" s="1"/>
      <c r="C931" s="18"/>
      <c r="D931" s="47"/>
      <c r="E931" s="18"/>
      <c r="F931" s="18"/>
      <c r="G931" s="18"/>
      <c r="H931" s="18"/>
      <c r="I931" s="25"/>
      <c r="J931" s="18"/>
      <c r="K931" s="18"/>
      <c r="L931" s="18"/>
      <c r="M931" s="18"/>
      <c r="N931" s="18"/>
      <c r="O931" s="18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>
      <c r="A932" s="1"/>
      <c r="B932" s="1"/>
      <c r="C932" s="18"/>
      <c r="D932" s="47"/>
      <c r="E932" s="18"/>
      <c r="F932" s="18"/>
      <c r="G932" s="18"/>
      <c r="H932" s="18"/>
      <c r="I932" s="25"/>
      <c r="J932" s="18"/>
      <c r="K932" s="18"/>
      <c r="L932" s="18"/>
      <c r="M932" s="18"/>
      <c r="N932" s="18"/>
      <c r="O932" s="18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>
      <c r="A933" s="1"/>
      <c r="B933" s="1"/>
      <c r="C933" s="18"/>
      <c r="D933" s="47"/>
      <c r="E933" s="18"/>
      <c r="F933" s="18"/>
      <c r="G933" s="18"/>
      <c r="H933" s="18"/>
      <c r="I933" s="25"/>
      <c r="J933" s="18"/>
      <c r="K933" s="18"/>
      <c r="L933" s="18"/>
      <c r="M933" s="18"/>
      <c r="N933" s="18"/>
      <c r="O933" s="18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>
      <c r="A934" s="1"/>
      <c r="B934" s="1"/>
      <c r="C934" s="18"/>
      <c r="D934" s="47"/>
      <c r="E934" s="18"/>
      <c r="F934" s="18"/>
      <c r="G934" s="18"/>
      <c r="H934" s="18"/>
      <c r="I934" s="25"/>
      <c r="J934" s="18"/>
      <c r="K934" s="18"/>
      <c r="L934" s="18"/>
      <c r="M934" s="18"/>
      <c r="N934" s="18"/>
      <c r="O934" s="18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>
      <c r="A935" s="1"/>
      <c r="B935" s="1"/>
      <c r="C935" s="18"/>
      <c r="D935" s="47"/>
      <c r="E935" s="18"/>
      <c r="F935" s="18"/>
      <c r="G935" s="18"/>
      <c r="H935" s="18"/>
      <c r="I935" s="25"/>
      <c r="J935" s="18"/>
      <c r="K935" s="18"/>
      <c r="L935" s="18"/>
      <c r="M935" s="18"/>
      <c r="N935" s="18"/>
      <c r="O935" s="18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>
      <c r="A936" s="1"/>
      <c r="B936" s="1"/>
      <c r="C936" s="18"/>
      <c r="D936" s="47"/>
      <c r="E936" s="18"/>
      <c r="F936" s="18"/>
      <c r="G936" s="18"/>
      <c r="H936" s="18"/>
      <c r="I936" s="25"/>
      <c r="J936" s="18"/>
      <c r="K936" s="18"/>
      <c r="L936" s="18"/>
      <c r="M936" s="18"/>
      <c r="N936" s="18"/>
      <c r="O936" s="18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>
      <c r="A937" s="1"/>
      <c r="B937" s="1"/>
      <c r="C937" s="18"/>
      <c r="D937" s="47"/>
      <c r="E937" s="18"/>
      <c r="F937" s="18"/>
      <c r="G937" s="18"/>
      <c r="H937" s="18"/>
      <c r="I937" s="25"/>
      <c r="J937" s="18"/>
      <c r="K937" s="18"/>
      <c r="L937" s="18"/>
      <c r="M937" s="18"/>
      <c r="N937" s="18"/>
      <c r="O937" s="18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>
      <c r="A938" s="1"/>
      <c r="B938" s="1"/>
      <c r="C938" s="18"/>
      <c r="D938" s="47"/>
      <c r="E938" s="18"/>
      <c r="F938" s="18"/>
      <c r="G938" s="18"/>
      <c r="H938" s="18"/>
      <c r="I938" s="25"/>
      <c r="J938" s="18"/>
      <c r="K938" s="18"/>
      <c r="L938" s="18"/>
      <c r="M938" s="18"/>
      <c r="N938" s="18"/>
      <c r="O938" s="18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>
      <c r="A939" s="1"/>
      <c r="B939" s="1"/>
      <c r="C939" s="18"/>
      <c r="D939" s="47"/>
      <c r="E939" s="18"/>
      <c r="F939" s="18"/>
      <c r="G939" s="18"/>
      <c r="H939" s="18"/>
      <c r="I939" s="25"/>
      <c r="J939" s="18"/>
      <c r="K939" s="18"/>
      <c r="L939" s="18"/>
      <c r="M939" s="18"/>
      <c r="N939" s="18"/>
      <c r="O939" s="18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>
      <c r="A940" s="1"/>
      <c r="B940" s="1"/>
      <c r="C940" s="18"/>
      <c r="D940" s="47"/>
      <c r="E940" s="18"/>
      <c r="F940" s="18"/>
      <c r="G940" s="18"/>
      <c r="H940" s="18"/>
      <c r="I940" s="25"/>
      <c r="J940" s="18"/>
      <c r="K940" s="18"/>
      <c r="L940" s="18"/>
      <c r="M940" s="18"/>
      <c r="N940" s="18"/>
      <c r="O940" s="18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>
      <c r="A941" s="1"/>
      <c r="B941" s="1"/>
      <c r="C941" s="18"/>
      <c r="D941" s="47"/>
      <c r="E941" s="18"/>
      <c r="F941" s="18"/>
      <c r="G941" s="18"/>
      <c r="H941" s="18"/>
      <c r="I941" s="25"/>
      <c r="J941" s="18"/>
      <c r="K941" s="18"/>
      <c r="L941" s="18"/>
      <c r="M941" s="18"/>
      <c r="N941" s="18"/>
      <c r="O941" s="18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>
      <c r="A942" s="1"/>
      <c r="B942" s="1"/>
      <c r="C942" s="18"/>
      <c r="D942" s="47"/>
      <c r="E942" s="18"/>
      <c r="F942" s="18"/>
      <c r="G942" s="18"/>
      <c r="H942" s="18"/>
      <c r="I942" s="25"/>
      <c r="J942" s="18"/>
      <c r="K942" s="18"/>
      <c r="L942" s="18"/>
      <c r="M942" s="18"/>
      <c r="N942" s="18"/>
      <c r="O942" s="18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>
      <c r="A943" s="1"/>
      <c r="B943" s="1"/>
      <c r="C943" s="18"/>
      <c r="D943" s="47"/>
      <c r="E943" s="18"/>
      <c r="F943" s="18"/>
      <c r="G943" s="18"/>
      <c r="H943" s="18"/>
      <c r="I943" s="25"/>
      <c r="J943" s="18"/>
      <c r="K943" s="18"/>
      <c r="L943" s="18"/>
      <c r="M943" s="18"/>
      <c r="N943" s="18"/>
      <c r="O943" s="18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>
      <c r="A944" s="1"/>
      <c r="B944" s="1"/>
      <c r="C944" s="18"/>
      <c r="D944" s="47"/>
      <c r="E944" s="18"/>
      <c r="F944" s="18"/>
      <c r="G944" s="18"/>
      <c r="H944" s="18"/>
      <c r="I944" s="25"/>
      <c r="J944" s="18"/>
      <c r="K944" s="18"/>
      <c r="L944" s="18"/>
      <c r="M944" s="18"/>
      <c r="N944" s="18"/>
      <c r="O944" s="18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>
      <c r="A945" s="1"/>
      <c r="B945" s="1"/>
      <c r="C945" s="18"/>
      <c r="D945" s="47"/>
      <c r="E945" s="18"/>
      <c r="F945" s="18"/>
      <c r="G945" s="18"/>
      <c r="H945" s="18"/>
      <c r="I945" s="25"/>
      <c r="J945" s="18"/>
      <c r="K945" s="18"/>
      <c r="L945" s="18"/>
      <c r="M945" s="18"/>
      <c r="N945" s="18"/>
      <c r="O945" s="18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>
      <c r="A946" s="1"/>
      <c r="B946" s="1"/>
      <c r="C946" s="18"/>
      <c r="D946" s="47"/>
      <c r="E946" s="18"/>
      <c r="F946" s="18"/>
      <c r="G946" s="18"/>
      <c r="H946" s="18"/>
      <c r="I946" s="25"/>
      <c r="J946" s="18"/>
      <c r="K946" s="18"/>
      <c r="L946" s="18"/>
      <c r="M946" s="18"/>
      <c r="N946" s="18"/>
      <c r="O946" s="18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>
      <c r="A947" s="1"/>
      <c r="B947" s="1"/>
      <c r="C947" s="18"/>
      <c r="D947" s="47"/>
      <c r="E947" s="18"/>
      <c r="F947" s="18"/>
      <c r="G947" s="18"/>
      <c r="H947" s="18"/>
      <c r="I947" s="25"/>
      <c r="J947" s="18"/>
      <c r="K947" s="18"/>
      <c r="L947" s="18"/>
      <c r="M947" s="18"/>
      <c r="N947" s="18"/>
      <c r="O947" s="18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>
      <c r="A948" s="1"/>
      <c r="B948" s="1"/>
      <c r="C948" s="18"/>
      <c r="D948" s="47"/>
      <c r="E948" s="18"/>
      <c r="F948" s="18"/>
      <c r="G948" s="18"/>
      <c r="H948" s="18"/>
      <c r="I948" s="25"/>
      <c r="J948" s="18"/>
      <c r="K948" s="18"/>
      <c r="L948" s="18"/>
      <c r="M948" s="18"/>
      <c r="N948" s="18"/>
      <c r="O948" s="18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>
      <c r="A949" s="1"/>
      <c r="B949" s="1"/>
      <c r="C949" s="18"/>
      <c r="D949" s="47"/>
      <c r="E949" s="18"/>
      <c r="F949" s="18"/>
      <c r="G949" s="18"/>
      <c r="H949" s="18"/>
      <c r="I949" s="25"/>
      <c r="J949" s="18"/>
      <c r="K949" s="18"/>
      <c r="L949" s="18"/>
      <c r="M949" s="18"/>
      <c r="N949" s="18"/>
      <c r="O949" s="18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>
      <c r="A950" s="1"/>
      <c r="B950" s="1"/>
      <c r="C950" s="18"/>
      <c r="D950" s="47"/>
      <c r="E950" s="18"/>
      <c r="F950" s="18"/>
      <c r="G950" s="18"/>
      <c r="H950" s="18"/>
      <c r="I950" s="25"/>
      <c r="J950" s="18"/>
      <c r="K950" s="18"/>
      <c r="L950" s="18"/>
      <c r="M950" s="18"/>
      <c r="N950" s="18"/>
      <c r="O950" s="18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>
      <c r="A951" s="1"/>
      <c r="B951" s="1"/>
      <c r="C951" s="18"/>
      <c r="D951" s="47"/>
      <c r="E951" s="18"/>
      <c r="F951" s="18"/>
      <c r="G951" s="18"/>
      <c r="H951" s="18"/>
      <c r="I951" s="25"/>
      <c r="J951" s="18"/>
      <c r="K951" s="18"/>
      <c r="L951" s="18"/>
      <c r="M951" s="18"/>
      <c r="N951" s="18"/>
      <c r="O951" s="18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>
      <c r="A952" s="1"/>
      <c r="B952" s="1"/>
      <c r="C952" s="18"/>
      <c r="D952" s="47"/>
      <c r="E952" s="18"/>
      <c r="F952" s="18"/>
      <c r="G952" s="18"/>
      <c r="H952" s="18"/>
      <c r="I952" s="25"/>
      <c r="J952" s="18"/>
      <c r="K952" s="18"/>
      <c r="L952" s="18"/>
      <c r="M952" s="18"/>
      <c r="N952" s="18"/>
      <c r="O952" s="18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>
      <c r="A953" s="1"/>
      <c r="B953" s="1"/>
      <c r="C953" s="18"/>
      <c r="D953" s="47"/>
      <c r="E953" s="18"/>
      <c r="F953" s="18"/>
      <c r="G953" s="18"/>
      <c r="H953" s="18"/>
      <c r="I953" s="25"/>
      <c r="J953" s="18"/>
      <c r="K953" s="18"/>
      <c r="L953" s="18"/>
      <c r="M953" s="18"/>
      <c r="N953" s="18"/>
      <c r="O953" s="18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>
      <c r="A954" s="1"/>
      <c r="B954" s="1"/>
      <c r="C954" s="18"/>
      <c r="D954" s="47"/>
      <c r="E954" s="18"/>
      <c r="F954" s="18"/>
      <c r="G954" s="18"/>
      <c r="H954" s="18"/>
      <c r="I954" s="25"/>
      <c r="J954" s="18"/>
      <c r="K954" s="18"/>
      <c r="L954" s="18"/>
      <c r="M954" s="18"/>
      <c r="N954" s="18"/>
      <c r="O954" s="18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>
      <c r="A955" s="1"/>
      <c r="B955" s="1"/>
      <c r="C955" s="18"/>
      <c r="D955" s="47"/>
      <c r="E955" s="18"/>
      <c r="F955" s="18"/>
      <c r="G955" s="18"/>
      <c r="H955" s="18"/>
      <c r="I955" s="25"/>
      <c r="J955" s="18"/>
      <c r="K955" s="18"/>
      <c r="L955" s="18"/>
      <c r="M955" s="18"/>
      <c r="N955" s="18"/>
      <c r="O955" s="18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>
      <c r="A956" s="1"/>
      <c r="B956" s="1"/>
      <c r="C956" s="18"/>
      <c r="D956" s="47"/>
      <c r="E956" s="18"/>
      <c r="F956" s="18"/>
      <c r="G956" s="18"/>
      <c r="H956" s="18"/>
      <c r="I956" s="25"/>
      <c r="J956" s="18"/>
      <c r="K956" s="18"/>
      <c r="L956" s="18"/>
      <c r="M956" s="18"/>
      <c r="N956" s="18"/>
      <c r="O956" s="18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>
      <c r="A957" s="1"/>
      <c r="B957" s="1"/>
      <c r="C957" s="18"/>
      <c r="D957" s="47"/>
      <c r="E957" s="18"/>
      <c r="F957" s="18"/>
      <c r="G957" s="18"/>
      <c r="H957" s="18"/>
      <c r="I957" s="25"/>
      <c r="J957" s="18"/>
      <c r="K957" s="18"/>
      <c r="L957" s="18"/>
      <c r="M957" s="18"/>
      <c r="N957" s="18"/>
      <c r="O957" s="18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>
      <c r="A958" s="1"/>
      <c r="B958" s="1"/>
      <c r="C958" s="18"/>
      <c r="D958" s="47"/>
      <c r="E958" s="18"/>
      <c r="F958" s="18"/>
      <c r="G958" s="18"/>
      <c r="H958" s="18"/>
      <c r="I958" s="25"/>
      <c r="J958" s="18"/>
      <c r="K958" s="18"/>
      <c r="L958" s="18"/>
      <c r="M958" s="18"/>
      <c r="N958" s="18"/>
      <c r="O958" s="18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>
      <c r="A959" s="1"/>
      <c r="B959" s="1"/>
      <c r="C959" s="18"/>
      <c r="D959" s="47"/>
      <c r="E959" s="18"/>
      <c r="F959" s="18"/>
      <c r="G959" s="18"/>
      <c r="H959" s="18"/>
      <c r="I959" s="25"/>
      <c r="J959" s="18"/>
      <c r="K959" s="18"/>
      <c r="L959" s="18"/>
      <c r="M959" s="18"/>
      <c r="N959" s="18"/>
      <c r="O959" s="18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>
      <c r="A960" s="1"/>
      <c r="B960" s="1"/>
      <c r="C960" s="18"/>
      <c r="D960" s="47"/>
      <c r="E960" s="18"/>
      <c r="F960" s="18"/>
      <c r="G960" s="18"/>
      <c r="H960" s="18"/>
      <c r="I960" s="25"/>
      <c r="J960" s="18"/>
      <c r="K960" s="18"/>
      <c r="L960" s="18"/>
      <c r="M960" s="18"/>
      <c r="N960" s="18"/>
      <c r="O960" s="18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>
      <c r="A961" s="1"/>
      <c r="B961" s="1"/>
      <c r="C961" s="18"/>
      <c r="D961" s="47"/>
      <c r="E961" s="18"/>
      <c r="F961" s="18"/>
      <c r="G961" s="18"/>
      <c r="H961" s="18"/>
      <c r="I961" s="25"/>
      <c r="J961" s="18"/>
      <c r="K961" s="18"/>
      <c r="L961" s="18"/>
      <c r="M961" s="18"/>
      <c r="N961" s="18"/>
      <c r="O961" s="18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>
      <c r="A962" s="1"/>
      <c r="B962" s="1"/>
      <c r="C962" s="18"/>
      <c r="D962" s="47"/>
      <c r="E962" s="18"/>
      <c r="F962" s="18"/>
      <c r="G962" s="18"/>
      <c r="H962" s="18"/>
      <c r="I962" s="25"/>
      <c r="J962" s="18"/>
      <c r="K962" s="18"/>
      <c r="L962" s="18"/>
      <c r="M962" s="18"/>
      <c r="N962" s="18"/>
      <c r="O962" s="18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>
      <c r="A963" s="1"/>
      <c r="B963" s="1"/>
      <c r="C963" s="18"/>
      <c r="D963" s="47"/>
      <c r="E963" s="18"/>
      <c r="F963" s="18"/>
      <c r="G963" s="18"/>
      <c r="H963" s="18"/>
      <c r="I963" s="25"/>
      <c r="J963" s="18"/>
      <c r="K963" s="18"/>
      <c r="L963" s="18"/>
      <c r="M963" s="18"/>
      <c r="N963" s="18"/>
      <c r="O963" s="18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>
      <c r="A964" s="1"/>
      <c r="B964" s="1"/>
      <c r="C964" s="18"/>
      <c r="D964" s="47"/>
      <c r="E964" s="18"/>
      <c r="F964" s="18"/>
      <c r="G964" s="18"/>
      <c r="H964" s="18"/>
      <c r="I964" s="25"/>
      <c r="J964" s="18"/>
      <c r="K964" s="18"/>
      <c r="L964" s="18"/>
      <c r="M964" s="18"/>
      <c r="N964" s="18"/>
      <c r="O964" s="18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>
      <c r="A965" s="1"/>
      <c r="B965" s="1"/>
      <c r="C965" s="18"/>
      <c r="D965" s="47"/>
      <c r="E965" s="18"/>
      <c r="F965" s="18"/>
      <c r="G965" s="18"/>
      <c r="H965" s="18"/>
      <c r="I965" s="25"/>
      <c r="J965" s="18"/>
      <c r="K965" s="18"/>
      <c r="L965" s="18"/>
      <c r="M965" s="18"/>
      <c r="N965" s="18"/>
      <c r="O965" s="18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>
      <c r="A966" s="1"/>
      <c r="B966" s="1"/>
      <c r="C966" s="18"/>
      <c r="D966" s="47"/>
      <c r="E966" s="18"/>
      <c r="F966" s="18"/>
      <c r="G966" s="18"/>
      <c r="H966" s="18"/>
      <c r="I966" s="25"/>
      <c r="J966" s="18"/>
      <c r="K966" s="18"/>
      <c r="L966" s="18"/>
      <c r="M966" s="18"/>
      <c r="N966" s="18"/>
      <c r="O966" s="18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>
      <c r="A967" s="1"/>
      <c r="B967" s="1"/>
      <c r="C967" s="18"/>
      <c r="D967" s="47"/>
      <c r="E967" s="18"/>
      <c r="F967" s="18"/>
      <c r="G967" s="18"/>
      <c r="H967" s="18"/>
      <c r="I967" s="25"/>
      <c r="J967" s="18"/>
      <c r="K967" s="18"/>
      <c r="L967" s="18"/>
      <c r="M967" s="18"/>
      <c r="N967" s="18"/>
      <c r="O967" s="18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>
      <c r="A968" s="1"/>
      <c r="B968" s="1"/>
      <c r="C968" s="18"/>
      <c r="D968" s="47"/>
      <c r="E968" s="18"/>
      <c r="F968" s="18"/>
      <c r="G968" s="18"/>
      <c r="H968" s="18"/>
      <c r="I968" s="25"/>
      <c r="J968" s="18"/>
      <c r="K968" s="18"/>
      <c r="L968" s="18"/>
      <c r="M968" s="18"/>
      <c r="N968" s="18"/>
      <c r="O968" s="18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>
      <c r="A969" s="1"/>
      <c r="B969" s="1"/>
      <c r="C969" s="18"/>
      <c r="D969" s="47"/>
      <c r="E969" s="18"/>
      <c r="F969" s="18"/>
      <c r="G969" s="18"/>
      <c r="H969" s="18"/>
      <c r="I969" s="25"/>
      <c r="J969" s="18"/>
      <c r="K969" s="18"/>
      <c r="L969" s="18"/>
      <c r="M969" s="18"/>
      <c r="N969" s="18"/>
      <c r="O969" s="18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>
      <c r="A970" s="1"/>
      <c r="B970" s="1"/>
      <c r="C970" s="18"/>
      <c r="D970" s="47"/>
      <c r="E970" s="18"/>
      <c r="F970" s="18"/>
      <c r="G970" s="18"/>
      <c r="H970" s="18"/>
      <c r="I970" s="25"/>
      <c r="J970" s="18"/>
      <c r="K970" s="18"/>
      <c r="L970" s="18"/>
      <c r="M970" s="18"/>
      <c r="N970" s="18"/>
      <c r="O970" s="18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>
      <c r="A971" s="1"/>
      <c r="B971" s="1"/>
      <c r="C971" s="18"/>
      <c r="D971" s="47"/>
      <c r="E971" s="18"/>
      <c r="F971" s="18"/>
      <c r="G971" s="18"/>
      <c r="H971" s="18"/>
      <c r="I971" s="25"/>
      <c r="J971" s="18"/>
      <c r="K971" s="18"/>
      <c r="L971" s="18"/>
      <c r="M971" s="18"/>
      <c r="N971" s="18"/>
      <c r="O971" s="18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>
      <c r="A972" s="1"/>
      <c r="B972" s="1"/>
      <c r="C972" s="18"/>
      <c r="D972" s="47"/>
      <c r="E972" s="18"/>
      <c r="F972" s="18"/>
      <c r="G972" s="18"/>
      <c r="H972" s="18"/>
      <c r="I972" s="25"/>
      <c r="J972" s="18"/>
      <c r="K972" s="18"/>
      <c r="L972" s="18"/>
      <c r="M972" s="18"/>
      <c r="N972" s="18"/>
      <c r="O972" s="18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>
      <c r="A973" s="1"/>
      <c r="B973" s="1"/>
      <c r="C973" s="18"/>
      <c r="D973" s="47"/>
      <c r="E973" s="18"/>
      <c r="F973" s="18"/>
      <c r="G973" s="18"/>
      <c r="H973" s="18"/>
      <c r="I973" s="25"/>
      <c r="J973" s="18"/>
      <c r="K973" s="18"/>
      <c r="L973" s="18"/>
      <c r="M973" s="18"/>
      <c r="N973" s="18"/>
      <c r="O973" s="18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>
      <c r="A974" s="1"/>
      <c r="B974" s="1"/>
      <c r="C974" s="18"/>
      <c r="D974" s="47"/>
      <c r="E974" s="18"/>
      <c r="F974" s="18"/>
      <c r="G974" s="18"/>
      <c r="H974" s="18"/>
      <c r="I974" s="25"/>
      <c r="J974" s="18"/>
      <c r="K974" s="18"/>
      <c r="L974" s="18"/>
      <c r="M974" s="18"/>
      <c r="N974" s="18"/>
      <c r="O974" s="18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>
      <c r="A975" s="1"/>
      <c r="B975" s="1"/>
      <c r="C975" s="18"/>
      <c r="D975" s="47"/>
      <c r="E975" s="18"/>
      <c r="F975" s="18"/>
      <c r="G975" s="18"/>
      <c r="H975" s="18"/>
      <c r="I975" s="25"/>
      <c r="J975" s="18"/>
      <c r="K975" s="18"/>
      <c r="L975" s="18"/>
      <c r="M975" s="18"/>
      <c r="N975" s="18"/>
      <c r="O975" s="18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>
      <c r="A976" s="1"/>
      <c r="B976" s="1"/>
      <c r="C976" s="18"/>
      <c r="D976" s="47"/>
      <c r="E976" s="18"/>
      <c r="F976" s="18"/>
      <c r="G976" s="18"/>
      <c r="H976" s="18"/>
      <c r="I976" s="25"/>
      <c r="J976" s="18"/>
      <c r="K976" s="18"/>
      <c r="L976" s="18"/>
      <c r="M976" s="18"/>
      <c r="N976" s="18"/>
      <c r="O976" s="18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>
      <c r="A977" s="1"/>
      <c r="B977" s="1"/>
      <c r="C977" s="18"/>
      <c r="D977" s="47"/>
      <c r="E977" s="18"/>
      <c r="F977" s="18"/>
      <c r="G977" s="18"/>
      <c r="H977" s="18"/>
      <c r="I977" s="25"/>
      <c r="J977" s="18"/>
      <c r="K977" s="18"/>
      <c r="L977" s="18"/>
      <c r="M977" s="18"/>
      <c r="N977" s="18"/>
      <c r="O977" s="18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>
      <c r="A978" s="1"/>
      <c r="B978" s="1"/>
      <c r="C978" s="18"/>
      <c r="D978" s="47"/>
      <c r="E978" s="18"/>
      <c r="F978" s="18"/>
      <c r="G978" s="18"/>
      <c r="H978" s="18"/>
      <c r="I978" s="25"/>
      <c r="J978" s="18"/>
      <c r="K978" s="18"/>
      <c r="L978" s="18"/>
      <c r="M978" s="18"/>
      <c r="N978" s="18"/>
      <c r="O978" s="18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>
      <c r="A979" s="1"/>
      <c r="B979" s="1"/>
      <c r="C979" s="18"/>
      <c r="D979" s="47"/>
      <c r="E979" s="18"/>
      <c r="F979" s="18"/>
      <c r="G979" s="18"/>
      <c r="H979" s="18"/>
      <c r="I979" s="25"/>
      <c r="J979" s="18"/>
      <c r="K979" s="18"/>
      <c r="L979" s="18"/>
      <c r="M979" s="18"/>
      <c r="N979" s="18"/>
      <c r="O979" s="18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>
      <c r="A980" s="1"/>
      <c r="B980" s="1"/>
      <c r="C980" s="18"/>
      <c r="D980" s="47"/>
      <c r="E980" s="18"/>
      <c r="F980" s="18"/>
      <c r="G980" s="18"/>
      <c r="H980" s="18"/>
      <c r="I980" s="25"/>
      <c r="J980" s="18"/>
      <c r="K980" s="18"/>
      <c r="L980" s="18"/>
      <c r="M980" s="18"/>
      <c r="N980" s="18"/>
      <c r="O980" s="18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>
      <c r="A981" s="1"/>
      <c r="B981" s="1"/>
      <c r="C981" s="18"/>
      <c r="D981" s="47"/>
      <c r="E981" s="18"/>
      <c r="F981" s="18"/>
      <c r="G981" s="18"/>
      <c r="H981" s="18"/>
      <c r="I981" s="25"/>
      <c r="J981" s="18"/>
      <c r="K981" s="18"/>
      <c r="L981" s="18"/>
      <c r="M981" s="18"/>
      <c r="N981" s="18"/>
      <c r="O981" s="18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>
      <c r="A982" s="1"/>
      <c r="B982" s="1"/>
      <c r="C982" s="18"/>
      <c r="D982" s="47"/>
      <c r="E982" s="18"/>
      <c r="F982" s="18"/>
      <c r="G982" s="18"/>
      <c r="H982" s="18"/>
      <c r="I982" s="25"/>
      <c r="J982" s="18"/>
      <c r="K982" s="18"/>
      <c r="L982" s="18"/>
      <c r="M982" s="18"/>
      <c r="N982" s="18"/>
      <c r="O982" s="18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>
      <c r="A983" s="1"/>
      <c r="B983" s="1"/>
      <c r="C983" s="18"/>
      <c r="D983" s="47"/>
      <c r="E983" s="18"/>
      <c r="F983" s="18"/>
      <c r="G983" s="18"/>
      <c r="H983" s="18"/>
      <c r="I983" s="25"/>
      <c r="J983" s="18"/>
      <c r="K983" s="18"/>
      <c r="L983" s="18"/>
      <c r="M983" s="18"/>
      <c r="N983" s="18"/>
      <c r="O983" s="18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>
      <c r="A984" s="1"/>
      <c r="B984" s="1"/>
      <c r="C984" s="18"/>
      <c r="D984" s="47"/>
      <c r="E984" s="18"/>
      <c r="F984" s="18"/>
      <c r="G984" s="18"/>
      <c r="H984" s="18"/>
      <c r="I984" s="25"/>
      <c r="J984" s="18"/>
      <c r="K984" s="18"/>
      <c r="L984" s="18"/>
      <c r="M984" s="18"/>
      <c r="N984" s="18"/>
      <c r="O984" s="18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>
      <c r="A985" s="1"/>
      <c r="B985" s="1"/>
      <c r="C985" s="18"/>
      <c r="D985" s="47"/>
      <c r="E985" s="18"/>
      <c r="F985" s="18"/>
      <c r="G985" s="18"/>
      <c r="H985" s="18"/>
      <c r="I985" s="25"/>
      <c r="J985" s="18"/>
      <c r="K985" s="18"/>
      <c r="L985" s="18"/>
      <c r="M985" s="18"/>
      <c r="N985" s="18"/>
      <c r="O985" s="18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>
      <c r="A986" s="1"/>
      <c r="B986" s="1"/>
      <c r="C986" s="18"/>
      <c r="D986" s="47"/>
      <c r="E986" s="18"/>
      <c r="F986" s="18"/>
      <c r="G986" s="18"/>
      <c r="H986" s="18"/>
      <c r="I986" s="25"/>
      <c r="J986" s="18"/>
      <c r="K986" s="18"/>
      <c r="L986" s="18"/>
      <c r="M986" s="18"/>
      <c r="N986" s="18"/>
      <c r="O986" s="18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>
      <c r="A987" s="1"/>
      <c r="B987" s="1"/>
      <c r="C987" s="18"/>
      <c r="D987" s="47"/>
      <c r="E987" s="18"/>
      <c r="F987" s="18"/>
      <c r="G987" s="18"/>
      <c r="H987" s="18"/>
      <c r="I987" s="25"/>
      <c r="J987" s="18"/>
      <c r="K987" s="18"/>
      <c r="L987" s="18"/>
      <c r="M987" s="18"/>
      <c r="N987" s="18"/>
      <c r="O987" s="18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>
      <c r="A988" s="1"/>
      <c r="B988" s="1"/>
      <c r="C988" s="18"/>
      <c r="D988" s="47"/>
      <c r="E988" s="18"/>
      <c r="F988" s="18"/>
      <c r="G988" s="18"/>
      <c r="H988" s="18"/>
      <c r="I988" s="25"/>
      <c r="J988" s="18"/>
      <c r="K988" s="18"/>
      <c r="L988" s="18"/>
      <c r="M988" s="18"/>
      <c r="N988" s="18"/>
      <c r="O988" s="18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>
      <c r="A989" s="1"/>
      <c r="B989" s="1"/>
      <c r="C989" s="18"/>
      <c r="D989" s="47"/>
      <c r="E989" s="18"/>
      <c r="F989" s="18"/>
      <c r="G989" s="18"/>
      <c r="H989" s="18"/>
      <c r="I989" s="25"/>
      <c r="J989" s="18"/>
      <c r="K989" s="18"/>
      <c r="L989" s="18"/>
      <c r="M989" s="18"/>
      <c r="N989" s="18"/>
      <c r="O989" s="18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>
      <c r="A990" s="1"/>
      <c r="B990" s="1"/>
      <c r="C990" s="18"/>
      <c r="D990" s="47"/>
      <c r="E990" s="18"/>
      <c r="F990" s="18"/>
      <c r="G990" s="18"/>
      <c r="H990" s="18"/>
      <c r="I990" s="25"/>
      <c r="J990" s="18"/>
      <c r="K990" s="18"/>
      <c r="L990" s="18"/>
      <c r="M990" s="18"/>
      <c r="N990" s="18"/>
      <c r="O990" s="18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>
      <c r="A991" s="1"/>
      <c r="B991" s="1"/>
      <c r="C991" s="18"/>
      <c r="D991" s="47"/>
      <c r="E991" s="18"/>
      <c r="F991" s="18"/>
      <c r="G991" s="18"/>
      <c r="H991" s="18"/>
      <c r="I991" s="25"/>
      <c r="J991" s="18"/>
      <c r="K991" s="18"/>
      <c r="L991" s="18"/>
      <c r="M991" s="18"/>
      <c r="N991" s="18"/>
      <c r="O991" s="18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>
      <c r="A992" s="1"/>
      <c r="B992" s="1"/>
      <c r="C992" s="18"/>
      <c r="D992" s="47"/>
      <c r="E992" s="18"/>
      <c r="F992" s="18"/>
      <c r="G992" s="18"/>
      <c r="H992" s="18"/>
      <c r="I992" s="25"/>
      <c r="J992" s="18"/>
      <c r="K992" s="18"/>
      <c r="L992" s="18"/>
      <c r="M992" s="18"/>
      <c r="N992" s="18"/>
      <c r="O992" s="18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>
      <c r="A993" s="1"/>
      <c r="B993" s="1"/>
      <c r="C993" s="18"/>
      <c r="D993" s="47"/>
      <c r="E993" s="18"/>
      <c r="F993" s="18"/>
      <c r="G993" s="18"/>
      <c r="H993" s="18"/>
      <c r="I993" s="25"/>
      <c r="J993" s="18"/>
      <c r="K993" s="18"/>
      <c r="L993" s="18"/>
      <c r="M993" s="18"/>
      <c r="N993" s="18"/>
      <c r="O993" s="18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>
      <c r="A994" s="1"/>
      <c r="B994" s="1"/>
      <c r="C994" s="18"/>
      <c r="D994" s="47"/>
      <c r="E994" s="18"/>
      <c r="F994" s="18"/>
      <c r="G994" s="18"/>
      <c r="H994" s="18"/>
      <c r="I994" s="25"/>
      <c r="J994" s="18"/>
      <c r="K994" s="18"/>
      <c r="L994" s="18"/>
      <c r="M994" s="18"/>
      <c r="N994" s="18"/>
      <c r="O994" s="18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>
      <c r="A995" s="1"/>
      <c r="B995" s="1"/>
      <c r="C995" s="18"/>
      <c r="D995" s="47"/>
      <c r="E995" s="18"/>
      <c r="F995" s="18"/>
      <c r="G995" s="18"/>
      <c r="H995" s="18"/>
      <c r="I995" s="25"/>
      <c r="J995" s="18"/>
      <c r="K995" s="18"/>
      <c r="L995" s="18"/>
      <c r="M995" s="18"/>
      <c r="N995" s="18"/>
      <c r="O995" s="18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>
      <c r="A996" s="1"/>
      <c r="B996" s="1"/>
      <c r="C996" s="18"/>
      <c r="D996" s="47"/>
      <c r="E996" s="18"/>
      <c r="F996" s="18"/>
      <c r="G996" s="18"/>
      <c r="H996" s="18"/>
      <c r="I996" s="25"/>
      <c r="J996" s="18"/>
      <c r="K996" s="18"/>
      <c r="L996" s="18"/>
      <c r="M996" s="18"/>
      <c r="N996" s="18"/>
      <c r="O996" s="18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</sheetData>
  <conditionalFormatting sqref="F1:F996">
    <cfRule type="containsText" dxfId="0" priority="1" operator="containsText" text="Propulsion">
      <formula>NOT(ISERROR(SEARCH(("Propulsion"),(F1))))</formula>
    </cfRule>
  </conditionalFormatting>
  <conditionalFormatting sqref="F1:F996">
    <cfRule type="containsText" dxfId="1" priority="2" operator="containsText" text="Avionics">
      <formula>NOT(ISERROR(SEARCH(("Avionics"),(F1))))</formula>
    </cfRule>
  </conditionalFormatting>
  <conditionalFormatting sqref="F1:F996">
    <cfRule type="containsText" dxfId="2" priority="3" operator="containsText" text="Structures">
      <formula>NOT(ISERROR(SEARCH(("Structures"),(F1))))</formula>
    </cfRule>
  </conditionalFormatting>
  <conditionalFormatting sqref="F1:F996">
    <cfRule type="containsText" dxfId="3" priority="4" operator="containsText" text="Systems">
      <formula>NOT(ISERROR(SEARCH(("Systems"),(F1))))</formula>
    </cfRule>
  </conditionalFormatting>
  <hyperlinks>
    <hyperlink r:id="rId1" ref="N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0"/>
    <col customWidth="1" hidden="1" min="2" max="2" width="8.0"/>
    <col customWidth="1" min="3" max="3" width="17.29"/>
    <col customWidth="1" min="4" max="4" width="11.29"/>
    <col customWidth="1" min="5" max="5" width="18.29"/>
    <col customWidth="1" min="6" max="6" width="15.14"/>
    <col customWidth="1" min="7" max="7" width="16.71"/>
    <col customWidth="1" min="8" max="8" width="15.71"/>
    <col customWidth="1" min="9" max="9" width="16.14"/>
    <col customWidth="1" min="10" max="10" width="12.0"/>
    <col customWidth="1" min="11" max="11" width="8.29"/>
    <col customWidth="1" min="12" max="12" width="18.57"/>
    <col customWidth="1" min="13" max="13" width="15.86"/>
    <col customWidth="1" min="14" max="14" width="11.14"/>
  </cols>
  <sheetData>
    <row r="1">
      <c r="A1" s="1"/>
      <c r="B1" s="2">
        <v>13000.0</v>
      </c>
      <c r="C1" s="3" t="s">
        <v>0</v>
      </c>
      <c r="D1" s="4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5" t="s">
        <v>6</v>
      </c>
      <c r="J1" s="3" t="s">
        <v>7</v>
      </c>
      <c r="K1" s="3" t="s">
        <v>8</v>
      </c>
      <c r="L1" s="6" t="s">
        <v>9</v>
      </c>
      <c r="M1" s="51" t="s">
        <v>10</v>
      </c>
      <c r="N1" s="6" t="s">
        <v>11</v>
      </c>
      <c r="O1" s="3" t="s">
        <v>12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ht="17.25" customHeight="1">
      <c r="A2" s="7"/>
      <c r="B2" s="8" t="s">
        <v>13</v>
      </c>
      <c r="C2" s="53">
        <f t="shared" ref="C2:C248" si="1">B2+$B$1</f>
        <v>13001</v>
      </c>
      <c r="D2" s="54" t="s">
        <v>43</v>
      </c>
      <c r="E2" s="55" t="s">
        <v>341</v>
      </c>
      <c r="F2" s="56" t="s">
        <v>67</v>
      </c>
      <c r="G2" s="56" t="s">
        <v>26</v>
      </c>
      <c r="H2" s="56" t="s">
        <v>18</v>
      </c>
      <c r="I2" s="57" t="s">
        <v>342</v>
      </c>
      <c r="J2" s="56" t="s">
        <v>118</v>
      </c>
      <c r="K2" s="58" t="s">
        <v>21</v>
      </c>
      <c r="L2" s="59" t="s">
        <v>29</v>
      </c>
      <c r="M2" s="60" t="s">
        <v>339</v>
      </c>
      <c r="N2" s="59"/>
      <c r="O2" s="56" t="s">
        <v>96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>
      <c r="A3" s="7"/>
      <c r="B3" s="8" t="s">
        <v>34</v>
      </c>
      <c r="C3" s="53">
        <f t="shared" si="1"/>
        <v>13002</v>
      </c>
      <c r="D3" s="54" t="s">
        <v>90</v>
      </c>
      <c r="E3" s="55" t="s">
        <v>343</v>
      </c>
      <c r="F3" s="56" t="s">
        <v>67</v>
      </c>
      <c r="G3" s="56" t="s">
        <v>26</v>
      </c>
      <c r="H3" s="56" t="s">
        <v>18</v>
      </c>
      <c r="I3" s="57" t="s">
        <v>344</v>
      </c>
      <c r="J3" s="56"/>
      <c r="K3" s="56" t="s">
        <v>21</v>
      </c>
      <c r="L3" s="59" t="s">
        <v>100</v>
      </c>
      <c r="M3" s="60">
        <v>43374.0</v>
      </c>
      <c r="N3" s="61" t="s">
        <v>345</v>
      </c>
      <c r="O3" s="56" t="s">
        <v>96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>
      <c r="A4" s="7"/>
      <c r="B4" s="8" t="s">
        <v>40</v>
      </c>
      <c r="C4" s="53">
        <f t="shared" si="1"/>
        <v>13003</v>
      </c>
      <c r="D4" s="54" t="s">
        <v>14</v>
      </c>
      <c r="E4" s="55" t="s">
        <v>346</v>
      </c>
      <c r="F4" s="56" t="s">
        <v>67</v>
      </c>
      <c r="G4" s="56" t="s">
        <v>26</v>
      </c>
      <c r="H4" s="56" t="s">
        <v>18</v>
      </c>
      <c r="I4" s="57" t="s">
        <v>347</v>
      </c>
      <c r="J4" s="56"/>
      <c r="K4" s="56" t="s">
        <v>21</v>
      </c>
      <c r="L4" s="59" t="s">
        <v>69</v>
      </c>
      <c r="M4" s="60">
        <v>43443.0</v>
      </c>
      <c r="N4" s="61" t="s">
        <v>348</v>
      </c>
      <c r="O4" s="6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>
      <c r="A5" s="7"/>
      <c r="B5" s="8" t="s">
        <v>41</v>
      </c>
      <c r="C5" s="53">
        <f t="shared" si="1"/>
        <v>13004</v>
      </c>
      <c r="D5" s="54" t="s">
        <v>14</v>
      </c>
      <c r="E5" s="55" t="s">
        <v>349</v>
      </c>
      <c r="F5" s="56" t="s">
        <v>67</v>
      </c>
      <c r="G5" s="56" t="s">
        <v>26</v>
      </c>
      <c r="H5" s="56" t="s">
        <v>18</v>
      </c>
      <c r="I5" s="57" t="s">
        <v>350</v>
      </c>
      <c r="J5" s="56"/>
      <c r="K5" s="56" t="s">
        <v>21</v>
      </c>
      <c r="L5" s="59" t="s">
        <v>69</v>
      </c>
      <c r="M5" s="60">
        <v>43443.0</v>
      </c>
      <c r="N5" s="61" t="s">
        <v>351</v>
      </c>
      <c r="O5" s="6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>
      <c r="A6" s="7"/>
      <c r="B6" s="8" t="s">
        <v>42</v>
      </c>
      <c r="C6" s="53">
        <f t="shared" si="1"/>
        <v>13005</v>
      </c>
      <c r="D6" s="54" t="s">
        <v>14</v>
      </c>
      <c r="E6" s="55" t="s">
        <v>352</v>
      </c>
      <c r="F6" s="56" t="s">
        <v>67</v>
      </c>
      <c r="G6" s="56" t="s">
        <v>26</v>
      </c>
      <c r="H6" s="56" t="s">
        <v>18</v>
      </c>
      <c r="I6" s="57" t="s">
        <v>352</v>
      </c>
      <c r="J6" s="56"/>
      <c r="K6" s="56" t="s">
        <v>21</v>
      </c>
      <c r="L6" s="59" t="s">
        <v>69</v>
      </c>
      <c r="M6" s="60">
        <v>43443.0</v>
      </c>
      <c r="N6" s="61" t="s">
        <v>353</v>
      </c>
      <c r="O6" s="6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>
      <c r="A7" s="7"/>
      <c r="B7" s="8" t="s">
        <v>46</v>
      </c>
      <c r="C7" s="53">
        <f t="shared" si="1"/>
        <v>13006</v>
      </c>
      <c r="D7" s="54" t="s">
        <v>14</v>
      </c>
      <c r="E7" s="55" t="s">
        <v>354</v>
      </c>
      <c r="F7" s="56" t="s">
        <v>67</v>
      </c>
      <c r="G7" s="56" t="s">
        <v>26</v>
      </c>
      <c r="H7" s="56" t="s">
        <v>18</v>
      </c>
      <c r="I7" s="57" t="s">
        <v>355</v>
      </c>
      <c r="J7" s="56"/>
      <c r="K7" s="56" t="s">
        <v>21</v>
      </c>
      <c r="L7" s="59" t="s">
        <v>69</v>
      </c>
      <c r="M7" s="60">
        <v>43443.0</v>
      </c>
      <c r="N7" s="59"/>
      <c r="O7" s="6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>
      <c r="A8" s="7"/>
      <c r="B8" s="8" t="s">
        <v>49</v>
      </c>
      <c r="C8" s="53">
        <f t="shared" si="1"/>
        <v>13007</v>
      </c>
      <c r="D8" s="54" t="s">
        <v>14</v>
      </c>
      <c r="E8" s="55" t="s">
        <v>356</v>
      </c>
      <c r="F8" s="56" t="s">
        <v>67</v>
      </c>
      <c r="G8" s="56" t="s">
        <v>26</v>
      </c>
      <c r="H8" s="56" t="s">
        <v>18</v>
      </c>
      <c r="I8" s="57" t="s">
        <v>357</v>
      </c>
      <c r="J8" s="56" t="s">
        <v>358</v>
      </c>
      <c r="K8" s="56" t="s">
        <v>21</v>
      </c>
      <c r="L8" s="59" t="s">
        <v>359</v>
      </c>
      <c r="M8" s="60">
        <v>43119.0</v>
      </c>
      <c r="N8" s="61" t="s">
        <v>360</v>
      </c>
      <c r="O8" s="56" t="s">
        <v>96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>
      <c r="A9" s="7"/>
      <c r="B9" s="8" t="s">
        <v>50</v>
      </c>
      <c r="C9" s="53">
        <f t="shared" si="1"/>
        <v>13008</v>
      </c>
      <c r="D9" s="54" t="s">
        <v>35</v>
      </c>
      <c r="E9" s="55" t="s">
        <v>361</v>
      </c>
      <c r="F9" s="56" t="s">
        <v>67</v>
      </c>
      <c r="G9" s="56" t="s">
        <v>26</v>
      </c>
      <c r="H9" s="56" t="s">
        <v>18</v>
      </c>
      <c r="I9" s="57" t="s">
        <v>362</v>
      </c>
      <c r="J9" s="56"/>
      <c r="K9" s="56" t="s">
        <v>21</v>
      </c>
      <c r="L9" s="59" t="s">
        <v>100</v>
      </c>
      <c r="M9" s="60">
        <v>43514.0</v>
      </c>
      <c r="N9" s="61" t="s">
        <v>363</v>
      </c>
      <c r="O9" s="56" t="s">
        <v>96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>
      <c r="A10" s="7"/>
      <c r="B10" s="8" t="s">
        <v>53</v>
      </c>
      <c r="C10" s="53">
        <f t="shared" si="1"/>
        <v>13009</v>
      </c>
      <c r="D10" s="54" t="s">
        <v>14</v>
      </c>
      <c r="E10" s="55" t="s">
        <v>364</v>
      </c>
      <c r="F10" s="56" t="s">
        <v>67</v>
      </c>
      <c r="G10" s="56" t="s">
        <v>26</v>
      </c>
      <c r="H10" s="56" t="s">
        <v>18</v>
      </c>
      <c r="I10" s="57" t="s">
        <v>365</v>
      </c>
      <c r="J10" s="56" t="s">
        <v>366</v>
      </c>
      <c r="K10" s="56" t="s">
        <v>21</v>
      </c>
      <c r="L10" s="59" t="s">
        <v>100</v>
      </c>
      <c r="M10" s="60">
        <v>43648.0</v>
      </c>
      <c r="N10" s="59"/>
      <c r="O10" s="56" t="s">
        <v>96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>
      <c r="A11" s="7"/>
      <c r="B11" s="8" t="s">
        <v>56</v>
      </c>
      <c r="C11" s="53">
        <f t="shared" si="1"/>
        <v>13010</v>
      </c>
      <c r="D11" s="54"/>
      <c r="E11" s="55"/>
      <c r="F11" s="56"/>
      <c r="G11" s="56"/>
      <c r="H11" s="56"/>
      <c r="I11" s="57"/>
      <c r="J11" s="63"/>
      <c r="K11" s="56"/>
      <c r="L11" s="59"/>
      <c r="M11" s="60"/>
      <c r="N11" s="64"/>
      <c r="O11" s="6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>
      <c r="A12" s="7"/>
      <c r="B12" s="8" t="s">
        <v>57</v>
      </c>
      <c r="C12" s="53">
        <f t="shared" si="1"/>
        <v>13011</v>
      </c>
      <c r="D12" s="54"/>
      <c r="E12" s="55"/>
      <c r="F12" s="56"/>
      <c r="G12" s="56"/>
      <c r="H12" s="56"/>
      <c r="I12" s="57"/>
      <c r="J12" s="56"/>
      <c r="K12" s="56"/>
      <c r="L12" s="59"/>
      <c r="M12" s="60"/>
      <c r="N12" s="59"/>
      <c r="O12" s="6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>
      <c r="A13" s="7"/>
      <c r="B13" s="8" t="s">
        <v>61</v>
      </c>
      <c r="C13" s="53">
        <f t="shared" si="1"/>
        <v>13012</v>
      </c>
      <c r="D13" s="54"/>
      <c r="E13" s="55"/>
      <c r="F13" s="56"/>
      <c r="G13" s="56"/>
      <c r="H13" s="56"/>
      <c r="I13" s="57"/>
      <c r="J13" s="56"/>
      <c r="K13" s="56"/>
      <c r="L13" s="59"/>
      <c r="M13" s="60"/>
      <c r="N13" s="59"/>
      <c r="O13" s="6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>
      <c r="A14" s="7"/>
      <c r="B14" s="8" t="s">
        <v>64</v>
      </c>
      <c r="C14" s="53">
        <f t="shared" si="1"/>
        <v>13013</v>
      </c>
      <c r="D14" s="54"/>
      <c r="E14" s="55"/>
      <c r="F14" s="62"/>
      <c r="G14" s="62"/>
      <c r="H14" s="56"/>
      <c r="I14" s="57"/>
      <c r="J14" s="56"/>
      <c r="K14" s="56"/>
      <c r="L14" s="62"/>
      <c r="M14" s="65"/>
      <c r="N14" s="62"/>
      <c r="O14" s="6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>
      <c r="A15" s="7"/>
      <c r="B15" s="8" t="s">
        <v>65</v>
      </c>
      <c r="C15" s="53">
        <f t="shared" si="1"/>
        <v>13014</v>
      </c>
      <c r="D15" s="54"/>
      <c r="E15" s="55"/>
      <c r="F15" s="62"/>
      <c r="G15" s="56"/>
      <c r="H15" s="56"/>
      <c r="I15" s="57"/>
      <c r="J15" s="56"/>
      <c r="K15" s="56"/>
      <c r="L15" s="56"/>
      <c r="M15" s="66"/>
      <c r="N15" s="59"/>
      <c r="O15" s="6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>
      <c r="A16" s="7"/>
      <c r="B16" s="8" t="s">
        <v>71</v>
      </c>
      <c r="C16" s="53">
        <f t="shared" si="1"/>
        <v>13015</v>
      </c>
      <c r="D16" s="54"/>
      <c r="E16" s="55"/>
      <c r="F16" s="62"/>
      <c r="G16" s="56"/>
      <c r="H16" s="62"/>
      <c r="I16" s="57"/>
      <c r="J16" s="56"/>
      <c r="K16" s="56"/>
      <c r="L16" s="56"/>
      <c r="M16" s="66"/>
      <c r="N16" s="59"/>
      <c r="O16" s="6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>
      <c r="A17" s="7"/>
      <c r="B17" s="8" t="s">
        <v>72</v>
      </c>
      <c r="C17" s="53">
        <f t="shared" si="1"/>
        <v>13016</v>
      </c>
      <c r="D17" s="54"/>
      <c r="E17" s="55"/>
      <c r="F17" s="62"/>
      <c r="G17" s="56"/>
      <c r="H17" s="62"/>
      <c r="I17" s="57"/>
      <c r="J17" s="56"/>
      <c r="K17" s="56"/>
      <c r="L17" s="56"/>
      <c r="M17" s="66"/>
      <c r="N17" s="59"/>
      <c r="O17" s="6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>
      <c r="A18" s="7"/>
      <c r="B18" s="8" t="s">
        <v>73</v>
      </c>
      <c r="C18" s="53">
        <f t="shared" si="1"/>
        <v>13017</v>
      </c>
      <c r="D18" s="54"/>
      <c r="E18" s="55"/>
      <c r="F18" s="62"/>
      <c r="G18" s="56"/>
      <c r="H18" s="62"/>
      <c r="I18" s="57"/>
      <c r="J18" s="56"/>
      <c r="K18" s="56"/>
      <c r="L18" s="56"/>
      <c r="M18" s="66"/>
      <c r="N18" s="59"/>
      <c r="O18" s="6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>
      <c r="A19" s="7"/>
      <c r="B19" s="8" t="s">
        <v>75</v>
      </c>
      <c r="C19" s="53">
        <f t="shared" si="1"/>
        <v>13018</v>
      </c>
      <c r="D19" s="54"/>
      <c r="E19" s="55"/>
      <c r="F19" s="62"/>
      <c r="G19" s="56"/>
      <c r="H19" s="62"/>
      <c r="I19" s="57"/>
      <c r="J19" s="56"/>
      <c r="K19" s="56"/>
      <c r="L19" s="56"/>
      <c r="M19" s="66"/>
      <c r="N19" s="59"/>
      <c r="O19" s="6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>
      <c r="A20" s="7"/>
      <c r="B20" s="8" t="s">
        <v>79</v>
      </c>
      <c r="C20" s="53">
        <f t="shared" si="1"/>
        <v>13019</v>
      </c>
      <c r="D20" s="54"/>
      <c r="E20" s="55"/>
      <c r="F20" s="62"/>
      <c r="G20" s="56"/>
      <c r="H20" s="62"/>
      <c r="I20" s="67"/>
      <c r="J20" s="56"/>
      <c r="K20" s="56"/>
      <c r="L20" s="56"/>
      <c r="M20" s="66"/>
      <c r="N20" s="59"/>
      <c r="O20" s="6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>
      <c r="A21" s="7"/>
      <c r="B21" s="8" t="s">
        <v>80</v>
      </c>
      <c r="C21" s="53">
        <f t="shared" si="1"/>
        <v>13020</v>
      </c>
      <c r="D21" s="54"/>
      <c r="E21" s="55"/>
      <c r="F21" s="62"/>
      <c r="G21" s="56"/>
      <c r="H21" s="62"/>
      <c r="I21" s="67"/>
      <c r="J21" s="56"/>
      <c r="K21" s="56"/>
      <c r="L21" s="56"/>
      <c r="M21" s="66"/>
      <c r="N21" s="59"/>
      <c r="O21" s="6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>
      <c r="A22" s="7"/>
      <c r="B22" s="8" t="s">
        <v>81</v>
      </c>
      <c r="C22" s="53">
        <f t="shared" si="1"/>
        <v>13021</v>
      </c>
      <c r="D22" s="54"/>
      <c r="E22" s="68"/>
      <c r="F22" s="62"/>
      <c r="G22" s="56"/>
      <c r="H22" s="62"/>
      <c r="I22" s="57"/>
      <c r="J22" s="56"/>
      <c r="K22" s="56"/>
      <c r="L22" s="56"/>
      <c r="M22" s="65"/>
      <c r="N22" s="69"/>
      <c r="O22" s="6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>
      <c r="A23" s="7"/>
      <c r="B23" s="8" t="s">
        <v>88</v>
      </c>
      <c r="C23" s="53">
        <f t="shared" si="1"/>
        <v>13022</v>
      </c>
      <c r="D23" s="54"/>
      <c r="E23" s="68"/>
      <c r="F23" s="62"/>
      <c r="G23" s="56"/>
      <c r="H23" s="62"/>
      <c r="I23" s="57"/>
      <c r="J23" s="56"/>
      <c r="K23" s="56"/>
      <c r="L23" s="56"/>
      <c r="M23" s="66"/>
      <c r="N23" s="59"/>
      <c r="O23" s="6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>
      <c r="A24" s="7"/>
      <c r="B24" s="8" t="s">
        <v>89</v>
      </c>
      <c r="C24" s="53">
        <f t="shared" si="1"/>
        <v>13023</v>
      </c>
      <c r="D24" s="54"/>
      <c r="E24" s="68"/>
      <c r="F24" s="62"/>
      <c r="G24" s="56"/>
      <c r="H24" s="62"/>
      <c r="I24" s="57"/>
      <c r="J24" s="56"/>
      <c r="K24" s="56"/>
      <c r="L24" s="56"/>
      <c r="M24" s="66"/>
      <c r="N24" s="59"/>
      <c r="O24" s="6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>
      <c r="A25" s="7"/>
      <c r="B25" s="8" t="s">
        <v>93</v>
      </c>
      <c r="C25" s="53">
        <f t="shared" si="1"/>
        <v>13024</v>
      </c>
      <c r="D25" s="54"/>
      <c r="E25" s="68"/>
      <c r="F25" s="62"/>
      <c r="G25" s="56"/>
      <c r="H25" s="62"/>
      <c r="I25" s="57"/>
      <c r="J25" s="56"/>
      <c r="K25" s="56"/>
      <c r="L25" s="56"/>
      <c r="M25" s="66"/>
      <c r="N25" s="59"/>
      <c r="O25" s="6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>
      <c r="A26" s="7"/>
      <c r="B26" s="8" t="s">
        <v>94</v>
      </c>
      <c r="C26" s="53">
        <f t="shared" si="1"/>
        <v>13025</v>
      </c>
      <c r="D26" s="54"/>
      <c r="E26" s="68"/>
      <c r="F26" s="62"/>
      <c r="G26" s="56"/>
      <c r="H26" s="62"/>
      <c r="I26" s="57"/>
      <c r="J26" s="56"/>
      <c r="K26" s="56"/>
      <c r="L26" s="56"/>
      <c r="M26" s="66"/>
      <c r="N26" s="69"/>
      <c r="O26" s="6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>
      <c r="A27" s="7"/>
      <c r="B27" s="8" t="s">
        <v>95</v>
      </c>
      <c r="C27" s="53">
        <f t="shared" si="1"/>
        <v>13026</v>
      </c>
      <c r="D27" s="54"/>
      <c r="E27" s="68"/>
      <c r="F27" s="62"/>
      <c r="G27" s="56"/>
      <c r="H27" s="62"/>
      <c r="I27" s="57"/>
      <c r="J27" s="56"/>
      <c r="K27" s="56"/>
      <c r="L27" s="56"/>
      <c r="M27" s="66"/>
      <c r="N27" s="69"/>
      <c r="O27" s="6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>
      <c r="A28" s="7"/>
      <c r="B28" s="8" t="s">
        <v>97</v>
      </c>
      <c r="C28" s="53">
        <f t="shared" si="1"/>
        <v>13029</v>
      </c>
      <c r="D28" s="54"/>
      <c r="E28" s="55"/>
      <c r="F28" s="62"/>
      <c r="G28" s="56"/>
      <c r="H28" s="62"/>
      <c r="I28" s="70"/>
      <c r="J28" s="56"/>
      <c r="K28" s="56"/>
      <c r="L28" s="56"/>
      <c r="M28" s="66"/>
      <c r="N28" s="56"/>
      <c r="O28" s="6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>
      <c r="A29" s="7"/>
      <c r="B29" s="8" t="s">
        <v>102</v>
      </c>
      <c r="C29" s="53">
        <f t="shared" si="1"/>
        <v>13030</v>
      </c>
      <c r="D29" s="54"/>
      <c r="E29" s="55"/>
      <c r="F29" s="62"/>
      <c r="G29" s="56"/>
      <c r="H29" s="62"/>
      <c r="I29" s="70"/>
      <c r="J29" s="56"/>
      <c r="K29" s="56"/>
      <c r="L29" s="56"/>
      <c r="M29" s="66"/>
      <c r="N29" s="56"/>
      <c r="O29" s="6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>
      <c r="A30" s="7"/>
      <c r="B30" s="8" t="s">
        <v>103</v>
      </c>
      <c r="C30" s="53">
        <f t="shared" si="1"/>
        <v>13031</v>
      </c>
      <c r="D30" s="54"/>
      <c r="E30" s="55"/>
      <c r="F30" s="56"/>
      <c r="G30" s="56"/>
      <c r="H30" s="62"/>
      <c r="I30" s="70"/>
      <c r="J30" s="56"/>
      <c r="K30" s="56"/>
      <c r="L30" s="56"/>
      <c r="M30" s="66"/>
      <c r="N30" s="56"/>
      <c r="O30" s="6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>
      <c r="A31" s="7"/>
      <c r="B31" s="8" t="s">
        <v>104</v>
      </c>
      <c r="C31" s="53">
        <f t="shared" si="1"/>
        <v>13032</v>
      </c>
      <c r="D31" s="54"/>
      <c r="E31" s="55"/>
      <c r="F31" s="56"/>
      <c r="G31" s="56"/>
      <c r="H31" s="62"/>
      <c r="I31" s="70"/>
      <c r="J31" s="56"/>
      <c r="K31" s="56"/>
      <c r="L31" s="56"/>
      <c r="M31" s="66"/>
      <c r="N31" s="56"/>
      <c r="O31" s="6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>
      <c r="A32" s="7"/>
      <c r="B32" s="8" t="s">
        <v>105</v>
      </c>
      <c r="C32" s="53">
        <f t="shared" si="1"/>
        <v>13033</v>
      </c>
      <c r="D32" s="54"/>
      <c r="E32" s="55"/>
      <c r="F32" s="56"/>
      <c r="G32" s="56"/>
      <c r="H32" s="62"/>
      <c r="I32" s="70"/>
      <c r="J32" s="56"/>
      <c r="K32" s="56"/>
      <c r="L32" s="56"/>
      <c r="M32" s="66"/>
      <c r="N32" s="56"/>
      <c r="O32" s="6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>
      <c r="A33" s="7"/>
      <c r="B33" s="8" t="s">
        <v>106</v>
      </c>
      <c r="C33" s="53">
        <f t="shared" si="1"/>
        <v>13034</v>
      </c>
      <c r="D33" s="54"/>
      <c r="E33" s="55"/>
      <c r="F33" s="56"/>
      <c r="G33" s="56"/>
      <c r="H33" s="71"/>
      <c r="I33" s="57"/>
      <c r="J33" s="56"/>
      <c r="K33" s="56"/>
      <c r="L33" s="56"/>
      <c r="M33" s="66"/>
      <c r="N33" s="62"/>
      <c r="O33" s="6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>
      <c r="A34" s="7"/>
      <c r="B34" s="8" t="s">
        <v>107</v>
      </c>
      <c r="C34" s="53">
        <f t="shared" si="1"/>
        <v>13035</v>
      </c>
      <c r="D34" s="54"/>
      <c r="E34" s="55"/>
      <c r="F34" s="56"/>
      <c r="G34" s="56"/>
      <c r="H34" s="62"/>
      <c r="I34" s="57"/>
      <c r="J34" s="56"/>
      <c r="K34" s="56"/>
      <c r="L34" s="56"/>
      <c r="M34" s="66"/>
      <c r="N34" s="62"/>
      <c r="O34" s="6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>
      <c r="A35" s="7"/>
      <c r="B35" s="8" t="s">
        <v>110</v>
      </c>
      <c r="C35" s="53">
        <f t="shared" si="1"/>
        <v>13036</v>
      </c>
      <c r="D35" s="54"/>
      <c r="E35" s="55"/>
      <c r="F35" s="56"/>
      <c r="G35" s="56"/>
      <c r="H35" s="62"/>
      <c r="I35" s="57"/>
      <c r="J35" s="56"/>
      <c r="K35" s="56"/>
      <c r="L35" s="56"/>
      <c r="M35" s="66"/>
      <c r="N35" s="62"/>
      <c r="O35" s="6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>
      <c r="A36" s="7"/>
      <c r="B36" s="8" t="s">
        <v>113</v>
      </c>
      <c r="C36" s="53">
        <f t="shared" si="1"/>
        <v>13037</v>
      </c>
      <c r="D36" s="72"/>
      <c r="E36" s="73"/>
      <c r="F36" s="62"/>
      <c r="G36" s="62"/>
      <c r="H36" s="62"/>
      <c r="I36" s="70"/>
      <c r="J36" s="62"/>
      <c r="K36" s="62"/>
      <c r="L36" s="62"/>
      <c r="M36" s="65"/>
      <c r="N36" s="62"/>
      <c r="O36" s="6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>
      <c r="A37" s="7"/>
      <c r="B37" s="8" t="s">
        <v>114</v>
      </c>
      <c r="C37" s="53">
        <f t="shared" si="1"/>
        <v>13038</v>
      </c>
      <c r="D37" s="72"/>
      <c r="E37" s="73"/>
      <c r="F37" s="62"/>
      <c r="G37" s="62"/>
      <c r="H37" s="62"/>
      <c r="I37" s="70"/>
      <c r="J37" s="62"/>
      <c r="K37" s="62"/>
      <c r="L37" s="62"/>
      <c r="M37" s="65"/>
      <c r="N37" s="62"/>
      <c r="O37" s="6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>
      <c r="A38" s="7"/>
      <c r="B38" s="8" t="s">
        <v>116</v>
      </c>
      <c r="C38" s="53">
        <f t="shared" si="1"/>
        <v>13039</v>
      </c>
      <c r="D38" s="72"/>
      <c r="E38" s="73"/>
      <c r="F38" s="62"/>
      <c r="G38" s="62"/>
      <c r="H38" s="62"/>
      <c r="I38" s="70"/>
      <c r="J38" s="62"/>
      <c r="K38" s="62"/>
      <c r="L38" s="62"/>
      <c r="M38" s="65"/>
      <c r="N38" s="62"/>
      <c r="O38" s="6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>
      <c r="A39" s="7"/>
      <c r="B39" s="8" t="s">
        <v>123</v>
      </c>
      <c r="C39" s="53">
        <f t="shared" si="1"/>
        <v>13040</v>
      </c>
      <c r="D39" s="72"/>
      <c r="E39" s="73"/>
      <c r="F39" s="62"/>
      <c r="G39" s="62"/>
      <c r="H39" s="62"/>
      <c r="I39" s="70"/>
      <c r="J39" s="62"/>
      <c r="K39" s="62"/>
      <c r="L39" s="62"/>
      <c r="M39" s="65"/>
      <c r="N39" s="62"/>
      <c r="O39" s="6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>
      <c r="A40" s="7"/>
      <c r="B40" s="8" t="s">
        <v>125</v>
      </c>
      <c r="C40" s="53">
        <f t="shared" si="1"/>
        <v>13041</v>
      </c>
      <c r="D40" s="72"/>
      <c r="E40" s="73"/>
      <c r="F40" s="62"/>
      <c r="G40" s="62"/>
      <c r="H40" s="62"/>
      <c r="I40" s="70"/>
      <c r="J40" s="62"/>
      <c r="K40" s="62"/>
      <c r="L40" s="62"/>
      <c r="M40" s="65"/>
      <c r="N40" s="62"/>
      <c r="O40" s="6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>
      <c r="A41" s="7"/>
      <c r="B41" s="8" t="s">
        <v>126</v>
      </c>
      <c r="C41" s="53">
        <f t="shared" si="1"/>
        <v>13042</v>
      </c>
      <c r="D41" s="72"/>
      <c r="E41" s="73"/>
      <c r="F41" s="62"/>
      <c r="G41" s="62"/>
      <c r="H41" s="62"/>
      <c r="I41" s="70"/>
      <c r="J41" s="62"/>
      <c r="K41" s="62"/>
      <c r="L41" s="62"/>
      <c r="M41" s="65"/>
      <c r="N41" s="62"/>
      <c r="O41" s="6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>
      <c r="A42" s="7"/>
      <c r="B42" s="8" t="s">
        <v>127</v>
      </c>
      <c r="C42" s="53">
        <f t="shared" si="1"/>
        <v>13043</v>
      </c>
      <c r="D42" s="54"/>
      <c r="E42" s="74"/>
      <c r="F42" s="56"/>
      <c r="G42" s="56"/>
      <c r="H42" s="56"/>
      <c r="I42" s="57"/>
      <c r="J42" s="56"/>
      <c r="K42" s="56"/>
      <c r="L42" s="56"/>
      <c r="M42" s="66"/>
      <c r="N42" s="75"/>
      <c r="O42" s="6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>
      <c r="A43" s="7"/>
      <c r="B43" s="8" t="s">
        <v>128</v>
      </c>
      <c r="C43" s="53">
        <f t="shared" si="1"/>
        <v>13044</v>
      </c>
      <c r="D43" s="54"/>
      <c r="E43" s="74"/>
      <c r="F43" s="56"/>
      <c r="G43" s="56"/>
      <c r="H43" s="56"/>
      <c r="I43" s="57"/>
      <c r="J43" s="56"/>
      <c r="K43" s="56"/>
      <c r="L43" s="56"/>
      <c r="M43" s="66"/>
      <c r="N43" s="75"/>
      <c r="O43" s="6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>
      <c r="A44" s="7"/>
      <c r="B44" s="8" t="s">
        <v>129</v>
      </c>
      <c r="C44" s="53">
        <f t="shared" si="1"/>
        <v>13045</v>
      </c>
      <c r="D44" s="54"/>
      <c r="E44" s="74"/>
      <c r="F44" s="56"/>
      <c r="G44" s="56"/>
      <c r="H44" s="56"/>
      <c r="I44" s="57"/>
      <c r="J44" s="56"/>
      <c r="K44" s="56"/>
      <c r="L44" s="56"/>
      <c r="M44" s="66"/>
      <c r="N44" s="75"/>
      <c r="O44" s="6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>
      <c r="A45" s="7"/>
      <c r="B45" s="8" t="s">
        <v>130</v>
      </c>
      <c r="C45" s="53">
        <f t="shared" si="1"/>
        <v>13046</v>
      </c>
      <c r="D45" s="54"/>
      <c r="E45" s="74"/>
      <c r="F45" s="56"/>
      <c r="G45" s="56"/>
      <c r="H45" s="56"/>
      <c r="I45" s="57"/>
      <c r="J45" s="56"/>
      <c r="K45" s="56"/>
      <c r="L45" s="56"/>
      <c r="M45" s="66"/>
      <c r="N45" s="75"/>
      <c r="O45" s="6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>
      <c r="A46" s="7"/>
      <c r="B46" s="8" t="s">
        <v>131</v>
      </c>
      <c r="C46" s="53">
        <f t="shared" si="1"/>
        <v>13047</v>
      </c>
      <c r="D46" s="54"/>
      <c r="E46" s="74"/>
      <c r="F46" s="56"/>
      <c r="G46" s="56"/>
      <c r="H46" s="56"/>
      <c r="I46" s="70"/>
      <c r="J46" s="56"/>
      <c r="K46" s="62"/>
      <c r="L46" s="62"/>
      <c r="M46" s="65"/>
      <c r="N46" s="75"/>
      <c r="O46" s="6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>
      <c r="A47" s="7"/>
      <c r="B47" s="8" t="s">
        <v>132</v>
      </c>
      <c r="C47" s="53">
        <f t="shared" si="1"/>
        <v>13048</v>
      </c>
      <c r="D47" s="54"/>
      <c r="E47" s="74"/>
      <c r="F47" s="56"/>
      <c r="G47" s="56"/>
      <c r="H47" s="56"/>
      <c r="I47" s="70"/>
      <c r="J47" s="56"/>
      <c r="K47" s="62"/>
      <c r="L47" s="62"/>
      <c r="M47" s="65"/>
      <c r="N47" s="75"/>
      <c r="O47" s="6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>
      <c r="A48" s="7"/>
      <c r="B48" s="8" t="s">
        <v>133</v>
      </c>
      <c r="C48" s="53">
        <f t="shared" si="1"/>
        <v>13049</v>
      </c>
      <c r="D48" s="54"/>
      <c r="E48" s="74"/>
      <c r="F48" s="56"/>
      <c r="G48" s="56"/>
      <c r="H48" s="56"/>
      <c r="I48" s="70"/>
      <c r="J48" s="56"/>
      <c r="K48" s="56"/>
      <c r="L48" s="56"/>
      <c r="M48" s="66"/>
      <c r="N48" s="75"/>
      <c r="O48" s="6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>
      <c r="A49" s="7"/>
      <c r="B49" s="8" t="s">
        <v>134</v>
      </c>
      <c r="C49" s="53">
        <f t="shared" si="1"/>
        <v>13050</v>
      </c>
      <c r="D49" s="54"/>
      <c r="E49" s="74"/>
      <c r="F49" s="56"/>
      <c r="G49" s="56"/>
      <c r="H49" s="56"/>
      <c r="I49" s="70"/>
      <c r="J49" s="56"/>
      <c r="K49" s="56"/>
      <c r="L49" s="56"/>
      <c r="M49" s="66"/>
      <c r="N49" s="75"/>
      <c r="O49" s="6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>
      <c r="A50" s="7"/>
      <c r="B50" s="8" t="s">
        <v>135</v>
      </c>
      <c r="C50" s="53">
        <f t="shared" si="1"/>
        <v>13051</v>
      </c>
      <c r="D50" s="54"/>
      <c r="E50" s="74"/>
      <c r="F50" s="56"/>
      <c r="G50" s="56"/>
      <c r="H50" s="56"/>
      <c r="I50" s="70"/>
      <c r="J50" s="56"/>
      <c r="K50" s="56"/>
      <c r="L50" s="56"/>
      <c r="M50" s="66"/>
      <c r="N50" s="75"/>
      <c r="O50" s="6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>
      <c r="A51" s="7"/>
      <c r="B51" s="8" t="s">
        <v>136</v>
      </c>
      <c r="C51" s="53">
        <f t="shared" si="1"/>
        <v>13052</v>
      </c>
      <c r="D51" s="54"/>
      <c r="E51" s="74"/>
      <c r="F51" s="56"/>
      <c r="G51" s="56"/>
      <c r="H51" s="56"/>
      <c r="I51" s="57"/>
      <c r="J51" s="56"/>
      <c r="K51" s="56"/>
      <c r="L51" s="56"/>
      <c r="M51" s="66"/>
      <c r="N51" s="75"/>
      <c r="O51" s="6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>
      <c r="A52" s="7"/>
      <c r="B52" s="8" t="s">
        <v>137</v>
      </c>
      <c r="C52" s="53">
        <f t="shared" si="1"/>
        <v>13053</v>
      </c>
      <c r="D52" s="54"/>
      <c r="E52" s="74"/>
      <c r="F52" s="56"/>
      <c r="G52" s="56"/>
      <c r="H52" s="56"/>
      <c r="I52" s="57"/>
      <c r="J52" s="56"/>
      <c r="K52" s="62"/>
      <c r="L52" s="62"/>
      <c r="M52" s="65"/>
      <c r="N52" s="75"/>
      <c r="O52" s="6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>
      <c r="A53" s="7"/>
      <c r="B53" s="8" t="s">
        <v>138</v>
      </c>
      <c r="C53" s="53">
        <f t="shared" si="1"/>
        <v>13054</v>
      </c>
      <c r="D53" s="54"/>
      <c r="E53" s="74"/>
      <c r="F53" s="56"/>
      <c r="G53" s="56"/>
      <c r="H53" s="56"/>
      <c r="I53" s="57"/>
      <c r="J53" s="56"/>
      <c r="K53" s="62"/>
      <c r="L53" s="62"/>
      <c r="M53" s="65"/>
      <c r="N53" s="75"/>
      <c r="O53" s="6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>
      <c r="A54" s="7"/>
      <c r="B54" s="8" t="s">
        <v>139</v>
      </c>
      <c r="C54" s="53">
        <f t="shared" si="1"/>
        <v>13055</v>
      </c>
      <c r="D54" s="54"/>
      <c r="E54" s="74"/>
      <c r="F54" s="56"/>
      <c r="G54" s="56"/>
      <c r="H54" s="56"/>
      <c r="I54" s="70"/>
      <c r="J54" s="56"/>
      <c r="K54" s="56"/>
      <c r="L54" s="56"/>
      <c r="M54" s="66"/>
      <c r="N54" s="76"/>
      <c r="O54" s="6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>
      <c r="A55" s="7"/>
      <c r="B55" s="8" t="s">
        <v>140</v>
      </c>
      <c r="C55" s="53">
        <f t="shared" si="1"/>
        <v>13056</v>
      </c>
      <c r="D55" s="54"/>
      <c r="E55" s="74"/>
      <c r="F55" s="56"/>
      <c r="G55" s="56"/>
      <c r="H55" s="56"/>
      <c r="I55" s="70"/>
      <c r="J55" s="56"/>
      <c r="K55" s="56"/>
      <c r="L55" s="56"/>
      <c r="M55" s="66"/>
      <c r="N55" s="75"/>
      <c r="O55" s="6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>
      <c r="A56" s="7"/>
      <c r="B56" s="8" t="s">
        <v>141</v>
      </c>
      <c r="C56" s="53">
        <f t="shared" si="1"/>
        <v>13057</v>
      </c>
      <c r="D56" s="54"/>
      <c r="E56" s="74"/>
      <c r="F56" s="56"/>
      <c r="G56" s="56"/>
      <c r="H56" s="56"/>
      <c r="I56" s="70"/>
      <c r="J56" s="56"/>
      <c r="K56" s="62"/>
      <c r="L56" s="62"/>
      <c r="M56" s="65"/>
      <c r="N56" s="75"/>
      <c r="O56" s="6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>
      <c r="A57" s="7"/>
      <c r="B57" s="8" t="s">
        <v>142</v>
      </c>
      <c r="C57" s="53">
        <f t="shared" si="1"/>
        <v>13058</v>
      </c>
      <c r="D57" s="54"/>
      <c r="E57" s="77"/>
      <c r="F57" s="56"/>
      <c r="G57" s="56"/>
      <c r="H57" s="56"/>
      <c r="I57" s="70"/>
      <c r="J57" s="56"/>
      <c r="K57" s="56"/>
      <c r="L57" s="56"/>
      <c r="M57" s="66"/>
      <c r="N57" s="75"/>
      <c r="O57" s="6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>
      <c r="A58" s="7"/>
      <c r="B58" s="8" t="s">
        <v>143</v>
      </c>
      <c r="C58" s="53">
        <f t="shared" si="1"/>
        <v>13059</v>
      </c>
      <c r="D58" s="54"/>
      <c r="E58" s="74"/>
      <c r="F58" s="56"/>
      <c r="G58" s="56"/>
      <c r="H58" s="56"/>
      <c r="I58" s="70"/>
      <c r="J58" s="56"/>
      <c r="K58" s="56"/>
      <c r="L58" s="56"/>
      <c r="M58" s="66"/>
      <c r="N58" s="75"/>
      <c r="O58" s="6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>
      <c r="A59" s="7"/>
      <c r="B59" s="8" t="s">
        <v>144</v>
      </c>
      <c r="C59" s="53">
        <f t="shared" si="1"/>
        <v>13060</v>
      </c>
      <c r="D59" s="54"/>
      <c r="E59" s="74"/>
      <c r="F59" s="56"/>
      <c r="G59" s="56"/>
      <c r="H59" s="56"/>
      <c r="I59" s="70"/>
      <c r="J59" s="56"/>
      <c r="K59" s="56"/>
      <c r="L59" s="56"/>
      <c r="M59" s="66"/>
      <c r="N59" s="75"/>
      <c r="O59" s="6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>
      <c r="A60" s="7"/>
      <c r="B60" s="8" t="s">
        <v>145</v>
      </c>
      <c r="C60" s="53">
        <f t="shared" si="1"/>
        <v>13061</v>
      </c>
      <c r="D60" s="54"/>
      <c r="E60" s="55"/>
      <c r="F60" s="56"/>
      <c r="G60" s="56"/>
      <c r="H60" s="56"/>
      <c r="I60" s="70"/>
      <c r="J60" s="56"/>
      <c r="K60" s="56"/>
      <c r="L60" s="56"/>
      <c r="M60" s="66"/>
      <c r="N60" s="78"/>
      <c r="O60" s="6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>
      <c r="A61" s="7"/>
      <c r="B61" s="8" t="s">
        <v>146</v>
      </c>
      <c r="C61" s="53">
        <f t="shared" si="1"/>
        <v>13062</v>
      </c>
      <c r="D61" s="54"/>
      <c r="E61" s="55"/>
      <c r="F61" s="56"/>
      <c r="G61" s="56"/>
      <c r="H61" s="56"/>
      <c r="I61" s="70"/>
      <c r="J61" s="56"/>
      <c r="K61" s="56"/>
      <c r="L61" s="56"/>
      <c r="M61" s="66"/>
      <c r="N61" s="78"/>
      <c r="O61" s="6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>
      <c r="A62" s="7"/>
      <c r="B62" s="8" t="s">
        <v>147</v>
      </c>
      <c r="C62" s="53">
        <f t="shared" si="1"/>
        <v>13063</v>
      </c>
      <c r="D62" s="54"/>
      <c r="E62" s="55"/>
      <c r="F62" s="56"/>
      <c r="G62" s="71"/>
      <c r="H62" s="56"/>
      <c r="I62" s="79"/>
      <c r="J62" s="56"/>
      <c r="K62" s="79"/>
      <c r="L62" s="79"/>
      <c r="M62" s="66"/>
      <c r="N62" s="75"/>
      <c r="O62" s="6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>
      <c r="A63" s="7"/>
      <c r="B63" s="8" t="s">
        <v>148</v>
      </c>
      <c r="C63" s="53">
        <f t="shared" si="1"/>
        <v>13064</v>
      </c>
      <c r="D63" s="54"/>
      <c r="E63" s="55"/>
      <c r="F63" s="56"/>
      <c r="G63" s="56"/>
      <c r="H63" s="56"/>
      <c r="I63" s="57"/>
      <c r="J63" s="56"/>
      <c r="K63" s="56"/>
      <c r="L63" s="56"/>
      <c r="M63" s="66"/>
      <c r="N63" s="78"/>
      <c r="O63" s="6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>
      <c r="A64" s="7"/>
      <c r="B64" s="8" t="s">
        <v>149</v>
      </c>
      <c r="C64" s="53">
        <f t="shared" si="1"/>
        <v>13065</v>
      </c>
      <c r="D64" s="54"/>
      <c r="E64" s="55"/>
      <c r="F64" s="56"/>
      <c r="G64" s="56"/>
      <c r="H64" s="56"/>
      <c r="I64" s="57"/>
      <c r="J64" s="56"/>
      <c r="K64" s="56"/>
      <c r="L64" s="56"/>
      <c r="M64" s="66"/>
      <c r="N64" s="78"/>
      <c r="O64" s="6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>
      <c r="A65" s="7"/>
      <c r="B65" s="8" t="s">
        <v>150</v>
      </c>
      <c r="C65" s="53">
        <f t="shared" si="1"/>
        <v>13066</v>
      </c>
      <c r="D65" s="54"/>
      <c r="E65" s="55"/>
      <c r="F65" s="56"/>
      <c r="G65" s="56"/>
      <c r="H65" s="56"/>
      <c r="I65" s="70"/>
      <c r="J65" s="56"/>
      <c r="K65" s="56"/>
      <c r="L65" s="56"/>
      <c r="M65" s="66"/>
      <c r="N65" s="78"/>
      <c r="O65" s="6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>
      <c r="A66" s="7"/>
      <c r="B66" s="8" t="s">
        <v>151</v>
      </c>
      <c r="C66" s="53">
        <f t="shared" si="1"/>
        <v>13067</v>
      </c>
      <c r="D66" s="54"/>
      <c r="E66" s="55"/>
      <c r="F66" s="56"/>
      <c r="G66" s="56"/>
      <c r="H66" s="56"/>
      <c r="I66" s="70"/>
      <c r="J66" s="56"/>
      <c r="K66" s="56"/>
      <c r="L66" s="56"/>
      <c r="M66" s="66"/>
      <c r="N66" s="78"/>
      <c r="O66" s="6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>
      <c r="A67" s="7"/>
      <c r="B67" s="8" t="s">
        <v>152</v>
      </c>
      <c r="C67" s="53">
        <f t="shared" si="1"/>
        <v>13068</v>
      </c>
      <c r="D67" s="54"/>
      <c r="E67" s="55"/>
      <c r="F67" s="56"/>
      <c r="G67" s="56"/>
      <c r="H67" s="56"/>
      <c r="I67" s="57"/>
      <c r="J67" s="56"/>
      <c r="K67" s="56"/>
      <c r="L67" s="56"/>
      <c r="M67" s="66"/>
      <c r="N67" s="78"/>
      <c r="O67" s="6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>
      <c r="A68" s="7"/>
      <c r="B68" s="8" t="s">
        <v>153</v>
      </c>
      <c r="C68" s="53">
        <f t="shared" si="1"/>
        <v>13069</v>
      </c>
      <c r="D68" s="54"/>
      <c r="E68" s="55"/>
      <c r="F68" s="56"/>
      <c r="G68" s="56"/>
      <c r="H68" s="56"/>
      <c r="I68" s="57"/>
      <c r="J68" s="56"/>
      <c r="K68" s="56"/>
      <c r="L68" s="56"/>
      <c r="M68" s="66"/>
      <c r="N68" s="78"/>
      <c r="O68" s="6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>
      <c r="A69" s="7"/>
      <c r="B69" s="8" t="s">
        <v>154</v>
      </c>
      <c r="C69" s="53">
        <f t="shared" si="1"/>
        <v>13070</v>
      </c>
      <c r="D69" s="54"/>
      <c r="E69" s="55"/>
      <c r="F69" s="56"/>
      <c r="G69" s="56"/>
      <c r="H69" s="56"/>
      <c r="I69" s="57"/>
      <c r="J69" s="56"/>
      <c r="K69" s="56"/>
      <c r="L69" s="56"/>
      <c r="M69" s="66"/>
      <c r="N69" s="78"/>
      <c r="O69" s="6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>
      <c r="A70" s="7"/>
      <c r="B70" s="8" t="s">
        <v>155</v>
      </c>
      <c r="C70" s="53">
        <f t="shared" si="1"/>
        <v>13071</v>
      </c>
      <c r="D70" s="54"/>
      <c r="E70" s="55"/>
      <c r="F70" s="56"/>
      <c r="G70" s="56"/>
      <c r="H70" s="56"/>
      <c r="I70" s="57"/>
      <c r="J70" s="56"/>
      <c r="K70" s="56"/>
      <c r="L70" s="56"/>
      <c r="M70" s="66"/>
      <c r="N70" s="78"/>
      <c r="O70" s="6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>
      <c r="A71" s="7"/>
      <c r="B71" s="8" t="s">
        <v>156</v>
      </c>
      <c r="C71" s="53">
        <f t="shared" si="1"/>
        <v>13072</v>
      </c>
      <c r="D71" s="54"/>
      <c r="E71" s="55"/>
      <c r="F71" s="56"/>
      <c r="G71" s="56"/>
      <c r="H71" s="56"/>
      <c r="I71" s="70"/>
      <c r="J71" s="56"/>
      <c r="K71" s="56"/>
      <c r="L71" s="56"/>
      <c r="M71" s="66"/>
      <c r="N71" s="78"/>
      <c r="O71" s="6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>
      <c r="A72" s="7"/>
      <c r="B72" s="8" t="s">
        <v>157</v>
      </c>
      <c r="C72" s="53">
        <f t="shared" si="1"/>
        <v>13073</v>
      </c>
      <c r="D72" s="54"/>
      <c r="E72" s="55"/>
      <c r="F72" s="56"/>
      <c r="G72" s="56"/>
      <c r="H72" s="56"/>
      <c r="I72" s="70"/>
      <c r="J72" s="56"/>
      <c r="K72" s="56"/>
      <c r="L72" s="56"/>
      <c r="M72" s="66"/>
      <c r="N72" s="78"/>
      <c r="O72" s="6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>
      <c r="A73" s="7"/>
      <c r="B73" s="8" t="s">
        <v>158</v>
      </c>
      <c r="C73" s="53">
        <f t="shared" si="1"/>
        <v>13074</v>
      </c>
      <c r="D73" s="54"/>
      <c r="E73" s="55"/>
      <c r="F73" s="56"/>
      <c r="G73" s="56"/>
      <c r="H73" s="56"/>
      <c r="I73" s="57"/>
      <c r="J73" s="56"/>
      <c r="K73" s="56"/>
      <c r="L73" s="56"/>
      <c r="M73" s="66"/>
      <c r="N73" s="78"/>
      <c r="O73" s="6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>
      <c r="A74" s="7"/>
      <c r="B74" s="8" t="s">
        <v>159</v>
      </c>
      <c r="C74" s="53">
        <f t="shared" si="1"/>
        <v>13075</v>
      </c>
      <c r="D74" s="54"/>
      <c r="E74" s="74"/>
      <c r="F74" s="56"/>
      <c r="G74" s="56"/>
      <c r="H74" s="56"/>
      <c r="I74" s="57"/>
      <c r="J74" s="56"/>
      <c r="K74" s="56"/>
      <c r="L74" s="56"/>
      <c r="M74" s="66"/>
      <c r="N74" s="75"/>
      <c r="O74" s="6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>
      <c r="A75" s="7"/>
      <c r="B75" s="8" t="s">
        <v>160</v>
      </c>
      <c r="C75" s="53">
        <f t="shared" si="1"/>
        <v>13076</v>
      </c>
      <c r="D75" s="54"/>
      <c r="E75" s="74"/>
      <c r="F75" s="56"/>
      <c r="G75" s="56"/>
      <c r="H75" s="56"/>
      <c r="I75" s="57"/>
      <c r="J75" s="56"/>
      <c r="K75" s="56"/>
      <c r="L75" s="56"/>
      <c r="M75" s="66"/>
      <c r="N75" s="75"/>
      <c r="O75" s="6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>
      <c r="A76" s="7"/>
      <c r="B76" s="8" t="s">
        <v>161</v>
      </c>
      <c r="C76" s="53">
        <f t="shared" si="1"/>
        <v>13077</v>
      </c>
      <c r="D76" s="54"/>
      <c r="E76" s="74"/>
      <c r="F76" s="56"/>
      <c r="G76" s="56"/>
      <c r="H76" s="56"/>
      <c r="I76" s="57"/>
      <c r="J76" s="56"/>
      <c r="K76" s="56"/>
      <c r="L76" s="56"/>
      <c r="M76" s="66"/>
      <c r="N76" s="75"/>
      <c r="O76" s="6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>
      <c r="A77" s="7"/>
      <c r="B77" s="8" t="s">
        <v>162</v>
      </c>
      <c r="C77" s="53">
        <f t="shared" si="1"/>
        <v>13078</v>
      </c>
      <c r="D77" s="54"/>
      <c r="E77" s="74"/>
      <c r="F77" s="56"/>
      <c r="G77" s="56"/>
      <c r="H77" s="56"/>
      <c r="I77" s="57"/>
      <c r="J77" s="56"/>
      <c r="K77" s="56"/>
      <c r="L77" s="56"/>
      <c r="M77" s="66"/>
      <c r="N77" s="75"/>
      <c r="O77" s="6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>
      <c r="A78" s="7"/>
      <c r="B78" s="8" t="s">
        <v>163</v>
      </c>
      <c r="C78" s="53">
        <f t="shared" si="1"/>
        <v>13079</v>
      </c>
      <c r="D78" s="54"/>
      <c r="E78" s="74"/>
      <c r="F78" s="56"/>
      <c r="G78" s="56"/>
      <c r="H78" s="56"/>
      <c r="I78" s="57"/>
      <c r="J78" s="56"/>
      <c r="K78" s="56"/>
      <c r="L78" s="56"/>
      <c r="M78" s="66"/>
      <c r="N78" s="75"/>
      <c r="O78" s="6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>
      <c r="A79" s="7"/>
      <c r="B79" s="8" t="s">
        <v>164</v>
      </c>
      <c r="C79" s="53">
        <f t="shared" si="1"/>
        <v>13080</v>
      </c>
      <c r="D79" s="54"/>
      <c r="E79" s="74"/>
      <c r="F79" s="56"/>
      <c r="G79" s="56"/>
      <c r="H79" s="56"/>
      <c r="I79" s="57"/>
      <c r="J79" s="56"/>
      <c r="K79" s="56"/>
      <c r="L79" s="56"/>
      <c r="M79" s="66"/>
      <c r="N79" s="75"/>
      <c r="O79" s="6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>
      <c r="A80" s="7"/>
      <c r="B80" s="8" t="s">
        <v>165</v>
      </c>
      <c r="C80" s="53">
        <f t="shared" si="1"/>
        <v>13081</v>
      </c>
      <c r="D80" s="54"/>
      <c r="E80" s="74"/>
      <c r="F80" s="56"/>
      <c r="G80" s="56"/>
      <c r="H80" s="56"/>
      <c r="I80" s="57"/>
      <c r="J80" s="56"/>
      <c r="K80" s="56"/>
      <c r="L80" s="56"/>
      <c r="M80" s="66"/>
      <c r="N80" s="75"/>
      <c r="O80" s="6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>
      <c r="A81" s="7"/>
      <c r="B81" s="8" t="s">
        <v>166</v>
      </c>
      <c r="C81" s="53">
        <f t="shared" si="1"/>
        <v>13082</v>
      </c>
      <c r="D81" s="54"/>
      <c r="E81" s="74"/>
      <c r="F81" s="56"/>
      <c r="G81" s="56"/>
      <c r="H81" s="56"/>
      <c r="I81" s="57"/>
      <c r="J81" s="56"/>
      <c r="K81" s="56"/>
      <c r="L81" s="56"/>
      <c r="M81" s="66"/>
      <c r="N81" s="75"/>
      <c r="O81" s="6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>
      <c r="A82" s="7"/>
      <c r="B82" s="8" t="s">
        <v>167</v>
      </c>
      <c r="C82" s="53">
        <f t="shared" si="1"/>
        <v>13083</v>
      </c>
      <c r="D82" s="54"/>
      <c r="E82" s="74"/>
      <c r="F82" s="56"/>
      <c r="G82" s="56"/>
      <c r="H82" s="56"/>
      <c r="I82" s="57"/>
      <c r="J82" s="56"/>
      <c r="K82" s="56"/>
      <c r="L82" s="56"/>
      <c r="M82" s="66"/>
      <c r="N82" s="75"/>
      <c r="O82" s="6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>
      <c r="A83" s="7"/>
      <c r="B83" s="8" t="s">
        <v>168</v>
      </c>
      <c r="C83" s="53">
        <f t="shared" si="1"/>
        <v>13084</v>
      </c>
      <c r="D83" s="54"/>
      <c r="E83" s="74"/>
      <c r="F83" s="56"/>
      <c r="G83" s="56"/>
      <c r="H83" s="56"/>
      <c r="I83" s="57"/>
      <c r="J83" s="56"/>
      <c r="K83" s="56"/>
      <c r="L83" s="56"/>
      <c r="M83" s="66"/>
      <c r="N83" s="75"/>
      <c r="O83" s="6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>
      <c r="A84" s="7"/>
      <c r="B84" s="8" t="s">
        <v>169</v>
      </c>
      <c r="C84" s="53">
        <f t="shared" si="1"/>
        <v>13085</v>
      </c>
      <c r="D84" s="54"/>
      <c r="E84" s="74"/>
      <c r="F84" s="56"/>
      <c r="G84" s="56"/>
      <c r="H84" s="56"/>
      <c r="I84" s="57"/>
      <c r="J84" s="56"/>
      <c r="K84" s="56"/>
      <c r="L84" s="56"/>
      <c r="M84" s="66"/>
      <c r="N84" s="75"/>
      <c r="O84" s="6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>
      <c r="A85" s="7"/>
      <c r="B85" s="8" t="s">
        <v>170</v>
      </c>
      <c r="C85" s="53">
        <f t="shared" si="1"/>
        <v>13086</v>
      </c>
      <c r="D85" s="54"/>
      <c r="E85" s="55"/>
      <c r="F85" s="56"/>
      <c r="G85" s="56"/>
      <c r="H85" s="56"/>
      <c r="I85" s="70"/>
      <c r="J85" s="62"/>
      <c r="K85" s="56"/>
      <c r="L85" s="56"/>
      <c r="M85" s="66"/>
      <c r="N85" s="78"/>
      <c r="O85" s="6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>
      <c r="A86" s="7"/>
      <c r="B86" s="8" t="s">
        <v>171</v>
      </c>
      <c r="C86" s="53">
        <f t="shared" si="1"/>
        <v>13087</v>
      </c>
      <c r="D86" s="54"/>
      <c r="E86" s="55"/>
      <c r="F86" s="56"/>
      <c r="G86" s="56"/>
      <c r="H86" s="56"/>
      <c r="I86" s="70"/>
      <c r="J86" s="62"/>
      <c r="K86" s="56"/>
      <c r="L86" s="71"/>
      <c r="M86" s="80"/>
      <c r="N86" s="62"/>
      <c r="O86" s="6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>
      <c r="A87" s="7"/>
      <c r="B87" s="8" t="s">
        <v>172</v>
      </c>
      <c r="C87" s="53">
        <f t="shared" si="1"/>
        <v>13088</v>
      </c>
      <c r="D87" s="72"/>
      <c r="E87" s="73"/>
      <c r="F87" s="62"/>
      <c r="G87" s="62"/>
      <c r="H87" s="62"/>
      <c r="I87" s="70"/>
      <c r="J87" s="62"/>
      <c r="K87" s="62"/>
      <c r="L87" s="62"/>
      <c r="M87" s="65"/>
      <c r="N87" s="62"/>
      <c r="O87" s="6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>
      <c r="A88" s="7"/>
      <c r="B88" s="8" t="s">
        <v>173</v>
      </c>
      <c r="C88" s="53">
        <f t="shared" si="1"/>
        <v>13089</v>
      </c>
      <c r="D88" s="72"/>
      <c r="E88" s="73"/>
      <c r="F88" s="62"/>
      <c r="G88" s="62"/>
      <c r="H88" s="62"/>
      <c r="I88" s="70"/>
      <c r="J88" s="62"/>
      <c r="K88" s="62"/>
      <c r="L88" s="62"/>
      <c r="M88" s="65"/>
      <c r="N88" s="62"/>
      <c r="O88" s="6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>
      <c r="A89" s="7"/>
      <c r="B89" s="8" t="s">
        <v>174</v>
      </c>
      <c r="C89" s="53">
        <f t="shared" si="1"/>
        <v>13090</v>
      </c>
      <c r="D89" s="72"/>
      <c r="E89" s="73"/>
      <c r="F89" s="62"/>
      <c r="G89" s="62"/>
      <c r="H89" s="62"/>
      <c r="I89" s="70"/>
      <c r="J89" s="62"/>
      <c r="K89" s="62"/>
      <c r="L89" s="62"/>
      <c r="M89" s="65"/>
      <c r="N89" s="62"/>
      <c r="O89" s="6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>
      <c r="A90" s="7"/>
      <c r="B90" s="8" t="s">
        <v>175</v>
      </c>
      <c r="C90" s="53">
        <f t="shared" si="1"/>
        <v>13091</v>
      </c>
      <c r="D90" s="72"/>
      <c r="E90" s="73"/>
      <c r="F90" s="62"/>
      <c r="G90" s="62"/>
      <c r="H90" s="62"/>
      <c r="I90" s="70"/>
      <c r="J90" s="62"/>
      <c r="K90" s="62"/>
      <c r="L90" s="62"/>
      <c r="M90" s="65"/>
      <c r="N90" s="62"/>
      <c r="O90" s="6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>
      <c r="A91" s="7"/>
      <c r="B91" s="8" t="s">
        <v>176</v>
      </c>
      <c r="C91" s="53">
        <f t="shared" si="1"/>
        <v>13092</v>
      </c>
      <c r="D91" s="72"/>
      <c r="E91" s="73"/>
      <c r="F91" s="62"/>
      <c r="G91" s="62"/>
      <c r="H91" s="62"/>
      <c r="I91" s="70"/>
      <c r="J91" s="62"/>
      <c r="K91" s="62"/>
      <c r="L91" s="62"/>
      <c r="M91" s="65"/>
      <c r="N91" s="62"/>
      <c r="O91" s="6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>
      <c r="A92" s="7"/>
      <c r="B92" s="8" t="s">
        <v>177</v>
      </c>
      <c r="C92" s="53">
        <f t="shared" si="1"/>
        <v>13093</v>
      </c>
      <c r="D92" s="72"/>
      <c r="E92" s="73"/>
      <c r="F92" s="62"/>
      <c r="G92" s="62"/>
      <c r="H92" s="62"/>
      <c r="I92" s="70"/>
      <c r="J92" s="62"/>
      <c r="K92" s="62"/>
      <c r="L92" s="62"/>
      <c r="M92" s="65"/>
      <c r="N92" s="62"/>
      <c r="O92" s="6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>
      <c r="A93" s="7"/>
      <c r="B93" s="8" t="s">
        <v>178</v>
      </c>
      <c r="C93" s="53">
        <f t="shared" si="1"/>
        <v>13094</v>
      </c>
      <c r="D93" s="72"/>
      <c r="E93" s="73"/>
      <c r="F93" s="62"/>
      <c r="G93" s="62"/>
      <c r="H93" s="62"/>
      <c r="I93" s="70"/>
      <c r="J93" s="62"/>
      <c r="K93" s="62"/>
      <c r="L93" s="62"/>
      <c r="M93" s="65"/>
      <c r="N93" s="62"/>
      <c r="O93" s="6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>
      <c r="A94" s="7"/>
      <c r="B94" s="8" t="s">
        <v>179</v>
      </c>
      <c r="C94" s="53">
        <f t="shared" si="1"/>
        <v>13095</v>
      </c>
      <c r="D94" s="72"/>
      <c r="E94" s="73"/>
      <c r="F94" s="62"/>
      <c r="G94" s="62"/>
      <c r="H94" s="62"/>
      <c r="I94" s="70"/>
      <c r="J94" s="62"/>
      <c r="K94" s="62"/>
      <c r="L94" s="62"/>
      <c r="M94" s="65"/>
      <c r="N94" s="62"/>
      <c r="O94" s="6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>
      <c r="A95" s="7"/>
      <c r="B95" s="8" t="s">
        <v>180</v>
      </c>
      <c r="C95" s="53">
        <f t="shared" si="1"/>
        <v>13096</v>
      </c>
      <c r="D95" s="72"/>
      <c r="E95" s="73"/>
      <c r="F95" s="62"/>
      <c r="G95" s="62"/>
      <c r="H95" s="62"/>
      <c r="I95" s="70"/>
      <c r="J95" s="62"/>
      <c r="K95" s="62"/>
      <c r="L95" s="62"/>
      <c r="M95" s="65"/>
      <c r="N95" s="62"/>
      <c r="O95" s="6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>
      <c r="A96" s="7"/>
      <c r="B96" s="8" t="s">
        <v>181</v>
      </c>
      <c r="C96" s="53">
        <f t="shared" si="1"/>
        <v>13097</v>
      </c>
      <c r="D96" s="72"/>
      <c r="E96" s="73"/>
      <c r="F96" s="62"/>
      <c r="G96" s="62"/>
      <c r="H96" s="62"/>
      <c r="I96" s="70"/>
      <c r="J96" s="62"/>
      <c r="K96" s="62"/>
      <c r="L96" s="62"/>
      <c r="M96" s="65"/>
      <c r="N96" s="62"/>
      <c r="O96" s="6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>
      <c r="A97" s="7"/>
      <c r="B97" s="8" t="s">
        <v>182</v>
      </c>
      <c r="C97" s="53">
        <f t="shared" si="1"/>
        <v>13098</v>
      </c>
      <c r="D97" s="72"/>
      <c r="E97" s="73"/>
      <c r="F97" s="62"/>
      <c r="G97" s="62"/>
      <c r="H97" s="62"/>
      <c r="I97" s="70"/>
      <c r="J97" s="62"/>
      <c r="K97" s="62"/>
      <c r="L97" s="62"/>
      <c r="M97" s="65"/>
      <c r="N97" s="62"/>
      <c r="O97" s="6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>
      <c r="A98" s="7"/>
      <c r="B98" s="8" t="s">
        <v>183</v>
      </c>
      <c r="C98" s="53">
        <f t="shared" si="1"/>
        <v>13099</v>
      </c>
      <c r="D98" s="72"/>
      <c r="E98" s="73"/>
      <c r="F98" s="62"/>
      <c r="G98" s="62"/>
      <c r="H98" s="62"/>
      <c r="I98" s="70"/>
      <c r="J98" s="62"/>
      <c r="K98" s="62"/>
      <c r="L98" s="62"/>
      <c r="M98" s="65"/>
      <c r="N98" s="62"/>
      <c r="O98" s="6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>
      <c r="A99" s="7"/>
      <c r="B99" s="8" t="s">
        <v>184</v>
      </c>
      <c r="C99" s="53">
        <f t="shared" si="1"/>
        <v>13100</v>
      </c>
      <c r="D99" s="54" t="s">
        <v>43</v>
      </c>
      <c r="E99" s="55" t="s">
        <v>367</v>
      </c>
      <c r="F99" s="56" t="s">
        <v>67</v>
      </c>
      <c r="G99" s="56" t="s">
        <v>26</v>
      </c>
      <c r="H99" s="56" t="s">
        <v>18</v>
      </c>
      <c r="I99" s="57" t="s">
        <v>368</v>
      </c>
      <c r="J99" s="56" t="s">
        <v>369</v>
      </c>
      <c r="K99" s="56" t="s">
        <v>21</v>
      </c>
      <c r="L99" s="56" t="s">
        <v>370</v>
      </c>
      <c r="M99" s="66">
        <v>43533.0</v>
      </c>
      <c r="N99" s="81" t="str">
        <f>HYPERLINk("https://drive.google.com/open?id=1CGIDUO5KiQiCmSmzg48laHgxn1Qj8O4S","Link")</f>
        <v>Link</v>
      </c>
      <c r="O99" s="56" t="s">
        <v>96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>
      <c r="A100" s="7"/>
      <c r="B100" s="8" t="s">
        <v>185</v>
      </c>
      <c r="C100" s="53">
        <f t="shared" si="1"/>
        <v>13101</v>
      </c>
      <c r="D100" s="54" t="s">
        <v>14</v>
      </c>
      <c r="E100" s="55" t="s">
        <v>371</v>
      </c>
      <c r="F100" s="56" t="s">
        <v>67</v>
      </c>
      <c r="G100" s="56" t="s">
        <v>26</v>
      </c>
      <c r="H100" s="56" t="s">
        <v>18</v>
      </c>
      <c r="I100" s="57" t="s">
        <v>372</v>
      </c>
      <c r="J100" s="56" t="s">
        <v>373</v>
      </c>
      <c r="K100" s="56" t="s">
        <v>21</v>
      </c>
      <c r="L100" s="56" t="s">
        <v>370</v>
      </c>
      <c r="M100" s="66">
        <v>43544.0</v>
      </c>
      <c r="N100" s="81" t="str">
        <f>HYPERLINk("https://drive.google.com/open?id=1rmJGqYzGVuuSd8uE1kSHhk1vfDdgkFJV","Link")</f>
        <v>Link</v>
      </c>
      <c r="O100" s="56" t="s">
        <v>96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>
      <c r="A101" s="7"/>
      <c r="B101" s="8" t="s">
        <v>186</v>
      </c>
      <c r="C101" s="53">
        <f t="shared" si="1"/>
        <v>13102</v>
      </c>
      <c r="D101" s="54"/>
      <c r="E101" s="55"/>
      <c r="F101" s="56"/>
      <c r="G101" s="56"/>
      <c r="H101" s="56"/>
      <c r="I101" s="57"/>
      <c r="J101" s="56"/>
      <c r="K101" s="56"/>
      <c r="L101" s="56"/>
      <c r="M101" s="66"/>
      <c r="N101" s="62"/>
      <c r="O101" s="6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>
      <c r="A102" s="7"/>
      <c r="B102" s="8" t="s">
        <v>187</v>
      </c>
      <c r="C102" s="53">
        <f t="shared" si="1"/>
        <v>13103</v>
      </c>
      <c r="D102" s="54"/>
      <c r="E102" s="55"/>
      <c r="F102" s="56"/>
      <c r="G102" s="56"/>
      <c r="H102" s="56"/>
      <c r="I102" s="70"/>
      <c r="J102" s="56"/>
      <c r="K102" s="56"/>
      <c r="L102" s="56"/>
      <c r="M102" s="66"/>
      <c r="N102" s="62"/>
      <c r="O102" s="6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>
      <c r="A103" s="7"/>
      <c r="B103" s="8" t="s">
        <v>188</v>
      </c>
      <c r="C103" s="53">
        <f t="shared" si="1"/>
        <v>13104</v>
      </c>
      <c r="D103" s="54"/>
      <c r="E103" s="55"/>
      <c r="F103" s="56"/>
      <c r="G103" s="56"/>
      <c r="H103" s="56"/>
      <c r="I103" s="70"/>
      <c r="J103" s="56"/>
      <c r="K103" s="56"/>
      <c r="L103" s="56"/>
      <c r="M103" s="66"/>
      <c r="N103" s="62"/>
      <c r="O103" s="6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>
      <c r="A104" s="7"/>
      <c r="B104" s="8" t="s">
        <v>189</v>
      </c>
      <c r="C104" s="53">
        <f t="shared" si="1"/>
        <v>13105</v>
      </c>
      <c r="D104" s="54"/>
      <c r="E104" s="55"/>
      <c r="F104" s="56"/>
      <c r="G104" s="56"/>
      <c r="H104" s="56"/>
      <c r="I104" s="57"/>
      <c r="J104" s="56"/>
      <c r="K104" s="56"/>
      <c r="L104" s="56"/>
      <c r="M104" s="66"/>
      <c r="N104" s="56"/>
      <c r="O104" s="6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>
      <c r="A105" s="7"/>
      <c r="B105" s="8" t="s">
        <v>190</v>
      </c>
      <c r="C105" s="53">
        <f t="shared" si="1"/>
        <v>13106</v>
      </c>
      <c r="D105" s="54"/>
      <c r="E105" s="55"/>
      <c r="F105" s="56"/>
      <c r="G105" s="56"/>
      <c r="H105" s="56"/>
      <c r="I105" s="57"/>
      <c r="J105" s="56"/>
      <c r="K105" s="56"/>
      <c r="L105" s="56"/>
      <c r="M105" s="66"/>
      <c r="N105" s="56"/>
      <c r="O105" s="6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>
      <c r="A106" s="7"/>
      <c r="B106" s="8" t="s">
        <v>191</v>
      </c>
      <c r="C106" s="53">
        <f t="shared" si="1"/>
        <v>13107</v>
      </c>
      <c r="D106" s="54"/>
      <c r="E106" s="55"/>
      <c r="F106" s="56"/>
      <c r="G106" s="56"/>
      <c r="H106" s="56"/>
      <c r="I106" s="57"/>
      <c r="J106" s="56"/>
      <c r="K106" s="56"/>
      <c r="L106" s="56"/>
      <c r="M106" s="66"/>
      <c r="N106" s="56"/>
      <c r="O106" s="6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>
      <c r="A107" s="7"/>
      <c r="B107" s="8" t="s">
        <v>192</v>
      </c>
      <c r="C107" s="53">
        <f t="shared" si="1"/>
        <v>13108</v>
      </c>
      <c r="D107" s="54"/>
      <c r="E107" s="55"/>
      <c r="F107" s="56"/>
      <c r="G107" s="56"/>
      <c r="H107" s="56"/>
      <c r="I107" s="57"/>
      <c r="J107" s="56"/>
      <c r="K107" s="56"/>
      <c r="L107" s="56"/>
      <c r="M107" s="66"/>
      <c r="N107" s="56"/>
      <c r="O107" s="6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>
      <c r="A108" s="7"/>
      <c r="B108" s="8" t="s">
        <v>193</v>
      </c>
      <c r="C108" s="53">
        <f t="shared" si="1"/>
        <v>13109</v>
      </c>
      <c r="D108" s="54"/>
      <c r="E108" s="55"/>
      <c r="F108" s="56"/>
      <c r="G108" s="56"/>
      <c r="H108" s="56"/>
      <c r="I108" s="57"/>
      <c r="J108" s="56"/>
      <c r="K108" s="56"/>
      <c r="L108" s="56"/>
      <c r="M108" s="66"/>
      <c r="N108" s="56"/>
      <c r="O108" s="6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>
      <c r="A109" s="7"/>
      <c r="B109" s="8" t="s">
        <v>194</v>
      </c>
      <c r="C109" s="53">
        <f t="shared" si="1"/>
        <v>13110</v>
      </c>
      <c r="D109" s="54"/>
      <c r="E109" s="55"/>
      <c r="F109" s="56"/>
      <c r="G109" s="56"/>
      <c r="H109" s="56"/>
      <c r="I109" s="57"/>
      <c r="J109" s="56"/>
      <c r="K109" s="56"/>
      <c r="L109" s="56"/>
      <c r="M109" s="66"/>
      <c r="N109" s="56"/>
      <c r="O109" s="6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>
      <c r="A110" s="7"/>
      <c r="B110" s="8" t="s">
        <v>195</v>
      </c>
      <c r="C110" s="53">
        <f t="shared" si="1"/>
        <v>13111</v>
      </c>
      <c r="D110" s="54"/>
      <c r="E110" s="55"/>
      <c r="F110" s="56"/>
      <c r="G110" s="56"/>
      <c r="H110" s="56"/>
      <c r="I110" s="57"/>
      <c r="J110" s="56"/>
      <c r="K110" s="56"/>
      <c r="L110" s="56"/>
      <c r="M110" s="66"/>
      <c r="N110" s="56"/>
      <c r="O110" s="6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>
      <c r="A111" s="7"/>
      <c r="B111" s="8" t="s">
        <v>196</v>
      </c>
      <c r="C111" s="53">
        <f t="shared" si="1"/>
        <v>13112</v>
      </c>
      <c r="D111" s="54"/>
      <c r="E111" s="55"/>
      <c r="F111" s="56"/>
      <c r="G111" s="56"/>
      <c r="H111" s="56"/>
      <c r="I111" s="57"/>
      <c r="J111" s="56"/>
      <c r="K111" s="56"/>
      <c r="L111" s="56"/>
      <c r="M111" s="66"/>
      <c r="N111" s="56"/>
      <c r="O111" s="6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>
      <c r="A112" s="7"/>
      <c r="B112" s="8" t="s">
        <v>197</v>
      </c>
      <c r="C112" s="53">
        <f t="shared" si="1"/>
        <v>13113</v>
      </c>
      <c r="D112" s="54"/>
      <c r="E112" s="55"/>
      <c r="F112" s="56"/>
      <c r="G112" s="56"/>
      <c r="H112" s="56"/>
      <c r="I112" s="57"/>
      <c r="J112" s="56"/>
      <c r="K112" s="56"/>
      <c r="L112" s="56"/>
      <c r="M112" s="66"/>
      <c r="N112" s="56"/>
      <c r="O112" s="6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>
      <c r="A113" s="7"/>
      <c r="B113" s="8" t="s">
        <v>198</v>
      </c>
      <c r="C113" s="53">
        <f t="shared" si="1"/>
        <v>13114</v>
      </c>
      <c r="D113" s="72"/>
      <c r="E113" s="55"/>
      <c r="F113" s="56"/>
      <c r="G113" s="56"/>
      <c r="H113" s="56"/>
      <c r="I113" s="57"/>
      <c r="J113" s="56"/>
      <c r="K113" s="56"/>
      <c r="L113" s="56"/>
      <c r="M113" s="66"/>
      <c r="N113" s="56"/>
      <c r="O113" s="6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>
      <c r="A114" s="7"/>
      <c r="B114" s="8" t="s">
        <v>199</v>
      </c>
      <c r="C114" s="53">
        <f t="shared" si="1"/>
        <v>13115</v>
      </c>
      <c r="D114" s="72"/>
      <c r="E114" s="55"/>
      <c r="F114" s="56"/>
      <c r="G114" s="56"/>
      <c r="H114" s="56"/>
      <c r="I114" s="57"/>
      <c r="J114" s="56"/>
      <c r="K114" s="56"/>
      <c r="L114" s="56"/>
      <c r="M114" s="66"/>
      <c r="N114" s="56"/>
      <c r="O114" s="6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>
      <c r="A115" s="7"/>
      <c r="B115" s="8" t="s">
        <v>200</v>
      </c>
      <c r="C115" s="53">
        <f t="shared" si="1"/>
        <v>13116</v>
      </c>
      <c r="D115" s="72"/>
      <c r="E115" s="55"/>
      <c r="F115" s="56"/>
      <c r="G115" s="56"/>
      <c r="H115" s="56"/>
      <c r="I115" s="57"/>
      <c r="J115" s="56"/>
      <c r="K115" s="56"/>
      <c r="L115" s="56"/>
      <c r="M115" s="66"/>
      <c r="N115" s="56"/>
      <c r="O115" s="6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>
      <c r="A116" s="7"/>
      <c r="B116" s="8" t="s">
        <v>201</v>
      </c>
      <c r="C116" s="53">
        <f t="shared" si="1"/>
        <v>13117</v>
      </c>
      <c r="D116" s="72"/>
      <c r="E116" s="55"/>
      <c r="F116" s="56"/>
      <c r="G116" s="56"/>
      <c r="H116" s="56"/>
      <c r="I116" s="57"/>
      <c r="J116" s="56"/>
      <c r="K116" s="56"/>
      <c r="L116" s="56"/>
      <c r="M116" s="66"/>
      <c r="N116" s="56"/>
      <c r="O116" s="6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>
      <c r="A117" s="7"/>
      <c r="B117" s="8" t="s">
        <v>202</v>
      </c>
      <c r="C117" s="53">
        <f t="shared" si="1"/>
        <v>13118</v>
      </c>
      <c r="D117" s="72"/>
      <c r="E117" s="55"/>
      <c r="F117" s="56"/>
      <c r="G117" s="56"/>
      <c r="H117" s="56"/>
      <c r="I117" s="57"/>
      <c r="J117" s="56"/>
      <c r="K117" s="56"/>
      <c r="L117" s="56"/>
      <c r="M117" s="66"/>
      <c r="N117" s="56"/>
      <c r="O117" s="6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>
      <c r="A118" s="7"/>
      <c r="B118" s="8" t="s">
        <v>203</v>
      </c>
      <c r="C118" s="53">
        <f t="shared" si="1"/>
        <v>13119</v>
      </c>
      <c r="D118" s="72"/>
      <c r="E118" s="55"/>
      <c r="F118" s="56"/>
      <c r="G118" s="56"/>
      <c r="H118" s="56"/>
      <c r="I118" s="57"/>
      <c r="J118" s="56"/>
      <c r="K118" s="56"/>
      <c r="L118" s="56"/>
      <c r="M118" s="66"/>
      <c r="N118" s="56"/>
      <c r="O118" s="6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>
      <c r="A119" s="7"/>
      <c r="B119" s="8" t="s">
        <v>204</v>
      </c>
      <c r="C119" s="53">
        <f t="shared" si="1"/>
        <v>13120</v>
      </c>
      <c r="D119" s="72"/>
      <c r="E119" s="55"/>
      <c r="F119" s="56"/>
      <c r="G119" s="56"/>
      <c r="H119" s="56"/>
      <c r="I119" s="57"/>
      <c r="J119" s="56"/>
      <c r="K119" s="56"/>
      <c r="L119" s="56"/>
      <c r="M119" s="66"/>
      <c r="N119" s="56"/>
      <c r="O119" s="6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>
      <c r="A120" s="7"/>
      <c r="B120" s="8" t="s">
        <v>205</v>
      </c>
      <c r="C120" s="53">
        <f t="shared" si="1"/>
        <v>13121</v>
      </c>
      <c r="D120" s="72"/>
      <c r="E120" s="55"/>
      <c r="F120" s="56"/>
      <c r="G120" s="56"/>
      <c r="H120" s="56"/>
      <c r="I120" s="57"/>
      <c r="J120" s="56"/>
      <c r="K120" s="56"/>
      <c r="L120" s="56"/>
      <c r="M120" s="66"/>
      <c r="N120" s="56"/>
      <c r="O120" s="6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>
      <c r="A121" s="7"/>
      <c r="B121" s="8" t="s">
        <v>206</v>
      </c>
      <c r="C121" s="53">
        <f t="shared" si="1"/>
        <v>13122</v>
      </c>
      <c r="D121" s="72"/>
      <c r="E121" s="55"/>
      <c r="F121" s="56"/>
      <c r="G121" s="56"/>
      <c r="H121" s="56"/>
      <c r="I121" s="57"/>
      <c r="J121" s="56"/>
      <c r="K121" s="56"/>
      <c r="L121" s="56"/>
      <c r="M121" s="66"/>
      <c r="N121" s="56"/>
      <c r="O121" s="6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>
      <c r="A122" s="7"/>
      <c r="B122" s="8" t="s">
        <v>207</v>
      </c>
      <c r="C122" s="53">
        <f t="shared" si="1"/>
        <v>13123</v>
      </c>
      <c r="D122" s="72"/>
      <c r="E122" s="55"/>
      <c r="F122" s="56"/>
      <c r="G122" s="56"/>
      <c r="H122" s="56"/>
      <c r="I122" s="57"/>
      <c r="J122" s="56"/>
      <c r="K122" s="56"/>
      <c r="L122" s="56"/>
      <c r="M122" s="66"/>
      <c r="N122" s="56"/>
      <c r="O122" s="6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>
      <c r="A123" s="7"/>
      <c r="B123" s="8" t="s">
        <v>208</v>
      </c>
      <c r="C123" s="53">
        <f t="shared" si="1"/>
        <v>13124</v>
      </c>
      <c r="D123" s="72"/>
      <c r="E123" s="55"/>
      <c r="F123" s="56"/>
      <c r="G123" s="56"/>
      <c r="H123" s="56"/>
      <c r="I123" s="57"/>
      <c r="J123" s="56"/>
      <c r="K123" s="56"/>
      <c r="L123" s="56"/>
      <c r="M123" s="66"/>
      <c r="N123" s="56"/>
      <c r="O123" s="6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>
      <c r="A124" s="7"/>
      <c r="B124" s="8" t="s">
        <v>209</v>
      </c>
      <c r="C124" s="53">
        <f t="shared" si="1"/>
        <v>13125</v>
      </c>
      <c r="D124" s="72"/>
      <c r="E124" s="55"/>
      <c r="F124" s="56"/>
      <c r="G124" s="56"/>
      <c r="H124" s="56"/>
      <c r="I124" s="57"/>
      <c r="J124" s="56"/>
      <c r="K124" s="56"/>
      <c r="L124" s="56"/>
      <c r="M124" s="66"/>
      <c r="N124" s="56"/>
      <c r="O124" s="6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>
      <c r="A125" s="7"/>
      <c r="B125" s="8" t="s">
        <v>210</v>
      </c>
      <c r="C125" s="53">
        <f t="shared" si="1"/>
        <v>13126</v>
      </c>
      <c r="D125" s="72"/>
      <c r="E125" s="55"/>
      <c r="F125" s="56"/>
      <c r="G125" s="56"/>
      <c r="H125" s="56"/>
      <c r="I125" s="57"/>
      <c r="J125" s="56"/>
      <c r="K125" s="56"/>
      <c r="L125" s="56"/>
      <c r="M125" s="66"/>
      <c r="N125" s="56"/>
      <c r="O125" s="6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>
      <c r="A126" s="7"/>
      <c r="B126" s="8" t="s">
        <v>211</v>
      </c>
      <c r="C126" s="53">
        <f t="shared" si="1"/>
        <v>13127</v>
      </c>
      <c r="D126" s="72"/>
      <c r="E126" s="55"/>
      <c r="F126" s="56"/>
      <c r="G126" s="56"/>
      <c r="H126" s="56"/>
      <c r="I126" s="57"/>
      <c r="J126" s="56"/>
      <c r="K126" s="56"/>
      <c r="L126" s="56"/>
      <c r="M126" s="66"/>
      <c r="N126" s="56"/>
      <c r="O126" s="6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>
      <c r="A127" s="7"/>
      <c r="B127" s="8" t="s">
        <v>212</v>
      </c>
      <c r="C127" s="53">
        <f t="shared" si="1"/>
        <v>13128</v>
      </c>
      <c r="D127" s="72"/>
      <c r="E127" s="55"/>
      <c r="F127" s="56"/>
      <c r="G127" s="56"/>
      <c r="H127" s="56"/>
      <c r="I127" s="57"/>
      <c r="J127" s="56"/>
      <c r="K127" s="56"/>
      <c r="L127" s="56"/>
      <c r="M127" s="66"/>
      <c r="N127" s="56"/>
      <c r="O127" s="6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>
      <c r="A128" s="7"/>
      <c r="B128" s="8" t="s">
        <v>213</v>
      </c>
      <c r="C128" s="53">
        <f t="shared" si="1"/>
        <v>13129</v>
      </c>
      <c r="D128" s="72"/>
      <c r="E128" s="55"/>
      <c r="F128" s="56"/>
      <c r="G128" s="56"/>
      <c r="H128" s="56"/>
      <c r="I128" s="57"/>
      <c r="J128" s="56"/>
      <c r="K128" s="56"/>
      <c r="L128" s="56"/>
      <c r="M128" s="66"/>
      <c r="N128" s="56"/>
      <c r="O128" s="6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>
      <c r="A129" s="7"/>
      <c r="B129" s="8" t="s">
        <v>214</v>
      </c>
      <c r="C129" s="53">
        <f t="shared" si="1"/>
        <v>13130</v>
      </c>
      <c r="D129" s="54"/>
      <c r="E129" s="55"/>
      <c r="F129" s="56"/>
      <c r="G129" s="56"/>
      <c r="H129" s="56"/>
      <c r="I129" s="57"/>
      <c r="J129" s="56"/>
      <c r="K129" s="56"/>
      <c r="L129" s="56"/>
      <c r="M129" s="66"/>
      <c r="N129" s="62"/>
      <c r="O129" s="6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>
      <c r="A130" s="7"/>
      <c r="B130" s="8" t="s">
        <v>215</v>
      </c>
      <c r="C130" s="53">
        <f t="shared" si="1"/>
        <v>13131</v>
      </c>
      <c r="D130" s="54"/>
      <c r="E130" s="55"/>
      <c r="F130" s="56"/>
      <c r="G130" s="56"/>
      <c r="H130" s="56"/>
      <c r="I130" s="70"/>
      <c r="J130" s="56"/>
      <c r="K130" s="56"/>
      <c r="L130" s="56"/>
      <c r="M130" s="66"/>
      <c r="N130" s="62"/>
      <c r="O130" s="6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>
      <c r="A131" s="7"/>
      <c r="B131" s="8" t="s">
        <v>216</v>
      </c>
      <c r="C131" s="53">
        <f t="shared" si="1"/>
        <v>13132</v>
      </c>
      <c r="D131" s="72"/>
      <c r="E131" s="73"/>
      <c r="F131" s="62"/>
      <c r="G131" s="62"/>
      <c r="H131" s="62"/>
      <c r="I131" s="70"/>
      <c r="J131" s="62"/>
      <c r="K131" s="62"/>
      <c r="L131" s="62"/>
      <c r="M131" s="65"/>
      <c r="N131" s="62"/>
      <c r="O131" s="6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>
      <c r="A132" s="7"/>
      <c r="B132" s="8" t="s">
        <v>217</v>
      </c>
      <c r="C132" s="53">
        <f t="shared" si="1"/>
        <v>13133</v>
      </c>
      <c r="D132" s="72"/>
      <c r="E132" s="73"/>
      <c r="F132" s="62"/>
      <c r="G132" s="62"/>
      <c r="H132" s="62"/>
      <c r="I132" s="70"/>
      <c r="J132" s="62"/>
      <c r="K132" s="62"/>
      <c r="L132" s="62"/>
      <c r="M132" s="65"/>
      <c r="N132" s="62"/>
      <c r="O132" s="6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>
      <c r="A133" s="7"/>
      <c r="B133" s="8" t="s">
        <v>218</v>
      </c>
      <c r="C133" s="53">
        <f t="shared" si="1"/>
        <v>13134</v>
      </c>
      <c r="D133" s="54"/>
      <c r="E133" s="55"/>
      <c r="F133" s="62"/>
      <c r="G133" s="56"/>
      <c r="H133" s="56"/>
      <c r="I133" s="57"/>
      <c r="J133" s="56"/>
      <c r="K133" s="56"/>
      <c r="L133" s="56"/>
      <c r="M133" s="66"/>
      <c r="N133" s="56"/>
      <c r="O133" s="6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>
      <c r="A134" s="7"/>
      <c r="B134" s="8" t="s">
        <v>219</v>
      </c>
      <c r="C134" s="53">
        <f t="shared" si="1"/>
        <v>13135</v>
      </c>
      <c r="D134" s="54"/>
      <c r="E134" s="55"/>
      <c r="F134" s="62"/>
      <c r="G134" s="56"/>
      <c r="H134" s="56"/>
      <c r="I134" s="57"/>
      <c r="J134" s="56"/>
      <c r="K134" s="56"/>
      <c r="L134" s="56"/>
      <c r="M134" s="82"/>
      <c r="N134" s="56"/>
      <c r="O134" s="6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>
      <c r="A135" s="7"/>
      <c r="B135" s="8" t="s">
        <v>220</v>
      </c>
      <c r="C135" s="53">
        <f t="shared" si="1"/>
        <v>13136</v>
      </c>
      <c r="D135" s="72"/>
      <c r="E135" s="55"/>
      <c r="F135" s="62"/>
      <c r="G135" s="56"/>
      <c r="H135" s="56"/>
      <c r="I135" s="57"/>
      <c r="J135" s="56"/>
      <c r="K135" s="56"/>
      <c r="L135" s="56"/>
      <c r="M135" s="66"/>
      <c r="N135" s="56"/>
      <c r="O135" s="6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>
      <c r="A136" s="7"/>
      <c r="B136" s="8" t="s">
        <v>221</v>
      </c>
      <c r="C136" s="53">
        <f t="shared" si="1"/>
        <v>13137</v>
      </c>
      <c r="D136" s="72"/>
      <c r="E136" s="55"/>
      <c r="F136" s="62"/>
      <c r="G136" s="56"/>
      <c r="H136" s="56"/>
      <c r="I136" s="57"/>
      <c r="J136" s="62"/>
      <c r="K136" s="56"/>
      <c r="L136" s="56"/>
      <c r="M136" s="66"/>
      <c r="N136" s="56"/>
      <c r="O136" s="6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>
      <c r="A137" s="7"/>
      <c r="B137" s="8" t="s">
        <v>222</v>
      </c>
      <c r="C137" s="53">
        <f t="shared" si="1"/>
        <v>13138</v>
      </c>
      <c r="D137" s="72"/>
      <c r="E137" s="55"/>
      <c r="F137" s="62"/>
      <c r="G137" s="56"/>
      <c r="H137" s="56"/>
      <c r="I137" s="57"/>
      <c r="J137" s="56"/>
      <c r="K137" s="56"/>
      <c r="L137" s="56"/>
      <c r="M137" s="66"/>
      <c r="N137" s="56"/>
      <c r="O137" s="6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>
      <c r="A138" s="7"/>
      <c r="B138" s="8" t="s">
        <v>223</v>
      </c>
      <c r="C138" s="53">
        <f t="shared" si="1"/>
        <v>13139</v>
      </c>
      <c r="D138" s="72"/>
      <c r="E138" s="55"/>
      <c r="F138" s="62"/>
      <c r="G138" s="56"/>
      <c r="H138" s="56"/>
      <c r="I138" s="57"/>
      <c r="J138" s="56"/>
      <c r="K138" s="56"/>
      <c r="L138" s="56"/>
      <c r="M138" s="66"/>
      <c r="N138" s="56"/>
      <c r="O138" s="6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>
      <c r="A139" s="7"/>
      <c r="B139" s="8" t="s">
        <v>224</v>
      </c>
      <c r="C139" s="53">
        <f t="shared" si="1"/>
        <v>13140</v>
      </c>
      <c r="D139" s="72"/>
      <c r="E139" s="55"/>
      <c r="F139" s="62"/>
      <c r="G139" s="56"/>
      <c r="H139" s="56"/>
      <c r="I139" s="57"/>
      <c r="J139" s="62"/>
      <c r="K139" s="56"/>
      <c r="L139" s="56"/>
      <c r="M139" s="66"/>
      <c r="N139" s="56"/>
      <c r="O139" s="6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>
      <c r="A140" s="7"/>
      <c r="B140" s="8" t="s">
        <v>225</v>
      </c>
      <c r="C140" s="53">
        <f t="shared" si="1"/>
        <v>13141</v>
      </c>
      <c r="D140" s="72"/>
      <c r="E140" s="55"/>
      <c r="F140" s="62"/>
      <c r="G140" s="56"/>
      <c r="H140" s="56"/>
      <c r="I140" s="57"/>
      <c r="J140" s="56"/>
      <c r="K140" s="56"/>
      <c r="L140" s="56"/>
      <c r="M140" s="66"/>
      <c r="N140" s="56"/>
      <c r="O140" s="6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>
      <c r="A141" s="7"/>
      <c r="B141" s="8" t="s">
        <v>226</v>
      </c>
      <c r="C141" s="53">
        <f t="shared" si="1"/>
        <v>13142</v>
      </c>
      <c r="D141" s="72"/>
      <c r="E141" s="55"/>
      <c r="F141" s="62"/>
      <c r="G141" s="56"/>
      <c r="H141" s="56"/>
      <c r="I141" s="57"/>
      <c r="J141" s="56"/>
      <c r="K141" s="56"/>
      <c r="L141" s="56"/>
      <c r="M141" s="66"/>
      <c r="N141" s="56"/>
      <c r="O141" s="6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>
      <c r="A142" s="7"/>
      <c r="B142" s="8" t="s">
        <v>227</v>
      </c>
      <c r="C142" s="53">
        <f t="shared" si="1"/>
        <v>13143</v>
      </c>
      <c r="D142" s="72"/>
      <c r="E142" s="55"/>
      <c r="F142" s="62"/>
      <c r="G142" s="56"/>
      <c r="H142" s="56"/>
      <c r="I142" s="57"/>
      <c r="J142" s="56"/>
      <c r="K142" s="56"/>
      <c r="L142" s="56"/>
      <c r="M142" s="66"/>
      <c r="N142" s="56"/>
      <c r="O142" s="6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>
      <c r="A143" s="7"/>
      <c r="B143" s="8" t="s">
        <v>228</v>
      </c>
      <c r="C143" s="53">
        <f t="shared" si="1"/>
        <v>13144</v>
      </c>
      <c r="D143" s="72"/>
      <c r="E143" s="55"/>
      <c r="F143" s="62"/>
      <c r="G143" s="56"/>
      <c r="H143" s="56"/>
      <c r="I143" s="57"/>
      <c r="J143" s="56"/>
      <c r="K143" s="56"/>
      <c r="L143" s="56"/>
      <c r="M143" s="66"/>
      <c r="N143" s="56"/>
      <c r="O143" s="6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>
      <c r="A144" s="7"/>
      <c r="B144" s="8" t="s">
        <v>229</v>
      </c>
      <c r="C144" s="53">
        <f t="shared" si="1"/>
        <v>13145</v>
      </c>
      <c r="D144" s="72"/>
      <c r="E144" s="55"/>
      <c r="F144" s="62"/>
      <c r="G144" s="56"/>
      <c r="H144" s="56"/>
      <c r="I144" s="57"/>
      <c r="J144" s="62"/>
      <c r="K144" s="56"/>
      <c r="L144" s="56"/>
      <c r="M144" s="66"/>
      <c r="N144" s="56"/>
      <c r="O144" s="6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>
      <c r="A145" s="7"/>
      <c r="B145" s="8" t="s">
        <v>230</v>
      </c>
      <c r="C145" s="53">
        <f t="shared" si="1"/>
        <v>13146</v>
      </c>
      <c r="D145" s="72"/>
      <c r="E145" s="55"/>
      <c r="F145" s="62"/>
      <c r="G145" s="56"/>
      <c r="H145" s="56"/>
      <c r="I145" s="57"/>
      <c r="J145" s="56"/>
      <c r="K145" s="56"/>
      <c r="L145" s="56"/>
      <c r="M145" s="66"/>
      <c r="N145" s="56"/>
      <c r="O145" s="6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>
      <c r="A146" s="7"/>
      <c r="B146" s="8" t="s">
        <v>231</v>
      </c>
      <c r="C146" s="53">
        <f t="shared" si="1"/>
        <v>13148</v>
      </c>
      <c r="D146" s="72"/>
      <c r="E146" s="55"/>
      <c r="F146" s="62"/>
      <c r="G146" s="56"/>
      <c r="H146" s="56"/>
      <c r="I146" s="57"/>
      <c r="J146" s="56"/>
      <c r="K146" s="56"/>
      <c r="L146" s="56"/>
      <c r="M146" s="66"/>
      <c r="N146" s="57"/>
      <c r="O146" s="6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>
      <c r="A147" s="7"/>
      <c r="B147" s="8" t="s">
        <v>232</v>
      </c>
      <c r="C147" s="53">
        <f t="shared" si="1"/>
        <v>13149</v>
      </c>
      <c r="D147" s="72"/>
      <c r="E147" s="55"/>
      <c r="F147" s="62"/>
      <c r="G147" s="56"/>
      <c r="H147" s="56"/>
      <c r="I147" s="57"/>
      <c r="J147" s="56"/>
      <c r="K147" s="56"/>
      <c r="L147" s="56"/>
      <c r="M147" s="66"/>
      <c r="N147" s="57"/>
      <c r="O147" s="6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>
      <c r="A148" s="7"/>
      <c r="B148" s="8" t="s">
        <v>233</v>
      </c>
      <c r="C148" s="53">
        <f t="shared" si="1"/>
        <v>13150</v>
      </c>
      <c r="D148" s="72"/>
      <c r="E148" s="68"/>
      <c r="F148" s="62"/>
      <c r="G148" s="56"/>
      <c r="H148" s="56"/>
      <c r="I148" s="57"/>
      <c r="J148" s="56"/>
      <c r="K148" s="56"/>
      <c r="L148" s="56"/>
      <c r="M148" s="66"/>
      <c r="N148" s="57"/>
      <c r="O148" s="6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>
      <c r="A149" s="7"/>
      <c r="B149" s="8" t="s">
        <v>234</v>
      </c>
      <c r="C149" s="53">
        <f t="shared" si="1"/>
        <v>13151</v>
      </c>
      <c r="D149" s="72"/>
      <c r="E149" s="55"/>
      <c r="F149" s="62"/>
      <c r="G149" s="56"/>
      <c r="H149" s="56"/>
      <c r="I149" s="57"/>
      <c r="J149" s="56"/>
      <c r="K149" s="56"/>
      <c r="L149" s="56"/>
      <c r="M149" s="66"/>
      <c r="N149" s="57"/>
      <c r="O149" s="6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>
      <c r="A150" s="7"/>
      <c r="B150" s="8" t="s">
        <v>235</v>
      </c>
      <c r="C150" s="53">
        <f t="shared" si="1"/>
        <v>13152</v>
      </c>
      <c r="D150" s="72"/>
      <c r="E150" s="55"/>
      <c r="F150" s="62"/>
      <c r="G150" s="56"/>
      <c r="H150" s="56"/>
      <c r="I150" s="57"/>
      <c r="J150" s="56"/>
      <c r="K150" s="56"/>
      <c r="L150" s="56"/>
      <c r="M150" s="66"/>
      <c r="N150" s="57"/>
      <c r="O150" s="6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>
      <c r="A151" s="7"/>
      <c r="B151" s="8" t="s">
        <v>236</v>
      </c>
      <c r="C151" s="53">
        <f t="shared" si="1"/>
        <v>13153</v>
      </c>
      <c r="D151" s="72"/>
      <c r="E151" s="55"/>
      <c r="F151" s="62"/>
      <c r="G151" s="56"/>
      <c r="H151" s="56"/>
      <c r="I151" s="57"/>
      <c r="J151" s="56"/>
      <c r="K151" s="56"/>
      <c r="L151" s="56"/>
      <c r="M151" s="66"/>
      <c r="N151" s="57"/>
      <c r="O151" s="6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>
      <c r="A152" s="7"/>
      <c r="B152" s="8" t="s">
        <v>237</v>
      </c>
      <c r="C152" s="53">
        <f t="shared" si="1"/>
        <v>13154</v>
      </c>
      <c r="D152" s="72"/>
      <c r="E152" s="55"/>
      <c r="F152" s="62"/>
      <c r="G152" s="56"/>
      <c r="H152" s="56"/>
      <c r="I152" s="57"/>
      <c r="J152" s="56"/>
      <c r="K152" s="56"/>
      <c r="L152" s="56"/>
      <c r="M152" s="66"/>
      <c r="N152" s="57"/>
      <c r="O152" s="6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>
      <c r="A153" s="7"/>
      <c r="B153" s="8" t="s">
        <v>238</v>
      </c>
      <c r="C153" s="53">
        <f t="shared" si="1"/>
        <v>13155</v>
      </c>
      <c r="D153" s="72"/>
      <c r="E153" s="55"/>
      <c r="F153" s="62"/>
      <c r="G153" s="56"/>
      <c r="H153" s="56"/>
      <c r="I153" s="57"/>
      <c r="J153" s="56"/>
      <c r="K153" s="56"/>
      <c r="L153" s="56"/>
      <c r="M153" s="66"/>
      <c r="N153" s="57"/>
      <c r="O153" s="6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>
      <c r="A154" s="7"/>
      <c r="B154" s="8" t="s">
        <v>239</v>
      </c>
      <c r="C154" s="53">
        <f t="shared" si="1"/>
        <v>13156</v>
      </c>
      <c r="D154" s="72"/>
      <c r="E154" s="55"/>
      <c r="F154" s="62"/>
      <c r="G154" s="56"/>
      <c r="H154" s="56"/>
      <c r="I154" s="57"/>
      <c r="J154" s="56"/>
      <c r="K154" s="56"/>
      <c r="L154" s="56"/>
      <c r="M154" s="66"/>
      <c r="N154" s="57"/>
      <c r="O154" s="6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>
      <c r="A155" s="7"/>
      <c r="B155" s="8" t="s">
        <v>240</v>
      </c>
      <c r="C155" s="53">
        <f t="shared" si="1"/>
        <v>13157</v>
      </c>
      <c r="D155" s="72"/>
      <c r="E155" s="55"/>
      <c r="F155" s="62"/>
      <c r="G155" s="56"/>
      <c r="H155" s="56"/>
      <c r="I155" s="57"/>
      <c r="J155" s="56"/>
      <c r="K155" s="56"/>
      <c r="L155" s="56"/>
      <c r="M155" s="66"/>
      <c r="N155" s="57"/>
      <c r="O155" s="6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>
      <c r="A156" s="7"/>
      <c r="B156" s="8" t="s">
        <v>241</v>
      </c>
      <c r="C156" s="53">
        <f t="shared" si="1"/>
        <v>13158</v>
      </c>
      <c r="D156" s="72"/>
      <c r="E156" s="55"/>
      <c r="F156" s="62"/>
      <c r="G156" s="56"/>
      <c r="H156" s="56"/>
      <c r="I156" s="57"/>
      <c r="J156" s="56"/>
      <c r="K156" s="56"/>
      <c r="L156" s="56"/>
      <c r="M156" s="66"/>
      <c r="N156" s="57"/>
      <c r="O156" s="6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>
      <c r="A157" s="7"/>
      <c r="B157" s="8" t="s">
        <v>242</v>
      </c>
      <c r="C157" s="53">
        <f t="shared" si="1"/>
        <v>13159</v>
      </c>
      <c r="D157" s="72"/>
      <c r="E157" s="55"/>
      <c r="F157" s="62"/>
      <c r="G157" s="56"/>
      <c r="H157" s="56"/>
      <c r="I157" s="57"/>
      <c r="J157" s="56"/>
      <c r="K157" s="56"/>
      <c r="L157" s="56"/>
      <c r="M157" s="66"/>
      <c r="N157" s="57"/>
      <c r="O157" s="6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>
      <c r="A158" s="7"/>
      <c r="B158" s="8" t="s">
        <v>243</v>
      </c>
      <c r="C158" s="53">
        <f t="shared" si="1"/>
        <v>13160</v>
      </c>
      <c r="D158" s="72"/>
      <c r="E158" s="55"/>
      <c r="F158" s="62"/>
      <c r="G158" s="56"/>
      <c r="H158" s="56"/>
      <c r="I158" s="57"/>
      <c r="J158" s="56"/>
      <c r="K158" s="56"/>
      <c r="L158" s="56"/>
      <c r="M158" s="66"/>
      <c r="N158" s="57"/>
      <c r="O158" s="6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>
      <c r="A159" s="7"/>
      <c r="B159" s="8" t="s">
        <v>244</v>
      </c>
      <c r="C159" s="53">
        <f t="shared" si="1"/>
        <v>13161</v>
      </c>
      <c r="D159" s="72"/>
      <c r="E159" s="55"/>
      <c r="F159" s="62"/>
      <c r="G159" s="56"/>
      <c r="H159" s="56"/>
      <c r="I159" s="57"/>
      <c r="J159" s="56"/>
      <c r="K159" s="56"/>
      <c r="L159" s="56"/>
      <c r="M159" s="66"/>
      <c r="N159" s="57"/>
      <c r="O159" s="6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>
      <c r="A160" s="7"/>
      <c r="B160" s="8" t="s">
        <v>245</v>
      </c>
      <c r="C160" s="53">
        <f t="shared" si="1"/>
        <v>13162</v>
      </c>
      <c r="D160" s="72"/>
      <c r="E160" s="68"/>
      <c r="F160" s="62"/>
      <c r="G160" s="56"/>
      <c r="H160" s="56"/>
      <c r="I160" s="57"/>
      <c r="J160" s="56"/>
      <c r="K160" s="56"/>
      <c r="L160" s="56"/>
      <c r="M160" s="66"/>
      <c r="N160" s="56"/>
      <c r="O160" s="6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>
      <c r="A161" s="7"/>
      <c r="B161" s="8" t="s">
        <v>246</v>
      </c>
      <c r="C161" s="53">
        <f t="shared" si="1"/>
        <v>13163</v>
      </c>
      <c r="D161" s="72"/>
      <c r="E161" s="55"/>
      <c r="F161" s="62"/>
      <c r="G161" s="56"/>
      <c r="H161" s="56"/>
      <c r="I161" s="57"/>
      <c r="J161" s="56"/>
      <c r="K161" s="56"/>
      <c r="L161" s="56"/>
      <c r="M161" s="66"/>
      <c r="N161" s="56"/>
      <c r="O161" s="6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>
      <c r="A162" s="7"/>
      <c r="B162" s="8" t="s">
        <v>247</v>
      </c>
      <c r="C162" s="53">
        <f t="shared" si="1"/>
        <v>13164</v>
      </c>
      <c r="D162" s="72"/>
      <c r="E162" s="55"/>
      <c r="F162" s="62"/>
      <c r="G162" s="56"/>
      <c r="H162" s="56"/>
      <c r="I162" s="57"/>
      <c r="J162" s="56"/>
      <c r="K162" s="56"/>
      <c r="L162" s="56"/>
      <c r="M162" s="66"/>
      <c r="N162" s="56"/>
      <c r="O162" s="6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>
      <c r="A163" s="7"/>
      <c r="B163" s="8" t="s">
        <v>248</v>
      </c>
      <c r="C163" s="53">
        <f t="shared" si="1"/>
        <v>13165</v>
      </c>
      <c r="D163" s="72"/>
      <c r="E163" s="55"/>
      <c r="F163" s="62"/>
      <c r="G163" s="56"/>
      <c r="H163" s="56"/>
      <c r="I163" s="57"/>
      <c r="J163" s="56"/>
      <c r="K163" s="56"/>
      <c r="L163" s="56"/>
      <c r="M163" s="66"/>
      <c r="N163" s="56"/>
      <c r="O163" s="6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>
      <c r="A164" s="7"/>
      <c r="B164" s="8" t="s">
        <v>249</v>
      </c>
      <c r="C164" s="53">
        <f t="shared" si="1"/>
        <v>13166</v>
      </c>
      <c r="D164" s="72"/>
      <c r="E164" s="55"/>
      <c r="F164" s="62"/>
      <c r="G164" s="56"/>
      <c r="H164" s="56"/>
      <c r="I164" s="57"/>
      <c r="J164" s="56"/>
      <c r="K164" s="56"/>
      <c r="L164" s="56"/>
      <c r="M164" s="66"/>
      <c r="N164" s="56"/>
      <c r="O164" s="6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>
      <c r="A165" s="7"/>
      <c r="B165" s="8" t="s">
        <v>250</v>
      </c>
      <c r="C165" s="53">
        <f t="shared" si="1"/>
        <v>13167</v>
      </c>
      <c r="D165" s="72"/>
      <c r="E165" s="55"/>
      <c r="F165" s="62"/>
      <c r="G165" s="62"/>
      <c r="H165" s="62"/>
      <c r="I165" s="70"/>
      <c r="J165" s="62"/>
      <c r="K165" s="62"/>
      <c r="L165" s="62"/>
      <c r="M165" s="65"/>
      <c r="N165" s="62"/>
      <c r="O165" s="6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>
      <c r="A166" s="7"/>
      <c r="B166" s="8" t="s">
        <v>251</v>
      </c>
      <c r="C166" s="53">
        <f t="shared" si="1"/>
        <v>13168</v>
      </c>
      <c r="D166" s="72"/>
      <c r="E166" s="55"/>
      <c r="F166" s="62"/>
      <c r="G166" s="62"/>
      <c r="H166" s="62"/>
      <c r="I166" s="70"/>
      <c r="J166" s="62"/>
      <c r="K166" s="62"/>
      <c r="L166" s="62"/>
      <c r="M166" s="65"/>
      <c r="N166" s="62"/>
      <c r="O166" s="6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>
      <c r="A167" s="7"/>
      <c r="B167" s="8" t="s">
        <v>252</v>
      </c>
      <c r="C167" s="53">
        <f t="shared" si="1"/>
        <v>13169</v>
      </c>
      <c r="D167" s="54"/>
      <c r="E167" s="55"/>
      <c r="F167" s="56"/>
      <c r="G167" s="56"/>
      <c r="H167" s="56"/>
      <c r="I167" s="57"/>
      <c r="J167" s="56"/>
      <c r="K167" s="56"/>
      <c r="L167" s="56"/>
      <c r="M167" s="66"/>
      <c r="N167" s="62"/>
      <c r="O167" s="6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>
      <c r="A168" s="7"/>
      <c r="B168" s="8" t="s">
        <v>253</v>
      </c>
      <c r="C168" s="53">
        <f t="shared" si="1"/>
        <v>13170</v>
      </c>
      <c r="D168" s="72"/>
      <c r="E168" s="73"/>
      <c r="F168" s="62"/>
      <c r="G168" s="62"/>
      <c r="H168" s="62"/>
      <c r="I168" s="70"/>
      <c r="J168" s="62"/>
      <c r="K168" s="62"/>
      <c r="L168" s="62"/>
      <c r="M168" s="65"/>
      <c r="N168" s="62"/>
      <c r="O168" s="6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>
      <c r="A169" s="7"/>
      <c r="B169" s="8" t="s">
        <v>254</v>
      </c>
      <c r="C169" s="53">
        <f t="shared" si="1"/>
        <v>13171</v>
      </c>
      <c r="D169" s="72"/>
      <c r="E169" s="73"/>
      <c r="F169" s="62"/>
      <c r="G169" s="62"/>
      <c r="H169" s="62"/>
      <c r="I169" s="70"/>
      <c r="J169" s="62"/>
      <c r="K169" s="62"/>
      <c r="L169" s="62"/>
      <c r="M169" s="65"/>
      <c r="N169" s="62"/>
      <c r="O169" s="6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>
      <c r="A170" s="7"/>
      <c r="B170" s="8" t="s">
        <v>255</v>
      </c>
      <c r="C170" s="53">
        <f t="shared" si="1"/>
        <v>13172</v>
      </c>
      <c r="D170" s="72"/>
      <c r="E170" s="73"/>
      <c r="F170" s="62"/>
      <c r="G170" s="62"/>
      <c r="H170" s="62"/>
      <c r="I170" s="70"/>
      <c r="J170" s="62"/>
      <c r="K170" s="62"/>
      <c r="L170" s="62"/>
      <c r="M170" s="65"/>
      <c r="N170" s="62"/>
      <c r="O170" s="6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>
      <c r="A171" s="7"/>
      <c r="B171" s="8" t="s">
        <v>256</v>
      </c>
      <c r="C171" s="53">
        <f t="shared" si="1"/>
        <v>13173</v>
      </c>
      <c r="D171" s="72"/>
      <c r="E171" s="73"/>
      <c r="F171" s="62"/>
      <c r="G171" s="62"/>
      <c r="H171" s="62"/>
      <c r="I171" s="70"/>
      <c r="J171" s="62"/>
      <c r="K171" s="62"/>
      <c r="L171" s="62"/>
      <c r="M171" s="65"/>
      <c r="N171" s="62"/>
      <c r="O171" s="6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>
      <c r="A172" s="7"/>
      <c r="B172" s="8" t="s">
        <v>257</v>
      </c>
      <c r="C172" s="53">
        <f t="shared" si="1"/>
        <v>13174</v>
      </c>
      <c r="D172" s="72"/>
      <c r="E172" s="73"/>
      <c r="F172" s="62"/>
      <c r="G172" s="62"/>
      <c r="H172" s="62"/>
      <c r="I172" s="70"/>
      <c r="J172" s="62"/>
      <c r="K172" s="62"/>
      <c r="L172" s="62"/>
      <c r="M172" s="65"/>
      <c r="N172" s="62"/>
      <c r="O172" s="6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>
      <c r="A173" s="7"/>
      <c r="B173" s="8" t="s">
        <v>258</v>
      </c>
      <c r="C173" s="53">
        <f t="shared" si="1"/>
        <v>13175</v>
      </c>
      <c r="D173" s="72"/>
      <c r="E173" s="73"/>
      <c r="F173" s="62"/>
      <c r="G173" s="62"/>
      <c r="H173" s="62"/>
      <c r="I173" s="70"/>
      <c r="J173" s="62"/>
      <c r="K173" s="62"/>
      <c r="L173" s="62"/>
      <c r="M173" s="65"/>
      <c r="N173" s="62"/>
      <c r="O173" s="6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>
      <c r="A174" s="7"/>
      <c r="B174" s="8" t="s">
        <v>259</v>
      </c>
      <c r="C174" s="53">
        <f t="shared" si="1"/>
        <v>13176</v>
      </c>
      <c r="D174" s="72"/>
      <c r="E174" s="73"/>
      <c r="F174" s="62"/>
      <c r="G174" s="62"/>
      <c r="H174" s="62"/>
      <c r="I174" s="70"/>
      <c r="J174" s="62"/>
      <c r="K174" s="62"/>
      <c r="L174" s="62"/>
      <c r="M174" s="65"/>
      <c r="N174" s="62"/>
      <c r="O174" s="6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>
      <c r="A175" s="7"/>
      <c r="B175" s="8" t="s">
        <v>260</v>
      </c>
      <c r="C175" s="53">
        <f t="shared" si="1"/>
        <v>13177</v>
      </c>
      <c r="D175" s="72"/>
      <c r="E175" s="73"/>
      <c r="F175" s="62"/>
      <c r="G175" s="62"/>
      <c r="H175" s="62"/>
      <c r="I175" s="70"/>
      <c r="J175" s="62"/>
      <c r="K175" s="62"/>
      <c r="L175" s="62"/>
      <c r="M175" s="65"/>
      <c r="N175" s="62"/>
      <c r="O175" s="6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>
      <c r="A176" s="7"/>
      <c r="B176" s="8" t="s">
        <v>261</v>
      </c>
      <c r="C176" s="53">
        <f t="shared" si="1"/>
        <v>13178</v>
      </c>
      <c r="D176" s="72"/>
      <c r="E176" s="73"/>
      <c r="F176" s="62"/>
      <c r="G176" s="62"/>
      <c r="H176" s="62"/>
      <c r="I176" s="70"/>
      <c r="J176" s="62"/>
      <c r="K176" s="62"/>
      <c r="L176" s="62"/>
      <c r="M176" s="65"/>
      <c r="N176" s="62"/>
      <c r="O176" s="6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>
      <c r="A177" s="7"/>
      <c r="B177" s="8" t="s">
        <v>262</v>
      </c>
      <c r="C177" s="53">
        <f t="shared" si="1"/>
        <v>13179</v>
      </c>
      <c r="D177" s="72"/>
      <c r="E177" s="73"/>
      <c r="F177" s="62"/>
      <c r="G177" s="62"/>
      <c r="H177" s="62"/>
      <c r="I177" s="70"/>
      <c r="J177" s="62"/>
      <c r="K177" s="62"/>
      <c r="L177" s="62"/>
      <c r="M177" s="65"/>
      <c r="N177" s="62"/>
      <c r="O177" s="6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>
      <c r="A178" s="7"/>
      <c r="B178" s="8" t="s">
        <v>263</v>
      </c>
      <c r="C178" s="53">
        <f t="shared" si="1"/>
        <v>13180</v>
      </c>
      <c r="D178" s="72"/>
      <c r="E178" s="73"/>
      <c r="F178" s="62"/>
      <c r="G178" s="62"/>
      <c r="H178" s="62"/>
      <c r="I178" s="70"/>
      <c r="J178" s="62"/>
      <c r="K178" s="62"/>
      <c r="L178" s="62"/>
      <c r="M178" s="65"/>
      <c r="N178" s="62"/>
      <c r="O178" s="6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>
      <c r="A179" s="7"/>
      <c r="B179" s="8" t="s">
        <v>264</v>
      </c>
      <c r="C179" s="53">
        <f t="shared" si="1"/>
        <v>13181</v>
      </c>
      <c r="D179" s="72"/>
      <c r="E179" s="73"/>
      <c r="F179" s="62"/>
      <c r="G179" s="62"/>
      <c r="H179" s="62"/>
      <c r="I179" s="70"/>
      <c r="J179" s="62"/>
      <c r="K179" s="62"/>
      <c r="L179" s="62"/>
      <c r="M179" s="65"/>
      <c r="N179" s="62"/>
      <c r="O179" s="6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>
      <c r="A180" s="7"/>
      <c r="B180" s="8" t="s">
        <v>265</v>
      </c>
      <c r="C180" s="53">
        <f t="shared" si="1"/>
        <v>13182</v>
      </c>
      <c r="D180" s="72"/>
      <c r="E180" s="73"/>
      <c r="F180" s="62"/>
      <c r="G180" s="62"/>
      <c r="H180" s="62"/>
      <c r="I180" s="70"/>
      <c r="J180" s="62"/>
      <c r="K180" s="62"/>
      <c r="L180" s="62"/>
      <c r="M180" s="65"/>
      <c r="N180" s="62"/>
      <c r="O180" s="6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>
      <c r="A181" s="7"/>
      <c r="B181" s="8" t="s">
        <v>266</v>
      </c>
      <c r="C181" s="53">
        <f t="shared" si="1"/>
        <v>13183</v>
      </c>
      <c r="D181" s="72"/>
      <c r="E181" s="73"/>
      <c r="F181" s="62"/>
      <c r="G181" s="62"/>
      <c r="H181" s="62"/>
      <c r="I181" s="70"/>
      <c r="J181" s="62"/>
      <c r="K181" s="62"/>
      <c r="L181" s="62"/>
      <c r="M181" s="65"/>
      <c r="N181" s="62"/>
      <c r="O181" s="6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>
      <c r="A182" s="7"/>
      <c r="B182" s="8" t="s">
        <v>267</v>
      </c>
      <c r="C182" s="53">
        <f t="shared" si="1"/>
        <v>13184</v>
      </c>
      <c r="D182" s="72"/>
      <c r="E182" s="73"/>
      <c r="F182" s="62"/>
      <c r="G182" s="62"/>
      <c r="H182" s="62"/>
      <c r="I182" s="70"/>
      <c r="J182" s="62"/>
      <c r="K182" s="62"/>
      <c r="L182" s="62"/>
      <c r="M182" s="65"/>
      <c r="N182" s="62"/>
      <c r="O182" s="6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>
      <c r="A183" s="7"/>
      <c r="B183" s="8" t="s">
        <v>268</v>
      </c>
      <c r="C183" s="53">
        <f t="shared" si="1"/>
        <v>13185</v>
      </c>
      <c r="D183" s="72"/>
      <c r="E183" s="73"/>
      <c r="F183" s="62"/>
      <c r="G183" s="62"/>
      <c r="H183" s="62"/>
      <c r="I183" s="70"/>
      <c r="J183" s="62"/>
      <c r="K183" s="62"/>
      <c r="L183" s="62"/>
      <c r="M183" s="65"/>
      <c r="N183" s="62"/>
      <c r="O183" s="6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>
      <c r="A184" s="7"/>
      <c r="B184" s="8" t="s">
        <v>269</v>
      </c>
      <c r="C184" s="53">
        <f t="shared" si="1"/>
        <v>13186</v>
      </c>
      <c r="D184" s="72"/>
      <c r="E184" s="73"/>
      <c r="F184" s="62"/>
      <c r="G184" s="62"/>
      <c r="H184" s="62"/>
      <c r="I184" s="70"/>
      <c r="J184" s="62"/>
      <c r="K184" s="62"/>
      <c r="L184" s="62"/>
      <c r="M184" s="65"/>
      <c r="N184" s="62"/>
      <c r="O184" s="6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>
      <c r="A185" s="7"/>
      <c r="B185" s="8" t="s">
        <v>270</v>
      </c>
      <c r="C185" s="53">
        <f t="shared" si="1"/>
        <v>13187</v>
      </c>
      <c r="D185" s="72"/>
      <c r="E185" s="73"/>
      <c r="F185" s="62"/>
      <c r="G185" s="62"/>
      <c r="H185" s="62"/>
      <c r="I185" s="70"/>
      <c r="J185" s="62"/>
      <c r="K185" s="62"/>
      <c r="L185" s="62"/>
      <c r="M185" s="65"/>
      <c r="N185" s="62"/>
      <c r="O185" s="6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>
      <c r="A186" s="7"/>
      <c r="B186" s="8" t="s">
        <v>271</v>
      </c>
      <c r="C186" s="53">
        <f t="shared" si="1"/>
        <v>13188</v>
      </c>
      <c r="D186" s="72"/>
      <c r="E186" s="73"/>
      <c r="F186" s="62"/>
      <c r="G186" s="62"/>
      <c r="H186" s="62"/>
      <c r="I186" s="70"/>
      <c r="J186" s="62"/>
      <c r="K186" s="62"/>
      <c r="L186" s="62"/>
      <c r="M186" s="65"/>
      <c r="N186" s="62"/>
      <c r="O186" s="6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>
      <c r="A187" s="7"/>
      <c r="B187" s="8" t="s">
        <v>272</v>
      </c>
      <c r="C187" s="53">
        <f t="shared" si="1"/>
        <v>13189</v>
      </c>
      <c r="D187" s="72"/>
      <c r="E187" s="73"/>
      <c r="F187" s="62"/>
      <c r="G187" s="62"/>
      <c r="H187" s="62"/>
      <c r="I187" s="70"/>
      <c r="J187" s="62"/>
      <c r="K187" s="62"/>
      <c r="L187" s="62"/>
      <c r="M187" s="65"/>
      <c r="N187" s="62"/>
      <c r="O187" s="6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>
      <c r="A188" s="7"/>
      <c r="B188" s="8" t="s">
        <v>273</v>
      </c>
      <c r="C188" s="53">
        <f t="shared" si="1"/>
        <v>13190</v>
      </c>
      <c r="D188" s="72"/>
      <c r="E188" s="73"/>
      <c r="F188" s="62"/>
      <c r="G188" s="62"/>
      <c r="H188" s="62"/>
      <c r="I188" s="70"/>
      <c r="J188" s="62"/>
      <c r="K188" s="62"/>
      <c r="L188" s="62"/>
      <c r="M188" s="65"/>
      <c r="N188" s="62"/>
      <c r="O188" s="6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>
      <c r="A189" s="7"/>
      <c r="B189" s="8" t="s">
        <v>274</v>
      </c>
      <c r="C189" s="53">
        <f t="shared" si="1"/>
        <v>13191</v>
      </c>
      <c r="D189" s="72"/>
      <c r="E189" s="73"/>
      <c r="F189" s="62"/>
      <c r="G189" s="62"/>
      <c r="H189" s="62"/>
      <c r="I189" s="70"/>
      <c r="J189" s="62"/>
      <c r="K189" s="62"/>
      <c r="L189" s="62"/>
      <c r="M189" s="65"/>
      <c r="N189" s="62"/>
      <c r="O189" s="6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>
      <c r="A190" s="7"/>
      <c r="B190" s="8" t="s">
        <v>275</v>
      </c>
      <c r="C190" s="53">
        <f t="shared" si="1"/>
        <v>13192</v>
      </c>
      <c r="D190" s="72"/>
      <c r="E190" s="73"/>
      <c r="F190" s="62"/>
      <c r="G190" s="62"/>
      <c r="H190" s="62"/>
      <c r="I190" s="70"/>
      <c r="J190" s="62"/>
      <c r="K190" s="62"/>
      <c r="L190" s="62"/>
      <c r="M190" s="65"/>
      <c r="N190" s="62"/>
      <c r="O190" s="6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>
      <c r="A191" s="7"/>
      <c r="B191" s="8" t="s">
        <v>276</v>
      </c>
      <c r="C191" s="53">
        <f t="shared" si="1"/>
        <v>13193</v>
      </c>
      <c r="D191" s="72"/>
      <c r="E191" s="73"/>
      <c r="F191" s="62"/>
      <c r="G191" s="62"/>
      <c r="H191" s="62"/>
      <c r="I191" s="70"/>
      <c r="J191" s="62"/>
      <c r="K191" s="62"/>
      <c r="L191" s="62"/>
      <c r="M191" s="65"/>
      <c r="N191" s="62"/>
      <c r="O191" s="6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>
      <c r="A192" s="7"/>
      <c r="B192" s="8" t="s">
        <v>277</v>
      </c>
      <c r="C192" s="53">
        <f t="shared" si="1"/>
        <v>13194</v>
      </c>
      <c r="D192" s="72"/>
      <c r="E192" s="73"/>
      <c r="F192" s="62"/>
      <c r="G192" s="62"/>
      <c r="H192" s="62"/>
      <c r="I192" s="70"/>
      <c r="J192" s="62"/>
      <c r="K192" s="62"/>
      <c r="L192" s="62"/>
      <c r="M192" s="65"/>
      <c r="N192" s="62"/>
      <c r="O192" s="6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>
      <c r="A193" s="7"/>
      <c r="B193" s="8" t="s">
        <v>278</v>
      </c>
      <c r="C193" s="53">
        <f t="shared" si="1"/>
        <v>13195</v>
      </c>
      <c r="D193" s="72"/>
      <c r="E193" s="73"/>
      <c r="F193" s="62"/>
      <c r="G193" s="62"/>
      <c r="H193" s="62"/>
      <c r="I193" s="70"/>
      <c r="J193" s="62"/>
      <c r="K193" s="62"/>
      <c r="L193" s="62"/>
      <c r="M193" s="65"/>
      <c r="N193" s="62"/>
      <c r="O193" s="6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>
      <c r="A194" s="7"/>
      <c r="B194" s="8" t="s">
        <v>279</v>
      </c>
      <c r="C194" s="53">
        <f t="shared" si="1"/>
        <v>13196</v>
      </c>
      <c r="D194" s="72"/>
      <c r="E194" s="73"/>
      <c r="F194" s="62"/>
      <c r="G194" s="62"/>
      <c r="H194" s="62"/>
      <c r="I194" s="70"/>
      <c r="J194" s="62"/>
      <c r="K194" s="62"/>
      <c r="L194" s="62"/>
      <c r="M194" s="65"/>
      <c r="N194" s="62"/>
      <c r="O194" s="6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>
      <c r="A195" s="7"/>
      <c r="B195" s="8" t="s">
        <v>280</v>
      </c>
      <c r="C195" s="53">
        <f t="shared" si="1"/>
        <v>13197</v>
      </c>
      <c r="D195" s="72"/>
      <c r="E195" s="73"/>
      <c r="F195" s="62"/>
      <c r="G195" s="62"/>
      <c r="H195" s="62"/>
      <c r="I195" s="70"/>
      <c r="J195" s="62"/>
      <c r="K195" s="62"/>
      <c r="L195" s="62"/>
      <c r="M195" s="65"/>
      <c r="N195" s="62"/>
      <c r="O195" s="6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>
      <c r="A196" s="7"/>
      <c r="B196" s="8" t="s">
        <v>281</v>
      </c>
      <c r="C196" s="53">
        <f t="shared" si="1"/>
        <v>13198</v>
      </c>
      <c r="D196" s="72"/>
      <c r="E196" s="73"/>
      <c r="F196" s="62"/>
      <c r="G196" s="62"/>
      <c r="H196" s="62"/>
      <c r="I196" s="70"/>
      <c r="J196" s="62"/>
      <c r="K196" s="62"/>
      <c r="L196" s="62"/>
      <c r="M196" s="65"/>
      <c r="N196" s="62"/>
      <c r="O196" s="6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>
      <c r="A197" s="7"/>
      <c r="B197" s="8" t="s">
        <v>282</v>
      </c>
      <c r="C197" s="53">
        <f t="shared" si="1"/>
        <v>13199</v>
      </c>
      <c r="D197" s="72"/>
      <c r="E197" s="73"/>
      <c r="F197" s="62"/>
      <c r="G197" s="62"/>
      <c r="H197" s="62"/>
      <c r="I197" s="70"/>
      <c r="J197" s="62"/>
      <c r="K197" s="62"/>
      <c r="L197" s="62"/>
      <c r="M197" s="65"/>
      <c r="N197" s="62"/>
      <c r="O197" s="6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>
      <c r="A198" s="7"/>
      <c r="B198" s="8" t="s">
        <v>283</v>
      </c>
      <c r="C198" s="53">
        <f t="shared" si="1"/>
        <v>13200</v>
      </c>
      <c r="D198" s="54"/>
      <c r="E198" s="55"/>
      <c r="F198" s="56"/>
      <c r="G198" s="56"/>
      <c r="H198" s="56"/>
      <c r="I198" s="70"/>
      <c r="J198" s="56"/>
      <c r="K198" s="56"/>
      <c r="L198" s="56"/>
      <c r="M198" s="66"/>
      <c r="N198" s="62"/>
      <c r="O198" s="56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>
      <c r="A199" s="7"/>
      <c r="B199" s="8" t="s">
        <v>284</v>
      </c>
      <c r="C199" s="53">
        <f t="shared" si="1"/>
        <v>13201</v>
      </c>
      <c r="D199" s="54"/>
      <c r="E199" s="55"/>
      <c r="F199" s="56"/>
      <c r="G199" s="56"/>
      <c r="H199" s="56"/>
      <c r="I199" s="70"/>
      <c r="J199" s="56"/>
      <c r="K199" s="56"/>
      <c r="L199" s="56"/>
      <c r="M199" s="66"/>
      <c r="N199" s="62"/>
      <c r="O199" s="56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>
      <c r="A200" s="7"/>
      <c r="B200" s="8" t="s">
        <v>285</v>
      </c>
      <c r="C200" s="53">
        <f t="shared" si="1"/>
        <v>13202</v>
      </c>
      <c r="D200" s="54"/>
      <c r="E200" s="55"/>
      <c r="F200" s="56"/>
      <c r="G200" s="56"/>
      <c r="H200" s="56"/>
      <c r="I200" s="70"/>
      <c r="J200" s="56"/>
      <c r="K200" s="56"/>
      <c r="L200" s="56"/>
      <c r="M200" s="66"/>
      <c r="N200" s="62"/>
      <c r="O200" s="56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>
      <c r="A201" s="7"/>
      <c r="B201" s="8" t="s">
        <v>286</v>
      </c>
      <c r="C201" s="53">
        <f t="shared" si="1"/>
        <v>13203</v>
      </c>
      <c r="D201" s="54"/>
      <c r="E201" s="55"/>
      <c r="F201" s="56"/>
      <c r="G201" s="56"/>
      <c r="H201" s="56"/>
      <c r="I201" s="70"/>
      <c r="J201" s="56"/>
      <c r="K201" s="56"/>
      <c r="L201" s="56"/>
      <c r="M201" s="66"/>
      <c r="N201" s="62"/>
      <c r="O201" s="56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>
      <c r="A202" s="7"/>
      <c r="B202" s="8" t="s">
        <v>287</v>
      </c>
      <c r="C202" s="53">
        <f t="shared" si="1"/>
        <v>13204</v>
      </c>
      <c r="D202" s="54"/>
      <c r="E202" s="55"/>
      <c r="F202" s="56"/>
      <c r="G202" s="56"/>
      <c r="H202" s="56"/>
      <c r="I202" s="70"/>
      <c r="J202" s="56"/>
      <c r="K202" s="56"/>
      <c r="L202" s="56"/>
      <c r="M202" s="66"/>
      <c r="N202" s="62"/>
      <c r="O202" s="56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>
      <c r="A203" s="7"/>
      <c r="B203" s="8" t="s">
        <v>288</v>
      </c>
      <c r="C203" s="53">
        <f t="shared" si="1"/>
        <v>13205</v>
      </c>
      <c r="D203" s="54"/>
      <c r="E203" s="55"/>
      <c r="F203" s="56"/>
      <c r="G203" s="56"/>
      <c r="H203" s="56"/>
      <c r="I203" s="70"/>
      <c r="J203" s="56"/>
      <c r="K203" s="56"/>
      <c r="L203" s="56"/>
      <c r="M203" s="66"/>
      <c r="N203" s="62"/>
      <c r="O203" s="56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>
      <c r="A204" s="7"/>
      <c r="B204" s="8" t="s">
        <v>289</v>
      </c>
      <c r="C204" s="53">
        <f t="shared" si="1"/>
        <v>13206</v>
      </c>
      <c r="D204" s="54"/>
      <c r="E204" s="55"/>
      <c r="F204" s="56"/>
      <c r="G204" s="56"/>
      <c r="H204" s="56"/>
      <c r="I204" s="70"/>
      <c r="J204" s="56"/>
      <c r="K204" s="56"/>
      <c r="L204" s="56"/>
      <c r="M204" s="66"/>
      <c r="N204" s="62"/>
      <c r="O204" s="56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>
      <c r="A205" s="7"/>
      <c r="B205" s="8" t="s">
        <v>290</v>
      </c>
      <c r="C205" s="53">
        <f t="shared" si="1"/>
        <v>13207</v>
      </c>
      <c r="D205" s="54"/>
      <c r="E205" s="55"/>
      <c r="F205" s="56"/>
      <c r="G205" s="56"/>
      <c r="H205" s="56"/>
      <c r="I205" s="70"/>
      <c r="J205" s="56"/>
      <c r="K205" s="56"/>
      <c r="L205" s="56"/>
      <c r="M205" s="66"/>
      <c r="N205" s="62"/>
      <c r="O205" s="56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>
      <c r="A206" s="7"/>
      <c r="B206" s="8" t="s">
        <v>291</v>
      </c>
      <c r="C206" s="53">
        <f t="shared" si="1"/>
        <v>13208</v>
      </c>
      <c r="D206" s="72"/>
      <c r="E206" s="73"/>
      <c r="F206" s="62"/>
      <c r="G206" s="62"/>
      <c r="H206" s="62"/>
      <c r="I206" s="70"/>
      <c r="J206" s="62"/>
      <c r="K206" s="62"/>
      <c r="L206" s="62"/>
      <c r="M206" s="65"/>
      <c r="N206" s="62"/>
      <c r="O206" s="6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>
      <c r="A207" s="7"/>
      <c r="B207" s="8" t="s">
        <v>292</v>
      </c>
      <c r="C207" s="53">
        <f t="shared" si="1"/>
        <v>13209</v>
      </c>
      <c r="D207" s="72"/>
      <c r="E207" s="73"/>
      <c r="F207" s="62"/>
      <c r="G207" s="62"/>
      <c r="H207" s="62"/>
      <c r="I207" s="70"/>
      <c r="J207" s="62"/>
      <c r="K207" s="62"/>
      <c r="L207" s="62"/>
      <c r="M207" s="65"/>
      <c r="N207" s="62"/>
      <c r="O207" s="6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>
      <c r="A208" s="7"/>
      <c r="B208" s="8" t="s">
        <v>293</v>
      </c>
      <c r="C208" s="53">
        <f t="shared" si="1"/>
        <v>13210</v>
      </c>
      <c r="D208" s="72"/>
      <c r="E208" s="73"/>
      <c r="F208" s="62"/>
      <c r="G208" s="62"/>
      <c r="H208" s="62"/>
      <c r="I208" s="70"/>
      <c r="J208" s="62"/>
      <c r="K208" s="62"/>
      <c r="L208" s="62"/>
      <c r="M208" s="65"/>
      <c r="N208" s="62"/>
      <c r="O208" s="62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>
      <c r="A209" s="7"/>
      <c r="B209" s="8" t="s">
        <v>294</v>
      </c>
      <c r="C209" s="53">
        <f t="shared" si="1"/>
        <v>13211</v>
      </c>
      <c r="D209" s="72"/>
      <c r="E209" s="73"/>
      <c r="F209" s="62"/>
      <c r="G209" s="62"/>
      <c r="H209" s="62"/>
      <c r="I209" s="70"/>
      <c r="J209" s="62"/>
      <c r="K209" s="62"/>
      <c r="L209" s="62"/>
      <c r="M209" s="65"/>
      <c r="N209" s="62"/>
      <c r="O209" s="62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>
      <c r="A210" s="7"/>
      <c r="B210" s="8" t="s">
        <v>295</v>
      </c>
      <c r="C210" s="53">
        <f t="shared" si="1"/>
        <v>13212</v>
      </c>
      <c r="D210" s="72"/>
      <c r="E210" s="73"/>
      <c r="F210" s="62"/>
      <c r="G210" s="62"/>
      <c r="H210" s="62"/>
      <c r="I210" s="70"/>
      <c r="J210" s="62"/>
      <c r="K210" s="62"/>
      <c r="L210" s="62"/>
      <c r="M210" s="65"/>
      <c r="N210" s="62"/>
      <c r="O210" s="62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>
      <c r="A211" s="7"/>
      <c r="B211" s="8" t="s">
        <v>296</v>
      </c>
      <c r="C211" s="53">
        <f t="shared" si="1"/>
        <v>13213</v>
      </c>
      <c r="D211" s="72"/>
      <c r="E211" s="73"/>
      <c r="F211" s="62"/>
      <c r="G211" s="62"/>
      <c r="H211" s="62"/>
      <c r="I211" s="70"/>
      <c r="J211" s="62"/>
      <c r="K211" s="62"/>
      <c r="L211" s="62"/>
      <c r="M211" s="65"/>
      <c r="N211" s="62"/>
      <c r="O211" s="62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>
      <c r="A212" s="7"/>
      <c r="B212" s="8" t="s">
        <v>297</v>
      </c>
      <c r="C212" s="53">
        <f t="shared" si="1"/>
        <v>13214</v>
      </c>
      <c r="D212" s="72"/>
      <c r="E212" s="73"/>
      <c r="F212" s="62"/>
      <c r="G212" s="62"/>
      <c r="H212" s="62"/>
      <c r="I212" s="70"/>
      <c r="J212" s="62"/>
      <c r="K212" s="62"/>
      <c r="L212" s="62"/>
      <c r="M212" s="65"/>
      <c r="N212" s="62"/>
      <c r="O212" s="62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>
      <c r="A213" s="7"/>
      <c r="B213" s="8" t="s">
        <v>298</v>
      </c>
      <c r="C213" s="53">
        <f t="shared" si="1"/>
        <v>13215</v>
      </c>
      <c r="D213" s="72"/>
      <c r="E213" s="73"/>
      <c r="F213" s="62"/>
      <c r="G213" s="62"/>
      <c r="H213" s="62"/>
      <c r="I213" s="70"/>
      <c r="J213" s="62"/>
      <c r="K213" s="62"/>
      <c r="L213" s="62"/>
      <c r="M213" s="65"/>
      <c r="N213" s="62"/>
      <c r="O213" s="62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>
      <c r="A214" s="7"/>
      <c r="B214" s="8" t="s">
        <v>299</v>
      </c>
      <c r="C214" s="53">
        <f t="shared" si="1"/>
        <v>13216</v>
      </c>
      <c r="D214" s="72"/>
      <c r="E214" s="73"/>
      <c r="F214" s="62"/>
      <c r="G214" s="62"/>
      <c r="H214" s="62"/>
      <c r="I214" s="70"/>
      <c r="J214" s="62"/>
      <c r="K214" s="62"/>
      <c r="L214" s="62"/>
      <c r="M214" s="65"/>
      <c r="N214" s="62"/>
      <c r="O214" s="62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>
      <c r="A215" s="7"/>
      <c r="B215" s="8" t="s">
        <v>300</v>
      </c>
      <c r="C215" s="53">
        <f t="shared" si="1"/>
        <v>13217</v>
      </c>
      <c r="D215" s="72"/>
      <c r="E215" s="73"/>
      <c r="F215" s="62"/>
      <c r="G215" s="62"/>
      <c r="H215" s="62"/>
      <c r="I215" s="70"/>
      <c r="J215" s="62"/>
      <c r="K215" s="62"/>
      <c r="L215" s="62"/>
      <c r="M215" s="65"/>
      <c r="N215" s="62"/>
      <c r="O215" s="62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>
      <c r="A216" s="7"/>
      <c r="B216" s="8" t="s">
        <v>301</v>
      </c>
      <c r="C216" s="53">
        <f t="shared" si="1"/>
        <v>13218</v>
      </c>
      <c r="D216" s="72"/>
      <c r="E216" s="73"/>
      <c r="F216" s="62"/>
      <c r="G216" s="62"/>
      <c r="H216" s="62"/>
      <c r="I216" s="70"/>
      <c r="J216" s="62"/>
      <c r="K216" s="62"/>
      <c r="L216" s="62"/>
      <c r="M216" s="65"/>
      <c r="N216" s="62"/>
      <c r="O216" s="62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>
      <c r="A217" s="7"/>
      <c r="B217" s="8" t="s">
        <v>302</v>
      </c>
      <c r="C217" s="53">
        <f t="shared" si="1"/>
        <v>13219</v>
      </c>
      <c r="D217" s="72"/>
      <c r="E217" s="73"/>
      <c r="F217" s="62"/>
      <c r="G217" s="62"/>
      <c r="H217" s="62"/>
      <c r="I217" s="70"/>
      <c r="J217" s="62"/>
      <c r="K217" s="62"/>
      <c r="L217" s="62"/>
      <c r="M217" s="65"/>
      <c r="N217" s="62"/>
      <c r="O217" s="62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>
      <c r="A218" s="7"/>
      <c r="B218" s="8" t="s">
        <v>303</v>
      </c>
      <c r="C218" s="53">
        <f t="shared" si="1"/>
        <v>13220</v>
      </c>
      <c r="D218" s="72"/>
      <c r="E218" s="73"/>
      <c r="F218" s="62"/>
      <c r="G218" s="62"/>
      <c r="H218" s="62"/>
      <c r="I218" s="70"/>
      <c r="J218" s="62"/>
      <c r="K218" s="62"/>
      <c r="L218" s="62"/>
      <c r="M218" s="65"/>
      <c r="N218" s="62"/>
      <c r="O218" s="62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>
      <c r="A219" s="7"/>
      <c r="B219" s="8" t="s">
        <v>304</v>
      </c>
      <c r="C219" s="53">
        <f t="shared" si="1"/>
        <v>13221</v>
      </c>
      <c r="D219" s="72"/>
      <c r="E219" s="73"/>
      <c r="F219" s="62"/>
      <c r="G219" s="62"/>
      <c r="H219" s="62"/>
      <c r="I219" s="70"/>
      <c r="J219" s="62"/>
      <c r="K219" s="62"/>
      <c r="L219" s="62"/>
      <c r="M219" s="65"/>
      <c r="N219" s="62"/>
      <c r="O219" s="62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>
      <c r="A220" s="7"/>
      <c r="B220" s="8" t="s">
        <v>305</v>
      </c>
      <c r="C220" s="53">
        <f t="shared" si="1"/>
        <v>13222</v>
      </c>
      <c r="D220" s="72"/>
      <c r="E220" s="73"/>
      <c r="F220" s="62"/>
      <c r="G220" s="62"/>
      <c r="H220" s="62"/>
      <c r="I220" s="70"/>
      <c r="J220" s="62"/>
      <c r="K220" s="62"/>
      <c r="L220" s="62"/>
      <c r="M220" s="65"/>
      <c r="N220" s="62"/>
      <c r="O220" s="62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>
      <c r="A221" s="7"/>
      <c r="B221" s="8" t="s">
        <v>306</v>
      </c>
      <c r="C221" s="53">
        <f t="shared" si="1"/>
        <v>13223</v>
      </c>
      <c r="D221" s="72"/>
      <c r="E221" s="73"/>
      <c r="F221" s="62"/>
      <c r="G221" s="62"/>
      <c r="H221" s="62"/>
      <c r="I221" s="70"/>
      <c r="J221" s="62"/>
      <c r="K221" s="62"/>
      <c r="L221" s="62"/>
      <c r="M221" s="65"/>
      <c r="N221" s="62"/>
      <c r="O221" s="62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>
      <c r="A222" s="7"/>
      <c r="B222" s="8" t="s">
        <v>307</v>
      </c>
      <c r="C222" s="53">
        <f t="shared" si="1"/>
        <v>13224</v>
      </c>
      <c r="D222" s="72"/>
      <c r="E222" s="73"/>
      <c r="F222" s="62"/>
      <c r="G222" s="62"/>
      <c r="H222" s="62"/>
      <c r="I222" s="70"/>
      <c r="J222" s="62"/>
      <c r="K222" s="62"/>
      <c r="L222" s="62"/>
      <c r="M222" s="65"/>
      <c r="N222" s="62"/>
      <c r="O222" s="62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>
      <c r="A223" s="7"/>
      <c r="B223" s="8" t="s">
        <v>308</v>
      </c>
      <c r="C223" s="53">
        <f t="shared" si="1"/>
        <v>13225</v>
      </c>
      <c r="D223" s="72"/>
      <c r="E223" s="73"/>
      <c r="F223" s="62"/>
      <c r="G223" s="62"/>
      <c r="H223" s="62"/>
      <c r="I223" s="70"/>
      <c r="J223" s="62"/>
      <c r="K223" s="62"/>
      <c r="L223" s="62"/>
      <c r="M223" s="65"/>
      <c r="N223" s="62"/>
      <c r="O223" s="62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>
      <c r="A224" s="7"/>
      <c r="B224" s="8" t="s">
        <v>309</v>
      </c>
      <c r="C224" s="53">
        <f t="shared" si="1"/>
        <v>13226</v>
      </c>
      <c r="D224" s="72"/>
      <c r="E224" s="73"/>
      <c r="F224" s="62"/>
      <c r="G224" s="62"/>
      <c r="H224" s="62"/>
      <c r="I224" s="70"/>
      <c r="J224" s="62"/>
      <c r="K224" s="62"/>
      <c r="L224" s="62"/>
      <c r="M224" s="65"/>
      <c r="N224" s="62"/>
      <c r="O224" s="62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>
      <c r="A225" s="7"/>
      <c r="B225" s="8" t="s">
        <v>310</v>
      </c>
      <c r="C225" s="53">
        <f t="shared" si="1"/>
        <v>13227</v>
      </c>
      <c r="D225" s="72"/>
      <c r="E225" s="73"/>
      <c r="F225" s="62"/>
      <c r="G225" s="62"/>
      <c r="H225" s="62"/>
      <c r="I225" s="70"/>
      <c r="J225" s="62"/>
      <c r="K225" s="62"/>
      <c r="L225" s="62"/>
      <c r="M225" s="65"/>
      <c r="N225" s="62"/>
      <c r="O225" s="62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>
      <c r="A226" s="7"/>
      <c r="B226" s="8" t="s">
        <v>311</v>
      </c>
      <c r="C226" s="53">
        <f t="shared" si="1"/>
        <v>13228</v>
      </c>
      <c r="D226" s="72"/>
      <c r="E226" s="73"/>
      <c r="F226" s="62"/>
      <c r="G226" s="62"/>
      <c r="H226" s="62"/>
      <c r="I226" s="70"/>
      <c r="J226" s="62"/>
      <c r="K226" s="62"/>
      <c r="L226" s="62"/>
      <c r="M226" s="65"/>
      <c r="N226" s="62"/>
      <c r="O226" s="62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>
      <c r="A227" s="7"/>
      <c r="B227" s="8" t="s">
        <v>312</v>
      </c>
      <c r="C227" s="53">
        <f t="shared" si="1"/>
        <v>13229</v>
      </c>
      <c r="D227" s="72"/>
      <c r="E227" s="73"/>
      <c r="F227" s="62"/>
      <c r="G227" s="62"/>
      <c r="H227" s="62"/>
      <c r="I227" s="70"/>
      <c r="J227" s="62"/>
      <c r="K227" s="62"/>
      <c r="L227" s="62"/>
      <c r="M227" s="65"/>
      <c r="N227" s="62"/>
      <c r="O227" s="6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>
      <c r="A228" s="7"/>
      <c r="B228" s="8" t="s">
        <v>313</v>
      </c>
      <c r="C228" s="53">
        <f t="shared" si="1"/>
        <v>13230</v>
      </c>
      <c r="D228" s="72"/>
      <c r="E228" s="73"/>
      <c r="F228" s="62"/>
      <c r="G228" s="62"/>
      <c r="H228" s="62"/>
      <c r="I228" s="70"/>
      <c r="J228" s="62"/>
      <c r="K228" s="62"/>
      <c r="L228" s="62"/>
      <c r="M228" s="65"/>
      <c r="N228" s="62"/>
      <c r="O228" s="6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>
      <c r="A229" s="7"/>
      <c r="B229" s="8" t="s">
        <v>314</v>
      </c>
      <c r="C229" s="53">
        <f t="shared" si="1"/>
        <v>13231</v>
      </c>
      <c r="D229" s="72"/>
      <c r="E229" s="73"/>
      <c r="F229" s="62"/>
      <c r="G229" s="62"/>
      <c r="H229" s="62"/>
      <c r="I229" s="70"/>
      <c r="J229" s="62"/>
      <c r="K229" s="62"/>
      <c r="L229" s="62"/>
      <c r="M229" s="65"/>
      <c r="N229" s="62"/>
      <c r="O229" s="6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>
      <c r="A230" s="7"/>
      <c r="B230" s="8" t="s">
        <v>315</v>
      </c>
      <c r="C230" s="53">
        <f t="shared" si="1"/>
        <v>13232</v>
      </c>
      <c r="D230" s="72"/>
      <c r="E230" s="73"/>
      <c r="F230" s="62"/>
      <c r="G230" s="62"/>
      <c r="H230" s="62"/>
      <c r="I230" s="70"/>
      <c r="J230" s="62"/>
      <c r="K230" s="62"/>
      <c r="L230" s="62"/>
      <c r="M230" s="65"/>
      <c r="N230" s="62"/>
      <c r="O230" s="6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>
      <c r="A231" s="7"/>
      <c r="B231" s="8" t="s">
        <v>316</v>
      </c>
      <c r="C231" s="53">
        <f t="shared" si="1"/>
        <v>13233</v>
      </c>
      <c r="D231" s="72"/>
      <c r="E231" s="73"/>
      <c r="F231" s="62"/>
      <c r="G231" s="62"/>
      <c r="H231" s="62"/>
      <c r="I231" s="70"/>
      <c r="J231" s="62"/>
      <c r="K231" s="62"/>
      <c r="L231" s="62"/>
      <c r="M231" s="65"/>
      <c r="N231" s="62"/>
      <c r="O231" s="6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>
      <c r="A232" s="7"/>
      <c r="B232" s="8" t="s">
        <v>317</v>
      </c>
      <c r="C232" s="53">
        <f t="shared" si="1"/>
        <v>13234</v>
      </c>
      <c r="D232" s="72"/>
      <c r="E232" s="73"/>
      <c r="F232" s="62"/>
      <c r="G232" s="62"/>
      <c r="H232" s="62"/>
      <c r="I232" s="70"/>
      <c r="J232" s="62"/>
      <c r="K232" s="62"/>
      <c r="L232" s="62"/>
      <c r="M232" s="65"/>
      <c r="N232" s="62"/>
      <c r="O232" s="6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>
      <c r="A233" s="7"/>
      <c r="B233" s="8" t="s">
        <v>318</v>
      </c>
      <c r="C233" s="53">
        <f t="shared" si="1"/>
        <v>13235</v>
      </c>
      <c r="D233" s="72"/>
      <c r="E233" s="73"/>
      <c r="F233" s="62"/>
      <c r="G233" s="62"/>
      <c r="H233" s="62"/>
      <c r="I233" s="70"/>
      <c r="J233" s="62"/>
      <c r="K233" s="62"/>
      <c r="L233" s="62"/>
      <c r="M233" s="65"/>
      <c r="N233" s="62"/>
      <c r="O233" s="6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>
      <c r="A234" s="7"/>
      <c r="B234" s="8" t="s">
        <v>319</v>
      </c>
      <c r="C234" s="53">
        <f t="shared" si="1"/>
        <v>13236</v>
      </c>
      <c r="D234" s="72"/>
      <c r="E234" s="73"/>
      <c r="F234" s="62"/>
      <c r="G234" s="62"/>
      <c r="H234" s="62"/>
      <c r="I234" s="70"/>
      <c r="J234" s="62"/>
      <c r="K234" s="62"/>
      <c r="L234" s="62"/>
      <c r="M234" s="65"/>
      <c r="N234" s="62"/>
      <c r="O234" s="62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>
      <c r="A235" s="7"/>
      <c r="B235" s="8" t="s">
        <v>320</v>
      </c>
      <c r="C235" s="53">
        <f t="shared" si="1"/>
        <v>13237</v>
      </c>
      <c r="D235" s="72"/>
      <c r="E235" s="73"/>
      <c r="F235" s="62"/>
      <c r="G235" s="62"/>
      <c r="H235" s="62"/>
      <c r="I235" s="70"/>
      <c r="J235" s="62"/>
      <c r="K235" s="62"/>
      <c r="L235" s="62"/>
      <c r="M235" s="65"/>
      <c r="N235" s="62"/>
      <c r="O235" s="62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>
      <c r="A236" s="7"/>
      <c r="B236" s="8" t="s">
        <v>321</v>
      </c>
      <c r="C236" s="53">
        <f t="shared" si="1"/>
        <v>13238</v>
      </c>
      <c r="D236" s="72"/>
      <c r="E236" s="73"/>
      <c r="F236" s="62"/>
      <c r="G236" s="62"/>
      <c r="H236" s="62"/>
      <c r="I236" s="70"/>
      <c r="J236" s="62"/>
      <c r="K236" s="62"/>
      <c r="L236" s="62"/>
      <c r="M236" s="65"/>
      <c r="N236" s="62"/>
      <c r="O236" s="62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>
      <c r="A237" s="7"/>
      <c r="B237" s="8" t="s">
        <v>322</v>
      </c>
      <c r="C237" s="53">
        <f t="shared" si="1"/>
        <v>13239</v>
      </c>
      <c r="D237" s="72"/>
      <c r="E237" s="73"/>
      <c r="F237" s="62"/>
      <c r="G237" s="62"/>
      <c r="H237" s="62"/>
      <c r="I237" s="70"/>
      <c r="J237" s="62"/>
      <c r="K237" s="62"/>
      <c r="L237" s="62"/>
      <c r="M237" s="65"/>
      <c r="N237" s="62"/>
      <c r="O237" s="6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>
      <c r="A238" s="7"/>
      <c r="B238" s="8" t="s">
        <v>323</v>
      </c>
      <c r="C238" s="53">
        <f t="shared" si="1"/>
        <v>13240</v>
      </c>
      <c r="D238" s="72"/>
      <c r="E238" s="73"/>
      <c r="F238" s="62"/>
      <c r="G238" s="62"/>
      <c r="H238" s="62"/>
      <c r="I238" s="70"/>
      <c r="J238" s="62"/>
      <c r="K238" s="62"/>
      <c r="L238" s="62"/>
      <c r="M238" s="65"/>
      <c r="N238" s="62"/>
      <c r="O238" s="6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>
      <c r="A239" s="7"/>
      <c r="B239" s="8" t="s">
        <v>324</v>
      </c>
      <c r="C239" s="53">
        <f t="shared" si="1"/>
        <v>13241</v>
      </c>
      <c r="D239" s="72"/>
      <c r="E239" s="73"/>
      <c r="F239" s="62"/>
      <c r="G239" s="62"/>
      <c r="H239" s="62"/>
      <c r="I239" s="70"/>
      <c r="J239" s="62"/>
      <c r="K239" s="62"/>
      <c r="L239" s="62"/>
      <c r="M239" s="65"/>
      <c r="N239" s="62"/>
      <c r="O239" s="62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>
      <c r="A240" s="7"/>
      <c r="B240" s="8" t="s">
        <v>325</v>
      </c>
      <c r="C240" s="53">
        <f t="shared" si="1"/>
        <v>13242</v>
      </c>
      <c r="D240" s="72"/>
      <c r="E240" s="73"/>
      <c r="F240" s="62"/>
      <c r="G240" s="62"/>
      <c r="H240" s="62"/>
      <c r="I240" s="70"/>
      <c r="J240" s="62"/>
      <c r="K240" s="62"/>
      <c r="L240" s="62"/>
      <c r="M240" s="65"/>
      <c r="N240" s="62"/>
      <c r="O240" s="62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>
      <c r="A241" s="7"/>
      <c r="B241" s="8" t="s">
        <v>326</v>
      </c>
      <c r="C241" s="53">
        <f t="shared" si="1"/>
        <v>13243</v>
      </c>
      <c r="D241" s="72"/>
      <c r="E241" s="73"/>
      <c r="F241" s="62"/>
      <c r="G241" s="62"/>
      <c r="H241" s="62"/>
      <c r="I241" s="70"/>
      <c r="J241" s="62"/>
      <c r="K241" s="62"/>
      <c r="L241" s="62"/>
      <c r="M241" s="65"/>
      <c r="N241" s="62"/>
      <c r="O241" s="62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>
      <c r="A242" s="7"/>
      <c r="B242" s="8" t="s">
        <v>327</v>
      </c>
      <c r="C242" s="53">
        <f t="shared" si="1"/>
        <v>13244</v>
      </c>
      <c r="D242" s="72"/>
      <c r="E242" s="73"/>
      <c r="F242" s="62"/>
      <c r="G242" s="62"/>
      <c r="H242" s="62"/>
      <c r="I242" s="70"/>
      <c r="J242" s="62"/>
      <c r="K242" s="62"/>
      <c r="L242" s="62"/>
      <c r="M242" s="65"/>
      <c r="N242" s="62"/>
      <c r="O242" s="62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>
      <c r="A243" s="7"/>
      <c r="B243" s="8" t="s">
        <v>328</v>
      </c>
      <c r="C243" s="53">
        <f t="shared" si="1"/>
        <v>13245</v>
      </c>
      <c r="D243" s="72"/>
      <c r="E243" s="73"/>
      <c r="F243" s="62"/>
      <c r="G243" s="62"/>
      <c r="H243" s="62"/>
      <c r="I243" s="70"/>
      <c r="J243" s="62"/>
      <c r="K243" s="62"/>
      <c r="L243" s="62"/>
      <c r="M243" s="65"/>
      <c r="N243" s="62"/>
      <c r="O243" s="62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>
      <c r="A244" s="7"/>
      <c r="B244" s="8" t="s">
        <v>329</v>
      </c>
      <c r="C244" s="53">
        <f t="shared" si="1"/>
        <v>13246</v>
      </c>
      <c r="D244" s="72"/>
      <c r="E244" s="73"/>
      <c r="F244" s="62"/>
      <c r="G244" s="62"/>
      <c r="H244" s="62"/>
      <c r="I244" s="70"/>
      <c r="J244" s="62"/>
      <c r="K244" s="62"/>
      <c r="L244" s="62"/>
      <c r="M244" s="65"/>
      <c r="N244" s="62"/>
      <c r="O244" s="62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>
      <c r="A245" s="7"/>
      <c r="B245" s="8" t="s">
        <v>330</v>
      </c>
      <c r="C245" s="53">
        <f t="shared" si="1"/>
        <v>13247</v>
      </c>
      <c r="D245" s="72"/>
      <c r="E245" s="73"/>
      <c r="F245" s="62"/>
      <c r="G245" s="62"/>
      <c r="H245" s="62"/>
      <c r="I245" s="70"/>
      <c r="J245" s="62"/>
      <c r="K245" s="62"/>
      <c r="L245" s="62"/>
      <c r="M245" s="65"/>
      <c r="N245" s="62"/>
      <c r="O245" s="62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>
      <c r="A246" s="7"/>
      <c r="B246" s="8" t="s">
        <v>331</v>
      </c>
      <c r="C246" s="53">
        <f t="shared" si="1"/>
        <v>13248</v>
      </c>
      <c r="D246" s="72"/>
      <c r="E246" s="73"/>
      <c r="F246" s="62"/>
      <c r="G246" s="62"/>
      <c r="H246" s="62"/>
      <c r="I246" s="70"/>
      <c r="J246" s="62"/>
      <c r="K246" s="62"/>
      <c r="L246" s="62"/>
      <c r="M246" s="65"/>
      <c r="N246" s="62"/>
      <c r="O246" s="62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>
      <c r="A247" s="7"/>
      <c r="B247" s="8" t="s">
        <v>332</v>
      </c>
      <c r="C247" s="53">
        <f t="shared" si="1"/>
        <v>13249</v>
      </c>
      <c r="D247" s="72"/>
      <c r="E247" s="73"/>
      <c r="F247" s="62"/>
      <c r="G247" s="62"/>
      <c r="H247" s="62"/>
      <c r="I247" s="70"/>
      <c r="J247" s="62"/>
      <c r="K247" s="62"/>
      <c r="L247" s="62"/>
      <c r="M247" s="65"/>
      <c r="N247" s="62"/>
      <c r="O247" s="62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>
      <c r="A248" s="7"/>
      <c r="B248" s="8" t="s">
        <v>333</v>
      </c>
      <c r="C248" s="53">
        <f t="shared" si="1"/>
        <v>13250</v>
      </c>
      <c r="D248" s="72"/>
      <c r="E248" s="73"/>
      <c r="F248" s="62"/>
      <c r="G248" s="62"/>
      <c r="H248" s="62"/>
      <c r="I248" s="70"/>
      <c r="J248" s="62"/>
      <c r="K248" s="62"/>
      <c r="L248" s="62"/>
      <c r="M248" s="65"/>
      <c r="N248" s="62"/>
      <c r="O248" s="62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>
      <c r="A249" s="1"/>
      <c r="B249" s="1"/>
      <c r="C249" s="18"/>
      <c r="D249" s="47"/>
      <c r="E249" s="18"/>
      <c r="F249" s="18"/>
      <c r="G249" s="18"/>
      <c r="H249" s="18"/>
      <c r="I249" s="25"/>
      <c r="J249" s="18"/>
      <c r="K249" s="18"/>
      <c r="L249" s="18"/>
      <c r="M249" s="39"/>
      <c r="N249" s="18"/>
      <c r="O249" s="18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>
      <c r="A250" s="1"/>
      <c r="B250" s="1"/>
      <c r="C250" s="18"/>
      <c r="D250" s="47"/>
      <c r="E250" s="18"/>
      <c r="F250" s="18"/>
      <c r="G250" s="18"/>
      <c r="H250" s="18"/>
      <c r="I250" s="25"/>
      <c r="J250" s="18"/>
      <c r="K250" s="18"/>
      <c r="L250" s="18"/>
      <c r="M250" s="39"/>
      <c r="N250" s="18"/>
      <c r="O250" s="18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>
      <c r="A251" s="1"/>
      <c r="B251" s="1"/>
      <c r="C251" s="18"/>
      <c r="D251" s="47"/>
      <c r="E251" s="18"/>
      <c r="F251" s="18"/>
      <c r="G251" s="18"/>
      <c r="H251" s="18"/>
      <c r="I251" s="25"/>
      <c r="J251" s="18"/>
      <c r="K251" s="18"/>
      <c r="L251" s="18"/>
      <c r="M251" s="39"/>
      <c r="N251" s="18"/>
      <c r="O251" s="18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>
      <c r="A252" s="1"/>
      <c r="B252" s="1"/>
      <c r="C252" s="18"/>
      <c r="D252" s="47"/>
      <c r="E252" s="18"/>
      <c r="F252" s="18"/>
      <c r="G252" s="18"/>
      <c r="H252" s="18"/>
      <c r="I252" s="25"/>
      <c r="J252" s="18"/>
      <c r="K252" s="18"/>
      <c r="L252" s="18"/>
      <c r="M252" s="39"/>
      <c r="N252" s="18"/>
      <c r="O252" s="18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>
      <c r="A253" s="1"/>
      <c r="B253" s="1"/>
      <c r="C253" s="18"/>
      <c r="D253" s="47"/>
      <c r="E253" s="18"/>
      <c r="F253" s="18"/>
      <c r="G253" s="18"/>
      <c r="H253" s="18"/>
      <c r="I253" s="25"/>
      <c r="J253" s="18"/>
      <c r="K253" s="18"/>
      <c r="L253" s="18"/>
      <c r="M253" s="39"/>
      <c r="N253" s="18"/>
      <c r="O253" s="18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>
      <c r="A254" s="1"/>
      <c r="B254" s="1"/>
      <c r="C254" s="18"/>
      <c r="D254" s="47"/>
      <c r="E254" s="18"/>
      <c r="F254" s="18"/>
      <c r="G254" s="18"/>
      <c r="H254" s="18"/>
      <c r="I254" s="25"/>
      <c r="J254" s="18"/>
      <c r="K254" s="18"/>
      <c r="L254" s="18"/>
      <c r="M254" s="39"/>
      <c r="N254" s="18"/>
      <c r="O254" s="18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>
      <c r="A255" s="1"/>
      <c r="B255" s="1"/>
      <c r="C255" s="18"/>
      <c r="D255" s="47"/>
      <c r="E255" s="18"/>
      <c r="F255" s="18"/>
      <c r="G255" s="18"/>
      <c r="H255" s="18"/>
      <c r="I255" s="25"/>
      <c r="J255" s="18"/>
      <c r="K255" s="18"/>
      <c r="L255" s="18"/>
      <c r="M255" s="39"/>
      <c r="N255" s="18"/>
      <c r="O255" s="18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>
      <c r="A256" s="1"/>
      <c r="B256" s="1"/>
      <c r="C256" s="18"/>
      <c r="D256" s="47"/>
      <c r="E256" s="18"/>
      <c r="F256" s="18"/>
      <c r="G256" s="18"/>
      <c r="H256" s="18"/>
      <c r="I256" s="25"/>
      <c r="J256" s="18"/>
      <c r="K256" s="18"/>
      <c r="L256" s="18"/>
      <c r="M256" s="39"/>
      <c r="N256" s="18"/>
      <c r="O256" s="18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>
      <c r="A257" s="1"/>
      <c r="B257" s="1"/>
      <c r="C257" s="18"/>
      <c r="D257" s="47"/>
      <c r="E257" s="18"/>
      <c r="F257" s="18"/>
      <c r="G257" s="18"/>
      <c r="H257" s="18"/>
      <c r="I257" s="25"/>
      <c r="J257" s="18"/>
      <c r="K257" s="18"/>
      <c r="L257" s="18"/>
      <c r="M257" s="39"/>
      <c r="N257" s="18"/>
      <c r="O257" s="18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>
      <c r="A258" s="1"/>
      <c r="B258" s="1"/>
      <c r="C258" s="18"/>
      <c r="D258" s="47"/>
      <c r="E258" s="18"/>
      <c r="F258" s="18"/>
      <c r="G258" s="18"/>
      <c r="H258" s="18"/>
      <c r="I258" s="25"/>
      <c r="J258" s="18"/>
      <c r="K258" s="18"/>
      <c r="L258" s="18"/>
      <c r="M258" s="39"/>
      <c r="N258" s="18"/>
      <c r="O258" s="18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>
      <c r="A259" s="1"/>
      <c r="B259" s="1"/>
      <c r="C259" s="18"/>
      <c r="D259" s="47"/>
      <c r="E259" s="18"/>
      <c r="F259" s="18"/>
      <c r="G259" s="18"/>
      <c r="H259" s="18"/>
      <c r="I259" s="25"/>
      <c r="J259" s="18"/>
      <c r="K259" s="18"/>
      <c r="L259" s="18"/>
      <c r="M259" s="39"/>
      <c r="N259" s="18"/>
      <c r="O259" s="18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>
      <c r="A260" s="1"/>
      <c r="B260" s="1"/>
      <c r="C260" s="18"/>
      <c r="D260" s="47"/>
      <c r="E260" s="18"/>
      <c r="F260" s="18"/>
      <c r="G260" s="18"/>
      <c r="H260" s="18"/>
      <c r="I260" s="25"/>
      <c r="J260" s="18"/>
      <c r="K260" s="18"/>
      <c r="L260" s="18"/>
      <c r="M260" s="39"/>
      <c r="N260" s="18"/>
      <c r="O260" s="18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>
      <c r="A261" s="1"/>
      <c r="B261" s="1"/>
      <c r="C261" s="18"/>
      <c r="D261" s="47"/>
      <c r="E261" s="18"/>
      <c r="F261" s="18"/>
      <c r="G261" s="18"/>
      <c r="H261" s="18"/>
      <c r="I261" s="25"/>
      <c r="J261" s="18"/>
      <c r="K261" s="18"/>
      <c r="L261" s="18"/>
      <c r="M261" s="39"/>
      <c r="N261" s="18"/>
      <c r="O261" s="18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>
      <c r="A262" s="1"/>
      <c r="B262" s="1"/>
      <c r="C262" s="18"/>
      <c r="D262" s="47"/>
      <c r="E262" s="18"/>
      <c r="F262" s="18"/>
      <c r="G262" s="18"/>
      <c r="H262" s="18"/>
      <c r="I262" s="25"/>
      <c r="J262" s="18"/>
      <c r="K262" s="18"/>
      <c r="L262" s="18"/>
      <c r="M262" s="39"/>
      <c r="N262" s="18"/>
      <c r="O262" s="18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>
      <c r="A263" s="1"/>
      <c r="B263" s="1"/>
      <c r="C263" s="18"/>
      <c r="D263" s="47"/>
      <c r="E263" s="18"/>
      <c r="F263" s="18"/>
      <c r="G263" s="18"/>
      <c r="H263" s="18"/>
      <c r="I263" s="25"/>
      <c r="J263" s="18"/>
      <c r="K263" s="18"/>
      <c r="L263" s="18"/>
      <c r="M263" s="39"/>
      <c r="N263" s="18"/>
      <c r="O263" s="18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>
      <c r="A264" s="1"/>
      <c r="B264" s="1"/>
      <c r="C264" s="18"/>
      <c r="D264" s="47"/>
      <c r="E264" s="18"/>
      <c r="F264" s="18"/>
      <c r="G264" s="18"/>
      <c r="H264" s="18"/>
      <c r="I264" s="25"/>
      <c r="J264" s="18"/>
      <c r="K264" s="18"/>
      <c r="L264" s="18"/>
      <c r="M264" s="39"/>
      <c r="N264" s="18"/>
      <c r="O264" s="18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>
      <c r="A265" s="1"/>
      <c r="B265" s="1"/>
      <c r="C265" s="18"/>
      <c r="D265" s="47"/>
      <c r="E265" s="18"/>
      <c r="F265" s="18"/>
      <c r="G265" s="18"/>
      <c r="H265" s="18"/>
      <c r="I265" s="25"/>
      <c r="J265" s="18"/>
      <c r="K265" s="18"/>
      <c r="L265" s="18"/>
      <c r="M265" s="39"/>
      <c r="N265" s="18"/>
      <c r="O265" s="18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>
      <c r="A266" s="1"/>
      <c r="B266" s="1"/>
      <c r="C266" s="18"/>
      <c r="D266" s="47"/>
      <c r="E266" s="18"/>
      <c r="F266" s="18"/>
      <c r="G266" s="18"/>
      <c r="H266" s="18"/>
      <c r="I266" s="25"/>
      <c r="J266" s="18"/>
      <c r="K266" s="18"/>
      <c r="L266" s="18"/>
      <c r="M266" s="39"/>
      <c r="N266" s="18"/>
      <c r="O266" s="18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>
      <c r="A267" s="1"/>
      <c r="B267" s="1"/>
      <c r="C267" s="18"/>
      <c r="D267" s="47"/>
      <c r="E267" s="18"/>
      <c r="F267" s="18"/>
      <c r="G267" s="18"/>
      <c r="H267" s="18"/>
      <c r="I267" s="25"/>
      <c r="J267" s="18"/>
      <c r="K267" s="18"/>
      <c r="L267" s="18"/>
      <c r="M267" s="39"/>
      <c r="N267" s="18"/>
      <c r="O267" s="18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>
      <c r="A268" s="1"/>
      <c r="B268" s="1"/>
      <c r="C268" s="18"/>
      <c r="D268" s="47"/>
      <c r="E268" s="18"/>
      <c r="F268" s="18"/>
      <c r="G268" s="18"/>
      <c r="H268" s="18"/>
      <c r="I268" s="25"/>
      <c r="J268" s="18"/>
      <c r="K268" s="18"/>
      <c r="L268" s="18"/>
      <c r="M268" s="39"/>
      <c r="N268" s="18"/>
      <c r="O268" s="18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>
      <c r="A269" s="1"/>
      <c r="B269" s="1"/>
      <c r="C269" s="18"/>
      <c r="D269" s="47"/>
      <c r="E269" s="18"/>
      <c r="F269" s="18"/>
      <c r="G269" s="18"/>
      <c r="H269" s="18"/>
      <c r="I269" s="25"/>
      <c r="J269" s="18"/>
      <c r="K269" s="18"/>
      <c r="L269" s="18"/>
      <c r="M269" s="39"/>
      <c r="N269" s="18"/>
      <c r="O269" s="18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>
      <c r="A270" s="1"/>
      <c r="B270" s="1"/>
      <c r="C270" s="18"/>
      <c r="D270" s="47"/>
      <c r="E270" s="18"/>
      <c r="F270" s="18"/>
      <c r="G270" s="18"/>
      <c r="H270" s="18"/>
      <c r="I270" s="25"/>
      <c r="J270" s="18"/>
      <c r="K270" s="18"/>
      <c r="L270" s="18"/>
      <c r="M270" s="39"/>
      <c r="N270" s="18"/>
      <c r="O270" s="18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>
      <c r="A271" s="1"/>
      <c r="B271" s="1"/>
      <c r="C271" s="18"/>
      <c r="D271" s="47"/>
      <c r="E271" s="18"/>
      <c r="F271" s="18"/>
      <c r="G271" s="18"/>
      <c r="H271" s="18"/>
      <c r="I271" s="25"/>
      <c r="J271" s="18"/>
      <c r="K271" s="18"/>
      <c r="L271" s="18"/>
      <c r="M271" s="39"/>
      <c r="N271" s="18"/>
      <c r="O271" s="18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>
      <c r="A272" s="1"/>
      <c r="B272" s="1"/>
      <c r="C272" s="18"/>
      <c r="D272" s="47"/>
      <c r="E272" s="18"/>
      <c r="F272" s="18"/>
      <c r="G272" s="18"/>
      <c r="H272" s="18"/>
      <c r="I272" s="25"/>
      <c r="J272" s="18"/>
      <c r="K272" s="18"/>
      <c r="L272" s="18"/>
      <c r="M272" s="39"/>
      <c r="N272" s="18"/>
      <c r="O272" s="18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>
      <c r="A273" s="1"/>
      <c r="B273" s="1"/>
      <c r="C273" s="18"/>
      <c r="D273" s="47"/>
      <c r="E273" s="18"/>
      <c r="F273" s="18"/>
      <c r="G273" s="18"/>
      <c r="H273" s="18"/>
      <c r="I273" s="25"/>
      <c r="J273" s="18"/>
      <c r="K273" s="18"/>
      <c r="L273" s="18"/>
      <c r="M273" s="39"/>
      <c r="N273" s="18"/>
      <c r="O273" s="18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>
      <c r="A274" s="1"/>
      <c r="B274" s="1"/>
      <c r="C274" s="18"/>
      <c r="D274" s="47"/>
      <c r="E274" s="18"/>
      <c r="F274" s="18"/>
      <c r="G274" s="18"/>
      <c r="H274" s="18"/>
      <c r="I274" s="25"/>
      <c r="J274" s="18"/>
      <c r="K274" s="18"/>
      <c r="L274" s="18"/>
      <c r="M274" s="39"/>
      <c r="N274" s="18"/>
      <c r="O274" s="18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>
      <c r="A275" s="1"/>
      <c r="B275" s="1"/>
      <c r="C275" s="18"/>
      <c r="D275" s="47"/>
      <c r="E275" s="18"/>
      <c r="F275" s="18"/>
      <c r="G275" s="18"/>
      <c r="H275" s="18"/>
      <c r="I275" s="25"/>
      <c r="J275" s="18"/>
      <c r="K275" s="18"/>
      <c r="L275" s="18"/>
      <c r="M275" s="39"/>
      <c r="N275" s="18"/>
      <c r="O275" s="18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>
      <c r="A276" s="1"/>
      <c r="B276" s="1"/>
      <c r="C276" s="18"/>
      <c r="D276" s="47"/>
      <c r="E276" s="18"/>
      <c r="F276" s="18"/>
      <c r="G276" s="18"/>
      <c r="H276" s="18"/>
      <c r="I276" s="25"/>
      <c r="J276" s="18"/>
      <c r="K276" s="18"/>
      <c r="L276" s="18"/>
      <c r="M276" s="39"/>
      <c r="N276" s="18"/>
      <c r="O276" s="18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>
      <c r="A277" s="1"/>
      <c r="B277" s="1"/>
      <c r="C277" s="18"/>
      <c r="D277" s="47"/>
      <c r="E277" s="18"/>
      <c r="F277" s="18"/>
      <c r="G277" s="18"/>
      <c r="H277" s="18"/>
      <c r="I277" s="25"/>
      <c r="J277" s="18"/>
      <c r="K277" s="18"/>
      <c r="L277" s="18"/>
      <c r="M277" s="39"/>
      <c r="N277" s="18"/>
      <c r="O277" s="18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>
      <c r="A278" s="1"/>
      <c r="B278" s="1"/>
      <c r="C278" s="18"/>
      <c r="D278" s="47"/>
      <c r="E278" s="18"/>
      <c r="F278" s="18"/>
      <c r="G278" s="18"/>
      <c r="H278" s="18"/>
      <c r="I278" s="25"/>
      <c r="J278" s="18"/>
      <c r="K278" s="18"/>
      <c r="L278" s="18"/>
      <c r="M278" s="39"/>
      <c r="N278" s="18"/>
      <c r="O278" s="18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>
      <c r="A279" s="1"/>
      <c r="B279" s="1"/>
      <c r="C279" s="18"/>
      <c r="D279" s="47"/>
      <c r="E279" s="18"/>
      <c r="F279" s="18"/>
      <c r="G279" s="18"/>
      <c r="H279" s="18"/>
      <c r="I279" s="25"/>
      <c r="J279" s="18"/>
      <c r="K279" s="18"/>
      <c r="L279" s="18"/>
      <c r="M279" s="39"/>
      <c r="N279" s="18"/>
      <c r="O279" s="18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>
      <c r="A280" s="1"/>
      <c r="B280" s="1"/>
      <c r="C280" s="18"/>
      <c r="D280" s="47"/>
      <c r="E280" s="18"/>
      <c r="F280" s="18"/>
      <c r="G280" s="18"/>
      <c r="H280" s="18"/>
      <c r="I280" s="25"/>
      <c r="J280" s="18"/>
      <c r="K280" s="18"/>
      <c r="L280" s="18"/>
      <c r="M280" s="39"/>
      <c r="N280" s="18"/>
      <c r="O280" s="18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>
      <c r="A281" s="1"/>
      <c r="B281" s="1"/>
      <c r="C281" s="18"/>
      <c r="D281" s="47"/>
      <c r="E281" s="18"/>
      <c r="F281" s="18"/>
      <c r="G281" s="18"/>
      <c r="H281" s="18"/>
      <c r="I281" s="25"/>
      <c r="J281" s="18"/>
      <c r="K281" s="18"/>
      <c r="L281" s="18"/>
      <c r="M281" s="39"/>
      <c r="N281" s="18"/>
      <c r="O281" s="18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>
      <c r="A282" s="1"/>
      <c r="B282" s="1"/>
      <c r="C282" s="18"/>
      <c r="D282" s="47"/>
      <c r="E282" s="18"/>
      <c r="F282" s="18"/>
      <c r="G282" s="18"/>
      <c r="H282" s="18"/>
      <c r="I282" s="25"/>
      <c r="J282" s="18"/>
      <c r="K282" s="18"/>
      <c r="L282" s="18"/>
      <c r="M282" s="39"/>
      <c r="N282" s="18"/>
      <c r="O282" s="18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>
      <c r="A283" s="1"/>
      <c r="B283" s="1"/>
      <c r="C283" s="18"/>
      <c r="D283" s="47"/>
      <c r="E283" s="18"/>
      <c r="F283" s="18"/>
      <c r="G283" s="18"/>
      <c r="H283" s="18"/>
      <c r="I283" s="25"/>
      <c r="J283" s="18"/>
      <c r="K283" s="18"/>
      <c r="L283" s="18"/>
      <c r="M283" s="39"/>
      <c r="N283" s="18"/>
      <c r="O283" s="18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>
      <c r="A284" s="1"/>
      <c r="B284" s="1"/>
      <c r="C284" s="18"/>
      <c r="D284" s="47"/>
      <c r="E284" s="18"/>
      <c r="F284" s="18"/>
      <c r="G284" s="18"/>
      <c r="H284" s="18"/>
      <c r="I284" s="25"/>
      <c r="J284" s="18"/>
      <c r="K284" s="18"/>
      <c r="L284" s="18"/>
      <c r="M284" s="39"/>
      <c r="N284" s="18"/>
      <c r="O284" s="18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>
      <c r="A285" s="1"/>
      <c r="B285" s="1"/>
      <c r="C285" s="18"/>
      <c r="D285" s="47"/>
      <c r="E285" s="18"/>
      <c r="F285" s="18"/>
      <c r="G285" s="18"/>
      <c r="H285" s="18"/>
      <c r="I285" s="25"/>
      <c r="J285" s="18"/>
      <c r="K285" s="18"/>
      <c r="L285" s="18"/>
      <c r="M285" s="39"/>
      <c r="N285" s="18"/>
      <c r="O285" s="18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>
      <c r="A286" s="1"/>
      <c r="B286" s="1"/>
      <c r="C286" s="18"/>
      <c r="D286" s="47"/>
      <c r="E286" s="18"/>
      <c r="F286" s="18"/>
      <c r="G286" s="18"/>
      <c r="H286" s="18"/>
      <c r="I286" s="25"/>
      <c r="J286" s="18"/>
      <c r="K286" s="18"/>
      <c r="L286" s="18"/>
      <c r="M286" s="39"/>
      <c r="N286" s="18"/>
      <c r="O286" s="18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>
      <c r="A287" s="1"/>
      <c r="B287" s="1"/>
      <c r="C287" s="18"/>
      <c r="D287" s="47"/>
      <c r="E287" s="18"/>
      <c r="F287" s="18"/>
      <c r="G287" s="18"/>
      <c r="H287" s="18"/>
      <c r="I287" s="25"/>
      <c r="J287" s="18"/>
      <c r="K287" s="18"/>
      <c r="L287" s="18"/>
      <c r="M287" s="39"/>
      <c r="N287" s="18"/>
      <c r="O287" s="18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>
      <c r="A288" s="1"/>
      <c r="B288" s="1"/>
      <c r="C288" s="18"/>
      <c r="D288" s="47"/>
      <c r="E288" s="18"/>
      <c r="F288" s="18"/>
      <c r="G288" s="18"/>
      <c r="H288" s="18"/>
      <c r="I288" s="25"/>
      <c r="J288" s="18"/>
      <c r="K288" s="18"/>
      <c r="L288" s="18"/>
      <c r="M288" s="39"/>
      <c r="N288" s="18"/>
      <c r="O288" s="18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>
      <c r="A289" s="1"/>
      <c r="B289" s="1"/>
      <c r="C289" s="18"/>
      <c r="D289" s="47"/>
      <c r="E289" s="18"/>
      <c r="F289" s="18"/>
      <c r="G289" s="18"/>
      <c r="H289" s="18"/>
      <c r="I289" s="25"/>
      <c r="J289" s="18"/>
      <c r="K289" s="18"/>
      <c r="L289" s="18"/>
      <c r="M289" s="39"/>
      <c r="N289" s="18"/>
      <c r="O289" s="18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>
      <c r="A290" s="1"/>
      <c r="B290" s="1"/>
      <c r="C290" s="18"/>
      <c r="D290" s="47"/>
      <c r="E290" s="18"/>
      <c r="F290" s="18"/>
      <c r="G290" s="18"/>
      <c r="H290" s="18"/>
      <c r="I290" s="25"/>
      <c r="J290" s="18"/>
      <c r="K290" s="18"/>
      <c r="L290" s="18"/>
      <c r="M290" s="39"/>
      <c r="N290" s="18"/>
      <c r="O290" s="18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>
      <c r="A291" s="1"/>
      <c r="B291" s="1"/>
      <c r="C291" s="18"/>
      <c r="D291" s="47"/>
      <c r="E291" s="18"/>
      <c r="F291" s="18"/>
      <c r="G291" s="18"/>
      <c r="H291" s="18"/>
      <c r="I291" s="25"/>
      <c r="J291" s="18"/>
      <c r="K291" s="18"/>
      <c r="L291" s="18"/>
      <c r="M291" s="39"/>
      <c r="N291" s="18"/>
      <c r="O291" s="18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>
      <c r="A292" s="1"/>
      <c r="B292" s="1"/>
      <c r="C292" s="18"/>
      <c r="D292" s="47"/>
      <c r="E292" s="18"/>
      <c r="F292" s="18"/>
      <c r="G292" s="18"/>
      <c r="H292" s="18"/>
      <c r="I292" s="25"/>
      <c r="J292" s="18"/>
      <c r="K292" s="18"/>
      <c r="L292" s="18"/>
      <c r="M292" s="39"/>
      <c r="N292" s="18"/>
      <c r="O292" s="18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>
      <c r="A293" s="1"/>
      <c r="B293" s="1"/>
      <c r="C293" s="18"/>
      <c r="D293" s="47"/>
      <c r="E293" s="18"/>
      <c r="F293" s="18"/>
      <c r="G293" s="18"/>
      <c r="H293" s="18"/>
      <c r="I293" s="25"/>
      <c r="J293" s="18"/>
      <c r="K293" s="18"/>
      <c r="L293" s="18"/>
      <c r="M293" s="39"/>
      <c r="N293" s="18"/>
      <c r="O293" s="18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>
      <c r="A294" s="1"/>
      <c r="B294" s="1"/>
      <c r="C294" s="18"/>
      <c r="D294" s="47"/>
      <c r="E294" s="18"/>
      <c r="F294" s="18"/>
      <c r="G294" s="18"/>
      <c r="H294" s="18"/>
      <c r="I294" s="25"/>
      <c r="J294" s="18"/>
      <c r="K294" s="18"/>
      <c r="L294" s="18"/>
      <c r="M294" s="39"/>
      <c r="N294" s="18"/>
      <c r="O294" s="18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>
      <c r="A295" s="1"/>
      <c r="B295" s="1"/>
      <c r="C295" s="18"/>
      <c r="D295" s="47"/>
      <c r="E295" s="18"/>
      <c r="F295" s="18"/>
      <c r="G295" s="18"/>
      <c r="H295" s="18"/>
      <c r="I295" s="25"/>
      <c r="J295" s="18"/>
      <c r="K295" s="18"/>
      <c r="L295" s="18"/>
      <c r="M295" s="39"/>
      <c r="N295" s="18"/>
      <c r="O295" s="18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>
      <c r="A296" s="1"/>
      <c r="B296" s="1"/>
      <c r="C296" s="18"/>
      <c r="D296" s="47"/>
      <c r="E296" s="18"/>
      <c r="F296" s="18"/>
      <c r="G296" s="18"/>
      <c r="H296" s="18"/>
      <c r="I296" s="25"/>
      <c r="J296" s="18"/>
      <c r="K296" s="18"/>
      <c r="L296" s="18"/>
      <c r="M296" s="39"/>
      <c r="N296" s="18"/>
      <c r="O296" s="18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>
      <c r="A297" s="1"/>
      <c r="B297" s="1"/>
      <c r="C297" s="18"/>
      <c r="D297" s="47"/>
      <c r="E297" s="18"/>
      <c r="F297" s="18"/>
      <c r="G297" s="18"/>
      <c r="H297" s="18"/>
      <c r="I297" s="25"/>
      <c r="J297" s="18"/>
      <c r="K297" s="18"/>
      <c r="L297" s="18"/>
      <c r="M297" s="39"/>
      <c r="N297" s="18"/>
      <c r="O297" s="18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>
      <c r="A298" s="1"/>
      <c r="B298" s="1"/>
      <c r="C298" s="18"/>
      <c r="D298" s="47"/>
      <c r="E298" s="18"/>
      <c r="F298" s="18"/>
      <c r="G298" s="18"/>
      <c r="H298" s="18"/>
      <c r="I298" s="25"/>
      <c r="J298" s="18"/>
      <c r="K298" s="18"/>
      <c r="L298" s="18"/>
      <c r="M298" s="39"/>
      <c r="N298" s="18"/>
      <c r="O298" s="18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>
      <c r="A299" s="1"/>
      <c r="B299" s="1"/>
      <c r="C299" s="18"/>
      <c r="D299" s="47"/>
      <c r="E299" s="18"/>
      <c r="F299" s="18"/>
      <c r="G299" s="18"/>
      <c r="H299" s="18"/>
      <c r="I299" s="25"/>
      <c r="J299" s="18"/>
      <c r="K299" s="18"/>
      <c r="L299" s="18"/>
      <c r="M299" s="39"/>
      <c r="N299" s="18"/>
      <c r="O299" s="18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>
      <c r="A300" s="1"/>
      <c r="B300" s="1"/>
      <c r="C300" s="18"/>
      <c r="D300" s="47"/>
      <c r="E300" s="18"/>
      <c r="F300" s="18"/>
      <c r="G300" s="18"/>
      <c r="H300" s="18"/>
      <c r="I300" s="25"/>
      <c r="J300" s="18"/>
      <c r="K300" s="18"/>
      <c r="L300" s="18"/>
      <c r="M300" s="39"/>
      <c r="N300" s="18"/>
      <c r="O300" s="18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>
      <c r="A301" s="1"/>
      <c r="B301" s="1"/>
      <c r="C301" s="18"/>
      <c r="D301" s="47"/>
      <c r="E301" s="18"/>
      <c r="F301" s="18"/>
      <c r="G301" s="18"/>
      <c r="H301" s="18"/>
      <c r="I301" s="25"/>
      <c r="J301" s="18"/>
      <c r="K301" s="18"/>
      <c r="L301" s="18"/>
      <c r="M301" s="39"/>
      <c r="N301" s="18"/>
      <c r="O301" s="18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>
      <c r="A302" s="1"/>
      <c r="B302" s="1"/>
      <c r="C302" s="18"/>
      <c r="D302" s="47"/>
      <c r="E302" s="18"/>
      <c r="F302" s="18"/>
      <c r="G302" s="18"/>
      <c r="H302" s="18"/>
      <c r="I302" s="25"/>
      <c r="J302" s="18"/>
      <c r="K302" s="18"/>
      <c r="L302" s="18"/>
      <c r="M302" s="39"/>
      <c r="N302" s="18"/>
      <c r="O302" s="18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>
      <c r="A303" s="1"/>
      <c r="B303" s="1"/>
      <c r="C303" s="18"/>
      <c r="D303" s="47"/>
      <c r="E303" s="18"/>
      <c r="F303" s="18"/>
      <c r="G303" s="18"/>
      <c r="H303" s="18"/>
      <c r="I303" s="25"/>
      <c r="J303" s="18"/>
      <c r="K303" s="18"/>
      <c r="L303" s="18"/>
      <c r="M303" s="39"/>
      <c r="N303" s="18"/>
      <c r="O303" s="18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>
      <c r="A304" s="1"/>
      <c r="B304" s="1"/>
      <c r="C304" s="18"/>
      <c r="D304" s="47"/>
      <c r="E304" s="18"/>
      <c r="F304" s="18"/>
      <c r="G304" s="18"/>
      <c r="H304" s="18"/>
      <c r="I304" s="25"/>
      <c r="J304" s="18"/>
      <c r="K304" s="18"/>
      <c r="L304" s="18"/>
      <c r="M304" s="39"/>
      <c r="N304" s="18"/>
      <c r="O304" s="18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>
      <c r="A305" s="1"/>
      <c r="B305" s="1"/>
      <c r="C305" s="18"/>
      <c r="D305" s="47"/>
      <c r="E305" s="18"/>
      <c r="F305" s="18"/>
      <c r="G305" s="18"/>
      <c r="H305" s="18"/>
      <c r="I305" s="25"/>
      <c r="J305" s="18"/>
      <c r="K305" s="18"/>
      <c r="L305" s="18"/>
      <c r="M305" s="39"/>
      <c r="N305" s="18"/>
      <c r="O305" s="18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>
      <c r="A306" s="1"/>
      <c r="B306" s="1"/>
      <c r="C306" s="18"/>
      <c r="D306" s="47"/>
      <c r="E306" s="18"/>
      <c r="F306" s="18"/>
      <c r="G306" s="18"/>
      <c r="H306" s="18"/>
      <c r="I306" s="25"/>
      <c r="J306" s="18"/>
      <c r="K306" s="18"/>
      <c r="L306" s="18"/>
      <c r="M306" s="39"/>
      <c r="N306" s="18"/>
      <c r="O306" s="18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>
      <c r="A307" s="1"/>
      <c r="B307" s="1"/>
      <c r="C307" s="18"/>
      <c r="D307" s="47"/>
      <c r="E307" s="18"/>
      <c r="F307" s="18"/>
      <c r="G307" s="18"/>
      <c r="H307" s="18"/>
      <c r="I307" s="25"/>
      <c r="J307" s="18"/>
      <c r="K307" s="18"/>
      <c r="L307" s="18"/>
      <c r="M307" s="39"/>
      <c r="N307" s="18"/>
      <c r="O307" s="18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>
      <c r="A308" s="1"/>
      <c r="B308" s="1"/>
      <c r="C308" s="18"/>
      <c r="D308" s="47"/>
      <c r="E308" s="18"/>
      <c r="F308" s="18"/>
      <c r="G308" s="18"/>
      <c r="H308" s="18"/>
      <c r="I308" s="25"/>
      <c r="J308" s="18"/>
      <c r="K308" s="18"/>
      <c r="L308" s="18"/>
      <c r="M308" s="39"/>
      <c r="N308" s="18"/>
      <c r="O308" s="18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>
      <c r="A309" s="1"/>
      <c r="B309" s="1"/>
      <c r="C309" s="18"/>
      <c r="D309" s="47"/>
      <c r="E309" s="18"/>
      <c r="F309" s="18"/>
      <c r="G309" s="18"/>
      <c r="H309" s="18"/>
      <c r="I309" s="25"/>
      <c r="J309" s="18"/>
      <c r="K309" s="18"/>
      <c r="L309" s="18"/>
      <c r="M309" s="39"/>
      <c r="N309" s="18"/>
      <c r="O309" s="18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>
      <c r="A310" s="1"/>
      <c r="B310" s="1"/>
      <c r="C310" s="18"/>
      <c r="D310" s="47"/>
      <c r="E310" s="18"/>
      <c r="F310" s="18"/>
      <c r="G310" s="18"/>
      <c r="H310" s="18"/>
      <c r="I310" s="25"/>
      <c r="J310" s="18"/>
      <c r="K310" s="18"/>
      <c r="L310" s="18"/>
      <c r="M310" s="39"/>
      <c r="N310" s="18"/>
      <c r="O310" s="18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>
      <c r="A311" s="1"/>
      <c r="B311" s="1"/>
      <c r="C311" s="18"/>
      <c r="D311" s="47"/>
      <c r="E311" s="18"/>
      <c r="F311" s="18"/>
      <c r="G311" s="18"/>
      <c r="H311" s="18"/>
      <c r="I311" s="25"/>
      <c r="J311" s="18"/>
      <c r="K311" s="18"/>
      <c r="L311" s="18"/>
      <c r="M311" s="39"/>
      <c r="N311" s="18"/>
      <c r="O311" s="18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>
      <c r="A312" s="1"/>
      <c r="B312" s="1"/>
      <c r="C312" s="18"/>
      <c r="D312" s="47"/>
      <c r="E312" s="18"/>
      <c r="F312" s="18"/>
      <c r="G312" s="18"/>
      <c r="H312" s="18"/>
      <c r="I312" s="25"/>
      <c r="J312" s="18"/>
      <c r="K312" s="18"/>
      <c r="L312" s="18"/>
      <c r="M312" s="39"/>
      <c r="N312" s="18"/>
      <c r="O312" s="18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>
      <c r="A313" s="1"/>
      <c r="B313" s="1"/>
      <c r="C313" s="18"/>
      <c r="D313" s="47"/>
      <c r="E313" s="18"/>
      <c r="F313" s="18"/>
      <c r="G313" s="18"/>
      <c r="H313" s="18"/>
      <c r="I313" s="25"/>
      <c r="J313" s="18"/>
      <c r="K313" s="18"/>
      <c r="L313" s="18"/>
      <c r="M313" s="39"/>
      <c r="N313" s="18"/>
      <c r="O313" s="18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>
      <c r="A314" s="1"/>
      <c r="B314" s="1"/>
      <c r="C314" s="18"/>
      <c r="D314" s="47"/>
      <c r="E314" s="18"/>
      <c r="F314" s="18"/>
      <c r="G314" s="18"/>
      <c r="H314" s="18"/>
      <c r="I314" s="25"/>
      <c r="J314" s="18"/>
      <c r="K314" s="18"/>
      <c r="L314" s="18"/>
      <c r="M314" s="39"/>
      <c r="N314" s="18"/>
      <c r="O314" s="18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>
      <c r="A315" s="1"/>
      <c r="B315" s="1"/>
      <c r="C315" s="18"/>
      <c r="D315" s="47"/>
      <c r="E315" s="18"/>
      <c r="F315" s="18"/>
      <c r="G315" s="18"/>
      <c r="H315" s="18"/>
      <c r="I315" s="25"/>
      <c r="J315" s="18"/>
      <c r="K315" s="18"/>
      <c r="L315" s="18"/>
      <c r="M315" s="39"/>
      <c r="N315" s="18"/>
      <c r="O315" s="18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>
      <c r="A316" s="1"/>
      <c r="B316" s="1"/>
      <c r="C316" s="18"/>
      <c r="D316" s="47"/>
      <c r="E316" s="18"/>
      <c r="F316" s="18"/>
      <c r="G316" s="18"/>
      <c r="H316" s="18"/>
      <c r="I316" s="25"/>
      <c r="J316" s="18"/>
      <c r="K316" s="18"/>
      <c r="L316" s="18"/>
      <c r="M316" s="39"/>
      <c r="N316" s="18"/>
      <c r="O316" s="18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>
      <c r="A317" s="1"/>
      <c r="B317" s="1"/>
      <c r="C317" s="18"/>
      <c r="D317" s="47"/>
      <c r="E317" s="18"/>
      <c r="F317" s="18"/>
      <c r="G317" s="18"/>
      <c r="H317" s="18"/>
      <c r="I317" s="25"/>
      <c r="J317" s="18"/>
      <c r="K317" s="18"/>
      <c r="L317" s="18"/>
      <c r="M317" s="39"/>
      <c r="N317" s="18"/>
      <c r="O317" s="18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>
      <c r="A318" s="1"/>
      <c r="B318" s="1"/>
      <c r="C318" s="18"/>
      <c r="D318" s="47"/>
      <c r="E318" s="18"/>
      <c r="F318" s="18"/>
      <c r="G318" s="18"/>
      <c r="H318" s="18"/>
      <c r="I318" s="25"/>
      <c r="J318" s="18"/>
      <c r="K318" s="18"/>
      <c r="L318" s="18"/>
      <c r="M318" s="39"/>
      <c r="N318" s="18"/>
      <c r="O318" s="18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>
      <c r="A319" s="1"/>
      <c r="B319" s="1"/>
      <c r="C319" s="18"/>
      <c r="D319" s="47"/>
      <c r="E319" s="18"/>
      <c r="F319" s="18"/>
      <c r="G319" s="18"/>
      <c r="H319" s="18"/>
      <c r="I319" s="25"/>
      <c r="J319" s="18"/>
      <c r="K319" s="18"/>
      <c r="L319" s="18"/>
      <c r="M319" s="39"/>
      <c r="N319" s="18"/>
      <c r="O319" s="18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>
      <c r="A320" s="1"/>
      <c r="B320" s="1"/>
      <c r="C320" s="18"/>
      <c r="D320" s="47"/>
      <c r="E320" s="18"/>
      <c r="F320" s="18"/>
      <c r="G320" s="18"/>
      <c r="H320" s="18"/>
      <c r="I320" s="25"/>
      <c r="J320" s="18"/>
      <c r="K320" s="18"/>
      <c r="L320" s="18"/>
      <c r="M320" s="39"/>
      <c r="N320" s="18"/>
      <c r="O320" s="18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>
      <c r="A321" s="1"/>
      <c r="B321" s="1"/>
      <c r="C321" s="18"/>
      <c r="D321" s="47"/>
      <c r="E321" s="18"/>
      <c r="F321" s="18"/>
      <c r="G321" s="18"/>
      <c r="H321" s="18"/>
      <c r="I321" s="25"/>
      <c r="J321" s="18"/>
      <c r="K321" s="18"/>
      <c r="L321" s="18"/>
      <c r="M321" s="39"/>
      <c r="N321" s="18"/>
      <c r="O321" s="18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>
      <c r="A322" s="1"/>
      <c r="B322" s="1"/>
      <c r="C322" s="18"/>
      <c r="D322" s="47"/>
      <c r="E322" s="18"/>
      <c r="F322" s="18"/>
      <c r="G322" s="18"/>
      <c r="H322" s="18"/>
      <c r="I322" s="25"/>
      <c r="J322" s="18"/>
      <c r="K322" s="18"/>
      <c r="L322" s="18"/>
      <c r="M322" s="39"/>
      <c r="N322" s="18"/>
      <c r="O322" s="18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>
      <c r="A323" s="1"/>
      <c r="B323" s="1"/>
      <c r="C323" s="18"/>
      <c r="D323" s="47"/>
      <c r="E323" s="18"/>
      <c r="F323" s="18"/>
      <c r="G323" s="18"/>
      <c r="H323" s="18"/>
      <c r="I323" s="25"/>
      <c r="J323" s="18"/>
      <c r="K323" s="18"/>
      <c r="L323" s="18"/>
      <c r="M323" s="39"/>
      <c r="N323" s="18"/>
      <c r="O323" s="18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>
      <c r="A324" s="1"/>
      <c r="B324" s="1"/>
      <c r="C324" s="18"/>
      <c r="D324" s="47"/>
      <c r="E324" s="18"/>
      <c r="F324" s="18"/>
      <c r="G324" s="18"/>
      <c r="H324" s="18"/>
      <c r="I324" s="25"/>
      <c r="J324" s="18"/>
      <c r="K324" s="18"/>
      <c r="L324" s="18"/>
      <c r="M324" s="39"/>
      <c r="N324" s="18"/>
      <c r="O324" s="18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>
      <c r="A325" s="1"/>
      <c r="B325" s="1"/>
      <c r="C325" s="18"/>
      <c r="D325" s="47"/>
      <c r="E325" s="18"/>
      <c r="F325" s="18"/>
      <c r="G325" s="18"/>
      <c r="H325" s="18"/>
      <c r="I325" s="25"/>
      <c r="J325" s="18"/>
      <c r="K325" s="18"/>
      <c r="L325" s="18"/>
      <c r="M325" s="39"/>
      <c r="N325" s="18"/>
      <c r="O325" s="18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>
      <c r="A326" s="1"/>
      <c r="B326" s="1"/>
      <c r="C326" s="18"/>
      <c r="D326" s="47"/>
      <c r="E326" s="18"/>
      <c r="F326" s="18"/>
      <c r="G326" s="18"/>
      <c r="H326" s="18"/>
      <c r="I326" s="25"/>
      <c r="J326" s="18"/>
      <c r="K326" s="18"/>
      <c r="L326" s="18"/>
      <c r="M326" s="39"/>
      <c r="N326" s="18"/>
      <c r="O326" s="18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>
      <c r="A327" s="1"/>
      <c r="B327" s="1"/>
      <c r="C327" s="18"/>
      <c r="D327" s="47"/>
      <c r="E327" s="18"/>
      <c r="F327" s="18"/>
      <c r="G327" s="18"/>
      <c r="H327" s="18"/>
      <c r="I327" s="25"/>
      <c r="J327" s="18"/>
      <c r="K327" s="18"/>
      <c r="L327" s="18"/>
      <c r="M327" s="39"/>
      <c r="N327" s="18"/>
      <c r="O327" s="18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>
      <c r="A328" s="1"/>
      <c r="B328" s="1"/>
      <c r="C328" s="18"/>
      <c r="D328" s="47"/>
      <c r="E328" s="18"/>
      <c r="F328" s="18"/>
      <c r="G328" s="18"/>
      <c r="H328" s="18"/>
      <c r="I328" s="25"/>
      <c r="J328" s="18"/>
      <c r="K328" s="18"/>
      <c r="L328" s="18"/>
      <c r="M328" s="39"/>
      <c r="N328" s="18"/>
      <c r="O328" s="18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>
      <c r="A329" s="1"/>
      <c r="B329" s="1"/>
      <c r="C329" s="18"/>
      <c r="D329" s="47"/>
      <c r="E329" s="18"/>
      <c r="F329" s="18"/>
      <c r="G329" s="18"/>
      <c r="H329" s="18"/>
      <c r="I329" s="25"/>
      <c r="J329" s="18"/>
      <c r="K329" s="18"/>
      <c r="L329" s="18"/>
      <c r="M329" s="39"/>
      <c r="N329" s="18"/>
      <c r="O329" s="18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>
      <c r="A330" s="1"/>
      <c r="B330" s="1"/>
      <c r="C330" s="18"/>
      <c r="D330" s="47"/>
      <c r="E330" s="18"/>
      <c r="F330" s="18"/>
      <c r="G330" s="18"/>
      <c r="H330" s="18"/>
      <c r="I330" s="25"/>
      <c r="J330" s="18"/>
      <c r="K330" s="18"/>
      <c r="L330" s="18"/>
      <c r="M330" s="39"/>
      <c r="N330" s="18"/>
      <c r="O330" s="18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>
      <c r="A331" s="1"/>
      <c r="B331" s="1"/>
      <c r="C331" s="18"/>
      <c r="D331" s="47"/>
      <c r="E331" s="18"/>
      <c r="F331" s="18"/>
      <c r="G331" s="18"/>
      <c r="H331" s="18"/>
      <c r="I331" s="25"/>
      <c r="J331" s="18"/>
      <c r="K331" s="18"/>
      <c r="L331" s="18"/>
      <c r="M331" s="39"/>
      <c r="N331" s="18"/>
      <c r="O331" s="18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>
      <c r="A332" s="1"/>
      <c r="B332" s="1"/>
      <c r="C332" s="18"/>
      <c r="D332" s="47"/>
      <c r="E332" s="18"/>
      <c r="F332" s="18"/>
      <c r="G332" s="18"/>
      <c r="H332" s="18"/>
      <c r="I332" s="25"/>
      <c r="J332" s="18"/>
      <c r="K332" s="18"/>
      <c r="L332" s="18"/>
      <c r="M332" s="39"/>
      <c r="N332" s="18"/>
      <c r="O332" s="18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>
      <c r="A333" s="1"/>
      <c r="B333" s="1"/>
      <c r="C333" s="18"/>
      <c r="D333" s="47"/>
      <c r="E333" s="18"/>
      <c r="F333" s="18"/>
      <c r="G333" s="18"/>
      <c r="H333" s="18"/>
      <c r="I333" s="25"/>
      <c r="J333" s="18"/>
      <c r="K333" s="18"/>
      <c r="L333" s="18"/>
      <c r="M333" s="39"/>
      <c r="N333" s="18"/>
      <c r="O333" s="18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>
      <c r="A334" s="1"/>
      <c r="B334" s="1"/>
      <c r="C334" s="18"/>
      <c r="D334" s="47"/>
      <c r="E334" s="18"/>
      <c r="F334" s="18"/>
      <c r="G334" s="18"/>
      <c r="H334" s="18"/>
      <c r="I334" s="25"/>
      <c r="J334" s="18"/>
      <c r="K334" s="18"/>
      <c r="L334" s="18"/>
      <c r="M334" s="39"/>
      <c r="N334" s="18"/>
      <c r="O334" s="18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>
      <c r="A335" s="1"/>
      <c r="B335" s="1"/>
      <c r="C335" s="18"/>
      <c r="D335" s="47"/>
      <c r="E335" s="18"/>
      <c r="F335" s="18"/>
      <c r="G335" s="18"/>
      <c r="H335" s="18"/>
      <c r="I335" s="25"/>
      <c r="J335" s="18"/>
      <c r="K335" s="18"/>
      <c r="L335" s="18"/>
      <c r="M335" s="39"/>
      <c r="N335" s="18"/>
      <c r="O335" s="18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>
      <c r="A336" s="1"/>
      <c r="B336" s="1"/>
      <c r="C336" s="18"/>
      <c r="D336" s="47"/>
      <c r="E336" s="18"/>
      <c r="F336" s="18"/>
      <c r="G336" s="18"/>
      <c r="H336" s="18"/>
      <c r="I336" s="25"/>
      <c r="J336" s="18"/>
      <c r="K336" s="18"/>
      <c r="L336" s="18"/>
      <c r="M336" s="39"/>
      <c r="N336" s="18"/>
      <c r="O336" s="18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>
      <c r="A337" s="1"/>
      <c r="B337" s="1"/>
      <c r="C337" s="18"/>
      <c r="D337" s="47"/>
      <c r="E337" s="18"/>
      <c r="F337" s="18"/>
      <c r="G337" s="18"/>
      <c r="H337" s="18"/>
      <c r="I337" s="25"/>
      <c r="J337" s="18"/>
      <c r="K337" s="18"/>
      <c r="L337" s="18"/>
      <c r="M337" s="39"/>
      <c r="N337" s="18"/>
      <c r="O337" s="18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>
      <c r="A338" s="1"/>
      <c r="B338" s="1"/>
      <c r="C338" s="18"/>
      <c r="D338" s="47"/>
      <c r="E338" s="18"/>
      <c r="F338" s="18"/>
      <c r="G338" s="18"/>
      <c r="H338" s="18"/>
      <c r="I338" s="25"/>
      <c r="J338" s="18"/>
      <c r="K338" s="18"/>
      <c r="L338" s="18"/>
      <c r="M338" s="39"/>
      <c r="N338" s="18"/>
      <c r="O338" s="18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>
      <c r="A339" s="1"/>
      <c r="B339" s="1"/>
      <c r="C339" s="18"/>
      <c r="D339" s="47"/>
      <c r="E339" s="18"/>
      <c r="F339" s="18"/>
      <c r="G339" s="18"/>
      <c r="H339" s="18"/>
      <c r="I339" s="25"/>
      <c r="J339" s="18"/>
      <c r="K339" s="18"/>
      <c r="L339" s="18"/>
      <c r="M339" s="39"/>
      <c r="N339" s="18"/>
      <c r="O339" s="18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>
      <c r="A340" s="1"/>
      <c r="B340" s="1"/>
      <c r="C340" s="18"/>
      <c r="D340" s="47"/>
      <c r="E340" s="18"/>
      <c r="F340" s="18"/>
      <c r="G340" s="18"/>
      <c r="H340" s="18"/>
      <c r="I340" s="25"/>
      <c r="J340" s="18"/>
      <c r="K340" s="18"/>
      <c r="L340" s="18"/>
      <c r="M340" s="39"/>
      <c r="N340" s="18"/>
      <c r="O340" s="18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>
      <c r="A341" s="1"/>
      <c r="B341" s="1"/>
      <c r="C341" s="18"/>
      <c r="D341" s="47"/>
      <c r="E341" s="18"/>
      <c r="F341" s="18"/>
      <c r="G341" s="18"/>
      <c r="H341" s="18"/>
      <c r="I341" s="25"/>
      <c r="J341" s="18"/>
      <c r="K341" s="18"/>
      <c r="L341" s="18"/>
      <c r="M341" s="39"/>
      <c r="N341" s="18"/>
      <c r="O341" s="18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>
      <c r="A342" s="1"/>
      <c r="B342" s="1"/>
      <c r="C342" s="18"/>
      <c r="D342" s="47"/>
      <c r="E342" s="18"/>
      <c r="F342" s="18"/>
      <c r="G342" s="18"/>
      <c r="H342" s="18"/>
      <c r="I342" s="25"/>
      <c r="J342" s="18"/>
      <c r="K342" s="18"/>
      <c r="L342" s="18"/>
      <c r="M342" s="39"/>
      <c r="N342" s="18"/>
      <c r="O342" s="18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>
      <c r="A343" s="1"/>
      <c r="B343" s="1"/>
      <c r="C343" s="18"/>
      <c r="D343" s="47"/>
      <c r="E343" s="18"/>
      <c r="F343" s="18"/>
      <c r="G343" s="18"/>
      <c r="H343" s="18"/>
      <c r="I343" s="25"/>
      <c r="J343" s="18"/>
      <c r="K343" s="18"/>
      <c r="L343" s="18"/>
      <c r="M343" s="39"/>
      <c r="N343" s="18"/>
      <c r="O343" s="18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>
      <c r="A344" s="1"/>
      <c r="B344" s="1"/>
      <c r="C344" s="18"/>
      <c r="D344" s="47"/>
      <c r="E344" s="18"/>
      <c r="F344" s="18"/>
      <c r="G344" s="18"/>
      <c r="H344" s="18"/>
      <c r="I344" s="25"/>
      <c r="J344" s="18"/>
      <c r="K344" s="18"/>
      <c r="L344" s="18"/>
      <c r="M344" s="39"/>
      <c r="N344" s="18"/>
      <c r="O344" s="18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>
      <c r="A345" s="1"/>
      <c r="B345" s="1"/>
      <c r="C345" s="18"/>
      <c r="D345" s="47"/>
      <c r="E345" s="18"/>
      <c r="F345" s="18"/>
      <c r="G345" s="18"/>
      <c r="H345" s="18"/>
      <c r="I345" s="25"/>
      <c r="J345" s="18"/>
      <c r="K345" s="18"/>
      <c r="L345" s="18"/>
      <c r="M345" s="39"/>
      <c r="N345" s="18"/>
      <c r="O345" s="18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>
      <c r="A346" s="1"/>
      <c r="B346" s="1"/>
      <c r="C346" s="18"/>
      <c r="D346" s="47"/>
      <c r="E346" s="18"/>
      <c r="F346" s="18"/>
      <c r="G346" s="18"/>
      <c r="H346" s="18"/>
      <c r="I346" s="25"/>
      <c r="J346" s="18"/>
      <c r="K346" s="18"/>
      <c r="L346" s="18"/>
      <c r="M346" s="39"/>
      <c r="N346" s="18"/>
      <c r="O346" s="18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>
      <c r="A347" s="1"/>
      <c r="B347" s="1"/>
      <c r="C347" s="18"/>
      <c r="D347" s="47"/>
      <c r="E347" s="18"/>
      <c r="F347" s="18"/>
      <c r="G347" s="18"/>
      <c r="H347" s="18"/>
      <c r="I347" s="25"/>
      <c r="J347" s="18"/>
      <c r="K347" s="18"/>
      <c r="L347" s="18"/>
      <c r="M347" s="39"/>
      <c r="N347" s="18"/>
      <c r="O347" s="18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>
      <c r="A348" s="1"/>
      <c r="B348" s="1"/>
      <c r="C348" s="18"/>
      <c r="D348" s="47"/>
      <c r="E348" s="18"/>
      <c r="F348" s="18"/>
      <c r="G348" s="18"/>
      <c r="H348" s="18"/>
      <c r="I348" s="25"/>
      <c r="J348" s="18"/>
      <c r="K348" s="18"/>
      <c r="L348" s="18"/>
      <c r="M348" s="39"/>
      <c r="N348" s="18"/>
      <c r="O348" s="18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>
      <c r="A349" s="1"/>
      <c r="B349" s="1"/>
      <c r="C349" s="18"/>
      <c r="D349" s="47"/>
      <c r="E349" s="18"/>
      <c r="F349" s="18"/>
      <c r="G349" s="18"/>
      <c r="H349" s="18"/>
      <c r="I349" s="25"/>
      <c r="J349" s="18"/>
      <c r="K349" s="18"/>
      <c r="L349" s="18"/>
      <c r="M349" s="39"/>
      <c r="N349" s="18"/>
      <c r="O349" s="18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>
      <c r="A350" s="1"/>
      <c r="B350" s="1"/>
      <c r="C350" s="18"/>
      <c r="D350" s="47"/>
      <c r="E350" s="18"/>
      <c r="F350" s="18"/>
      <c r="G350" s="18"/>
      <c r="H350" s="18"/>
      <c r="I350" s="25"/>
      <c r="J350" s="18"/>
      <c r="K350" s="18"/>
      <c r="L350" s="18"/>
      <c r="M350" s="39"/>
      <c r="N350" s="18"/>
      <c r="O350" s="18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>
      <c r="A351" s="1"/>
      <c r="B351" s="1"/>
      <c r="C351" s="18"/>
      <c r="D351" s="47"/>
      <c r="E351" s="18"/>
      <c r="F351" s="18"/>
      <c r="G351" s="18"/>
      <c r="H351" s="18"/>
      <c r="I351" s="25"/>
      <c r="J351" s="18"/>
      <c r="K351" s="18"/>
      <c r="L351" s="18"/>
      <c r="M351" s="39"/>
      <c r="N351" s="18"/>
      <c r="O351" s="18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>
      <c r="A352" s="1"/>
      <c r="B352" s="1"/>
      <c r="C352" s="18"/>
      <c r="D352" s="47"/>
      <c r="E352" s="18"/>
      <c r="F352" s="18"/>
      <c r="G352" s="18"/>
      <c r="H352" s="18"/>
      <c r="I352" s="25"/>
      <c r="J352" s="18"/>
      <c r="K352" s="18"/>
      <c r="L352" s="18"/>
      <c r="M352" s="39"/>
      <c r="N352" s="18"/>
      <c r="O352" s="18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>
      <c r="A353" s="1"/>
      <c r="B353" s="1"/>
      <c r="C353" s="18"/>
      <c r="D353" s="47"/>
      <c r="E353" s="18"/>
      <c r="F353" s="18"/>
      <c r="G353" s="18"/>
      <c r="H353" s="18"/>
      <c r="I353" s="25"/>
      <c r="J353" s="18"/>
      <c r="K353" s="18"/>
      <c r="L353" s="18"/>
      <c r="M353" s="39"/>
      <c r="N353" s="18"/>
      <c r="O353" s="18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>
      <c r="A354" s="1"/>
      <c r="B354" s="1"/>
      <c r="C354" s="18"/>
      <c r="D354" s="47"/>
      <c r="E354" s="18"/>
      <c r="F354" s="18"/>
      <c r="G354" s="18"/>
      <c r="H354" s="18"/>
      <c r="I354" s="25"/>
      <c r="J354" s="18"/>
      <c r="K354" s="18"/>
      <c r="L354" s="18"/>
      <c r="M354" s="39"/>
      <c r="N354" s="18"/>
      <c r="O354" s="18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>
      <c r="A355" s="1"/>
      <c r="B355" s="1"/>
      <c r="C355" s="18"/>
      <c r="D355" s="47"/>
      <c r="E355" s="18"/>
      <c r="F355" s="18"/>
      <c r="G355" s="18"/>
      <c r="H355" s="18"/>
      <c r="I355" s="25"/>
      <c r="J355" s="18"/>
      <c r="K355" s="18"/>
      <c r="L355" s="18"/>
      <c r="M355" s="39"/>
      <c r="N355" s="18"/>
      <c r="O355" s="18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>
      <c r="A356" s="1"/>
      <c r="B356" s="1"/>
      <c r="C356" s="18"/>
      <c r="D356" s="47"/>
      <c r="E356" s="18"/>
      <c r="F356" s="18"/>
      <c r="G356" s="18"/>
      <c r="H356" s="18"/>
      <c r="I356" s="25"/>
      <c r="J356" s="18"/>
      <c r="K356" s="18"/>
      <c r="L356" s="18"/>
      <c r="M356" s="39"/>
      <c r="N356" s="18"/>
      <c r="O356" s="18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>
      <c r="A357" s="1"/>
      <c r="B357" s="1"/>
      <c r="C357" s="18"/>
      <c r="D357" s="47"/>
      <c r="E357" s="18"/>
      <c r="F357" s="18"/>
      <c r="G357" s="18"/>
      <c r="H357" s="18"/>
      <c r="I357" s="25"/>
      <c r="J357" s="18"/>
      <c r="K357" s="18"/>
      <c r="L357" s="18"/>
      <c r="M357" s="39"/>
      <c r="N357" s="18"/>
      <c r="O357" s="18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>
      <c r="A358" s="1"/>
      <c r="B358" s="1"/>
      <c r="C358" s="18"/>
      <c r="D358" s="47"/>
      <c r="E358" s="18"/>
      <c r="F358" s="18"/>
      <c r="G358" s="18"/>
      <c r="H358" s="18"/>
      <c r="I358" s="25"/>
      <c r="J358" s="18"/>
      <c r="K358" s="18"/>
      <c r="L358" s="18"/>
      <c r="M358" s="39"/>
      <c r="N358" s="18"/>
      <c r="O358" s="18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>
      <c r="A359" s="1"/>
      <c r="B359" s="1"/>
      <c r="C359" s="18"/>
      <c r="D359" s="47"/>
      <c r="E359" s="18"/>
      <c r="F359" s="18"/>
      <c r="G359" s="18"/>
      <c r="H359" s="18"/>
      <c r="I359" s="25"/>
      <c r="J359" s="18"/>
      <c r="K359" s="18"/>
      <c r="L359" s="18"/>
      <c r="M359" s="39"/>
      <c r="N359" s="18"/>
      <c r="O359" s="18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>
      <c r="A360" s="1"/>
      <c r="B360" s="1"/>
      <c r="C360" s="18"/>
      <c r="D360" s="47"/>
      <c r="E360" s="18"/>
      <c r="F360" s="18"/>
      <c r="G360" s="18"/>
      <c r="H360" s="18"/>
      <c r="I360" s="25"/>
      <c r="J360" s="18"/>
      <c r="K360" s="18"/>
      <c r="L360" s="18"/>
      <c r="M360" s="39"/>
      <c r="N360" s="18"/>
      <c r="O360" s="18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>
      <c r="A361" s="1"/>
      <c r="B361" s="1"/>
      <c r="C361" s="18"/>
      <c r="D361" s="47"/>
      <c r="E361" s="18"/>
      <c r="F361" s="18"/>
      <c r="G361" s="18"/>
      <c r="H361" s="18"/>
      <c r="I361" s="25"/>
      <c r="J361" s="18"/>
      <c r="K361" s="18"/>
      <c r="L361" s="18"/>
      <c r="M361" s="39"/>
      <c r="N361" s="18"/>
      <c r="O361" s="18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>
      <c r="A362" s="1"/>
      <c r="B362" s="1"/>
      <c r="C362" s="18"/>
      <c r="D362" s="47"/>
      <c r="E362" s="18"/>
      <c r="F362" s="18"/>
      <c r="G362" s="18"/>
      <c r="H362" s="18"/>
      <c r="I362" s="25"/>
      <c r="J362" s="18"/>
      <c r="K362" s="18"/>
      <c r="L362" s="18"/>
      <c r="M362" s="39"/>
      <c r="N362" s="18"/>
      <c r="O362" s="18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>
      <c r="A363" s="1"/>
      <c r="B363" s="1"/>
      <c r="C363" s="18"/>
      <c r="D363" s="47"/>
      <c r="E363" s="18"/>
      <c r="F363" s="18"/>
      <c r="G363" s="18"/>
      <c r="H363" s="18"/>
      <c r="I363" s="25"/>
      <c r="J363" s="18"/>
      <c r="K363" s="18"/>
      <c r="L363" s="18"/>
      <c r="M363" s="39"/>
      <c r="N363" s="18"/>
      <c r="O363" s="18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>
      <c r="A364" s="1"/>
      <c r="B364" s="1"/>
      <c r="C364" s="18"/>
      <c r="D364" s="47"/>
      <c r="E364" s="18"/>
      <c r="F364" s="18"/>
      <c r="G364" s="18"/>
      <c r="H364" s="18"/>
      <c r="I364" s="25"/>
      <c r="J364" s="18"/>
      <c r="K364" s="18"/>
      <c r="L364" s="18"/>
      <c r="M364" s="39"/>
      <c r="N364" s="18"/>
      <c r="O364" s="18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>
      <c r="A365" s="1"/>
      <c r="B365" s="1"/>
      <c r="C365" s="18"/>
      <c r="D365" s="47"/>
      <c r="E365" s="18"/>
      <c r="F365" s="18"/>
      <c r="G365" s="18"/>
      <c r="H365" s="18"/>
      <c r="I365" s="25"/>
      <c r="J365" s="18"/>
      <c r="K365" s="18"/>
      <c r="L365" s="18"/>
      <c r="M365" s="39"/>
      <c r="N365" s="18"/>
      <c r="O365" s="18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>
      <c r="A366" s="1"/>
      <c r="B366" s="1"/>
      <c r="C366" s="18"/>
      <c r="D366" s="47"/>
      <c r="E366" s="18"/>
      <c r="F366" s="18"/>
      <c r="G366" s="18"/>
      <c r="H366" s="18"/>
      <c r="I366" s="25"/>
      <c r="J366" s="18"/>
      <c r="K366" s="18"/>
      <c r="L366" s="18"/>
      <c r="M366" s="39"/>
      <c r="N366" s="18"/>
      <c r="O366" s="18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>
      <c r="A367" s="1"/>
      <c r="B367" s="1"/>
      <c r="C367" s="18"/>
      <c r="D367" s="47"/>
      <c r="E367" s="18"/>
      <c r="F367" s="18"/>
      <c r="G367" s="18"/>
      <c r="H367" s="18"/>
      <c r="I367" s="25"/>
      <c r="J367" s="18"/>
      <c r="K367" s="18"/>
      <c r="L367" s="18"/>
      <c r="M367" s="39"/>
      <c r="N367" s="18"/>
      <c r="O367" s="18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>
      <c r="A368" s="1"/>
      <c r="B368" s="1"/>
      <c r="C368" s="18"/>
      <c r="D368" s="47"/>
      <c r="E368" s="18"/>
      <c r="F368" s="18"/>
      <c r="G368" s="18"/>
      <c r="H368" s="18"/>
      <c r="I368" s="25"/>
      <c r="J368" s="18"/>
      <c r="K368" s="18"/>
      <c r="L368" s="18"/>
      <c r="M368" s="39"/>
      <c r="N368" s="18"/>
      <c r="O368" s="18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>
      <c r="A369" s="1"/>
      <c r="B369" s="1"/>
      <c r="C369" s="18"/>
      <c r="D369" s="47"/>
      <c r="E369" s="18"/>
      <c r="F369" s="18"/>
      <c r="G369" s="18"/>
      <c r="H369" s="18"/>
      <c r="I369" s="25"/>
      <c r="J369" s="18"/>
      <c r="K369" s="18"/>
      <c r="L369" s="18"/>
      <c r="M369" s="39"/>
      <c r="N369" s="18"/>
      <c r="O369" s="18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>
      <c r="A370" s="1"/>
      <c r="B370" s="1"/>
      <c r="C370" s="18"/>
      <c r="D370" s="47"/>
      <c r="E370" s="18"/>
      <c r="F370" s="18"/>
      <c r="G370" s="18"/>
      <c r="H370" s="18"/>
      <c r="I370" s="25"/>
      <c r="J370" s="18"/>
      <c r="K370" s="18"/>
      <c r="L370" s="18"/>
      <c r="M370" s="39"/>
      <c r="N370" s="18"/>
      <c r="O370" s="18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>
      <c r="A371" s="1"/>
      <c r="B371" s="1"/>
      <c r="C371" s="18"/>
      <c r="D371" s="47"/>
      <c r="E371" s="18"/>
      <c r="F371" s="18"/>
      <c r="G371" s="18"/>
      <c r="H371" s="18"/>
      <c r="I371" s="25"/>
      <c r="J371" s="18"/>
      <c r="K371" s="18"/>
      <c r="L371" s="18"/>
      <c r="M371" s="39"/>
      <c r="N371" s="18"/>
      <c r="O371" s="18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>
      <c r="A372" s="1"/>
      <c r="B372" s="1"/>
      <c r="C372" s="18"/>
      <c r="D372" s="47"/>
      <c r="E372" s="18"/>
      <c r="F372" s="18"/>
      <c r="G372" s="18"/>
      <c r="H372" s="18"/>
      <c r="I372" s="25"/>
      <c r="J372" s="18"/>
      <c r="K372" s="18"/>
      <c r="L372" s="18"/>
      <c r="M372" s="39"/>
      <c r="N372" s="18"/>
      <c r="O372" s="18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>
      <c r="A373" s="1"/>
      <c r="B373" s="1"/>
      <c r="C373" s="18"/>
      <c r="D373" s="47"/>
      <c r="E373" s="18"/>
      <c r="F373" s="18"/>
      <c r="G373" s="18"/>
      <c r="H373" s="18"/>
      <c r="I373" s="25"/>
      <c r="J373" s="18"/>
      <c r="K373" s="18"/>
      <c r="L373" s="18"/>
      <c r="M373" s="39"/>
      <c r="N373" s="18"/>
      <c r="O373" s="18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>
      <c r="A374" s="1"/>
      <c r="B374" s="1"/>
      <c r="C374" s="18"/>
      <c r="D374" s="47"/>
      <c r="E374" s="18"/>
      <c r="F374" s="18"/>
      <c r="G374" s="18"/>
      <c r="H374" s="18"/>
      <c r="I374" s="25"/>
      <c r="J374" s="18"/>
      <c r="K374" s="18"/>
      <c r="L374" s="18"/>
      <c r="M374" s="39"/>
      <c r="N374" s="18"/>
      <c r="O374" s="18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>
      <c r="A375" s="1"/>
      <c r="B375" s="1"/>
      <c r="C375" s="18"/>
      <c r="D375" s="47"/>
      <c r="E375" s="18"/>
      <c r="F375" s="18"/>
      <c r="G375" s="18"/>
      <c r="H375" s="18"/>
      <c r="I375" s="25"/>
      <c r="J375" s="18"/>
      <c r="K375" s="18"/>
      <c r="L375" s="18"/>
      <c r="M375" s="39"/>
      <c r="N375" s="18"/>
      <c r="O375" s="18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>
      <c r="A376" s="1"/>
      <c r="B376" s="1"/>
      <c r="C376" s="18"/>
      <c r="D376" s="47"/>
      <c r="E376" s="18"/>
      <c r="F376" s="18"/>
      <c r="G376" s="18"/>
      <c r="H376" s="18"/>
      <c r="I376" s="25"/>
      <c r="J376" s="18"/>
      <c r="K376" s="18"/>
      <c r="L376" s="18"/>
      <c r="M376" s="39"/>
      <c r="N376" s="18"/>
      <c r="O376" s="18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>
      <c r="A377" s="1"/>
      <c r="B377" s="1"/>
      <c r="C377" s="18"/>
      <c r="D377" s="47"/>
      <c r="E377" s="18"/>
      <c r="F377" s="18"/>
      <c r="G377" s="18"/>
      <c r="H377" s="18"/>
      <c r="I377" s="25"/>
      <c r="J377" s="18"/>
      <c r="K377" s="18"/>
      <c r="L377" s="18"/>
      <c r="M377" s="39"/>
      <c r="N377" s="18"/>
      <c r="O377" s="18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>
      <c r="A378" s="1"/>
      <c r="B378" s="1"/>
      <c r="C378" s="18"/>
      <c r="D378" s="47"/>
      <c r="E378" s="18"/>
      <c r="F378" s="18"/>
      <c r="G378" s="18"/>
      <c r="H378" s="18"/>
      <c r="I378" s="25"/>
      <c r="J378" s="18"/>
      <c r="K378" s="18"/>
      <c r="L378" s="18"/>
      <c r="M378" s="39"/>
      <c r="N378" s="18"/>
      <c r="O378" s="18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>
      <c r="A379" s="1"/>
      <c r="B379" s="1"/>
      <c r="C379" s="18"/>
      <c r="D379" s="47"/>
      <c r="E379" s="18"/>
      <c r="F379" s="18"/>
      <c r="G379" s="18"/>
      <c r="H379" s="18"/>
      <c r="I379" s="25"/>
      <c r="J379" s="18"/>
      <c r="K379" s="18"/>
      <c r="L379" s="18"/>
      <c r="M379" s="39"/>
      <c r="N379" s="18"/>
      <c r="O379" s="18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>
      <c r="A380" s="1"/>
      <c r="B380" s="1"/>
      <c r="C380" s="18"/>
      <c r="D380" s="47"/>
      <c r="E380" s="18"/>
      <c r="F380" s="18"/>
      <c r="G380" s="18"/>
      <c r="H380" s="18"/>
      <c r="I380" s="25"/>
      <c r="J380" s="18"/>
      <c r="K380" s="18"/>
      <c r="L380" s="18"/>
      <c r="M380" s="39"/>
      <c r="N380" s="18"/>
      <c r="O380" s="18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>
      <c r="A381" s="1"/>
      <c r="B381" s="1"/>
      <c r="C381" s="18"/>
      <c r="D381" s="47"/>
      <c r="E381" s="18"/>
      <c r="F381" s="18"/>
      <c r="G381" s="18"/>
      <c r="H381" s="18"/>
      <c r="I381" s="25"/>
      <c r="J381" s="18"/>
      <c r="K381" s="18"/>
      <c r="L381" s="18"/>
      <c r="M381" s="39"/>
      <c r="N381" s="18"/>
      <c r="O381" s="18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>
      <c r="A382" s="1"/>
      <c r="B382" s="1"/>
      <c r="C382" s="18"/>
      <c r="D382" s="47"/>
      <c r="E382" s="18"/>
      <c r="F382" s="18"/>
      <c r="G382" s="18"/>
      <c r="H382" s="18"/>
      <c r="I382" s="25"/>
      <c r="J382" s="18"/>
      <c r="K382" s="18"/>
      <c r="L382" s="18"/>
      <c r="M382" s="39"/>
      <c r="N382" s="18"/>
      <c r="O382" s="18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>
      <c r="A383" s="1"/>
      <c r="B383" s="1"/>
      <c r="C383" s="18"/>
      <c r="D383" s="47"/>
      <c r="E383" s="18"/>
      <c r="F383" s="18"/>
      <c r="G383" s="18"/>
      <c r="H383" s="18"/>
      <c r="I383" s="25"/>
      <c r="J383" s="18"/>
      <c r="K383" s="18"/>
      <c r="L383" s="18"/>
      <c r="M383" s="39"/>
      <c r="N383" s="18"/>
      <c r="O383" s="18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>
      <c r="A384" s="1"/>
      <c r="B384" s="1"/>
      <c r="C384" s="18"/>
      <c r="D384" s="47"/>
      <c r="E384" s="18"/>
      <c r="F384" s="18"/>
      <c r="G384" s="18"/>
      <c r="H384" s="18"/>
      <c r="I384" s="25"/>
      <c r="J384" s="18"/>
      <c r="K384" s="18"/>
      <c r="L384" s="18"/>
      <c r="M384" s="39"/>
      <c r="N384" s="18"/>
      <c r="O384" s="18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>
      <c r="A385" s="1"/>
      <c r="B385" s="1"/>
      <c r="C385" s="18"/>
      <c r="D385" s="47"/>
      <c r="E385" s="18"/>
      <c r="F385" s="18"/>
      <c r="G385" s="18"/>
      <c r="H385" s="18"/>
      <c r="I385" s="25"/>
      <c r="J385" s="18"/>
      <c r="K385" s="18"/>
      <c r="L385" s="18"/>
      <c r="M385" s="39"/>
      <c r="N385" s="18"/>
      <c r="O385" s="18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>
      <c r="A386" s="1"/>
      <c r="B386" s="1"/>
      <c r="C386" s="18"/>
      <c r="D386" s="47"/>
      <c r="E386" s="18"/>
      <c r="F386" s="18"/>
      <c r="G386" s="18"/>
      <c r="H386" s="18"/>
      <c r="I386" s="25"/>
      <c r="J386" s="18"/>
      <c r="K386" s="18"/>
      <c r="L386" s="18"/>
      <c r="M386" s="39"/>
      <c r="N386" s="18"/>
      <c r="O386" s="18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>
      <c r="A387" s="1"/>
      <c r="B387" s="1"/>
      <c r="C387" s="18"/>
      <c r="D387" s="47"/>
      <c r="E387" s="18"/>
      <c r="F387" s="18"/>
      <c r="G387" s="18"/>
      <c r="H387" s="18"/>
      <c r="I387" s="25"/>
      <c r="J387" s="18"/>
      <c r="K387" s="18"/>
      <c r="L387" s="18"/>
      <c r="M387" s="39"/>
      <c r="N387" s="18"/>
      <c r="O387" s="18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>
      <c r="A388" s="1"/>
      <c r="B388" s="1"/>
      <c r="C388" s="18"/>
      <c r="D388" s="47"/>
      <c r="E388" s="18"/>
      <c r="F388" s="18"/>
      <c r="G388" s="18"/>
      <c r="H388" s="18"/>
      <c r="I388" s="25"/>
      <c r="J388" s="18"/>
      <c r="K388" s="18"/>
      <c r="L388" s="18"/>
      <c r="M388" s="39"/>
      <c r="N388" s="18"/>
      <c r="O388" s="18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>
      <c r="A389" s="1"/>
      <c r="B389" s="1"/>
      <c r="C389" s="18"/>
      <c r="D389" s="47"/>
      <c r="E389" s="18"/>
      <c r="F389" s="18"/>
      <c r="G389" s="18"/>
      <c r="H389" s="18"/>
      <c r="I389" s="25"/>
      <c r="J389" s="18"/>
      <c r="K389" s="18"/>
      <c r="L389" s="18"/>
      <c r="M389" s="39"/>
      <c r="N389" s="18"/>
      <c r="O389" s="18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>
      <c r="A390" s="1"/>
      <c r="B390" s="1"/>
      <c r="C390" s="18"/>
      <c r="D390" s="47"/>
      <c r="E390" s="18"/>
      <c r="F390" s="18"/>
      <c r="G390" s="18"/>
      <c r="H390" s="18"/>
      <c r="I390" s="25"/>
      <c r="J390" s="18"/>
      <c r="K390" s="18"/>
      <c r="L390" s="18"/>
      <c r="M390" s="39"/>
      <c r="N390" s="18"/>
      <c r="O390" s="18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>
      <c r="A391" s="1"/>
      <c r="B391" s="1"/>
      <c r="C391" s="18"/>
      <c r="D391" s="47"/>
      <c r="E391" s="18"/>
      <c r="F391" s="18"/>
      <c r="G391" s="18"/>
      <c r="H391" s="18"/>
      <c r="I391" s="25"/>
      <c r="J391" s="18"/>
      <c r="K391" s="18"/>
      <c r="L391" s="18"/>
      <c r="M391" s="39"/>
      <c r="N391" s="18"/>
      <c r="O391" s="18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>
      <c r="A392" s="1"/>
      <c r="B392" s="1"/>
      <c r="C392" s="18"/>
      <c r="D392" s="47"/>
      <c r="E392" s="18"/>
      <c r="F392" s="18"/>
      <c r="G392" s="18"/>
      <c r="H392" s="18"/>
      <c r="I392" s="25"/>
      <c r="J392" s="18"/>
      <c r="K392" s="18"/>
      <c r="L392" s="18"/>
      <c r="M392" s="39"/>
      <c r="N392" s="18"/>
      <c r="O392" s="18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>
      <c r="A393" s="1"/>
      <c r="B393" s="1"/>
      <c r="C393" s="18"/>
      <c r="D393" s="47"/>
      <c r="E393" s="18"/>
      <c r="F393" s="18"/>
      <c r="G393" s="18"/>
      <c r="H393" s="18"/>
      <c r="I393" s="25"/>
      <c r="J393" s="18"/>
      <c r="K393" s="18"/>
      <c r="L393" s="18"/>
      <c r="M393" s="39"/>
      <c r="N393" s="18"/>
      <c r="O393" s="18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>
      <c r="A394" s="1"/>
      <c r="B394" s="1"/>
      <c r="C394" s="18"/>
      <c r="D394" s="47"/>
      <c r="E394" s="18"/>
      <c r="F394" s="18"/>
      <c r="G394" s="18"/>
      <c r="H394" s="18"/>
      <c r="I394" s="25"/>
      <c r="J394" s="18"/>
      <c r="K394" s="18"/>
      <c r="L394" s="18"/>
      <c r="M394" s="39"/>
      <c r="N394" s="18"/>
      <c r="O394" s="18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>
      <c r="A395" s="1"/>
      <c r="B395" s="1"/>
      <c r="C395" s="18"/>
      <c r="D395" s="47"/>
      <c r="E395" s="18"/>
      <c r="F395" s="18"/>
      <c r="G395" s="18"/>
      <c r="H395" s="18"/>
      <c r="I395" s="25"/>
      <c r="J395" s="18"/>
      <c r="K395" s="18"/>
      <c r="L395" s="18"/>
      <c r="M395" s="39"/>
      <c r="N395" s="18"/>
      <c r="O395" s="18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>
      <c r="A396" s="1"/>
      <c r="B396" s="1"/>
      <c r="C396" s="18"/>
      <c r="D396" s="47"/>
      <c r="E396" s="18"/>
      <c r="F396" s="18"/>
      <c r="G396" s="18"/>
      <c r="H396" s="18"/>
      <c r="I396" s="25"/>
      <c r="J396" s="18"/>
      <c r="K396" s="18"/>
      <c r="L396" s="18"/>
      <c r="M396" s="39"/>
      <c r="N396" s="18"/>
      <c r="O396" s="18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>
      <c r="A397" s="1"/>
      <c r="B397" s="1"/>
      <c r="C397" s="18"/>
      <c r="D397" s="47"/>
      <c r="E397" s="18"/>
      <c r="F397" s="18"/>
      <c r="G397" s="18"/>
      <c r="H397" s="18"/>
      <c r="I397" s="25"/>
      <c r="J397" s="18"/>
      <c r="K397" s="18"/>
      <c r="L397" s="18"/>
      <c r="M397" s="39"/>
      <c r="N397" s="18"/>
      <c r="O397" s="18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>
      <c r="A398" s="1"/>
      <c r="B398" s="1"/>
      <c r="C398" s="18"/>
      <c r="D398" s="47"/>
      <c r="E398" s="18"/>
      <c r="F398" s="18"/>
      <c r="G398" s="18"/>
      <c r="H398" s="18"/>
      <c r="I398" s="25"/>
      <c r="J398" s="18"/>
      <c r="K398" s="18"/>
      <c r="L398" s="18"/>
      <c r="M398" s="39"/>
      <c r="N398" s="18"/>
      <c r="O398" s="18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>
      <c r="A399" s="1"/>
      <c r="B399" s="1"/>
      <c r="C399" s="18"/>
      <c r="D399" s="47"/>
      <c r="E399" s="18"/>
      <c r="F399" s="18"/>
      <c r="G399" s="18"/>
      <c r="H399" s="18"/>
      <c r="I399" s="25"/>
      <c r="J399" s="18"/>
      <c r="K399" s="18"/>
      <c r="L399" s="18"/>
      <c r="M399" s="39"/>
      <c r="N399" s="18"/>
      <c r="O399" s="18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>
      <c r="A400" s="1"/>
      <c r="B400" s="1"/>
      <c r="C400" s="18"/>
      <c r="D400" s="47"/>
      <c r="E400" s="18"/>
      <c r="F400" s="18"/>
      <c r="G400" s="18"/>
      <c r="H400" s="18"/>
      <c r="I400" s="25"/>
      <c r="J400" s="18"/>
      <c r="K400" s="18"/>
      <c r="L400" s="18"/>
      <c r="M400" s="39"/>
      <c r="N400" s="18"/>
      <c r="O400" s="18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>
      <c r="A401" s="1"/>
      <c r="B401" s="1"/>
      <c r="C401" s="18"/>
      <c r="D401" s="47"/>
      <c r="E401" s="18"/>
      <c r="F401" s="18"/>
      <c r="G401" s="18"/>
      <c r="H401" s="18"/>
      <c r="I401" s="25"/>
      <c r="J401" s="18"/>
      <c r="K401" s="18"/>
      <c r="L401" s="18"/>
      <c r="M401" s="39"/>
      <c r="N401" s="18"/>
      <c r="O401" s="18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>
      <c r="A402" s="1"/>
      <c r="B402" s="1"/>
      <c r="C402" s="18"/>
      <c r="D402" s="47"/>
      <c r="E402" s="18"/>
      <c r="F402" s="18"/>
      <c r="G402" s="18"/>
      <c r="H402" s="18"/>
      <c r="I402" s="25"/>
      <c r="J402" s="18"/>
      <c r="K402" s="18"/>
      <c r="L402" s="18"/>
      <c r="M402" s="39"/>
      <c r="N402" s="18"/>
      <c r="O402" s="18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>
      <c r="A403" s="1"/>
      <c r="B403" s="1"/>
      <c r="C403" s="18"/>
      <c r="D403" s="47"/>
      <c r="E403" s="18"/>
      <c r="F403" s="18"/>
      <c r="G403" s="18"/>
      <c r="H403" s="18"/>
      <c r="I403" s="25"/>
      <c r="J403" s="18"/>
      <c r="K403" s="18"/>
      <c r="L403" s="18"/>
      <c r="M403" s="39"/>
      <c r="N403" s="18"/>
      <c r="O403" s="18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>
      <c r="A404" s="1"/>
      <c r="B404" s="1"/>
      <c r="C404" s="18"/>
      <c r="D404" s="47"/>
      <c r="E404" s="18"/>
      <c r="F404" s="18"/>
      <c r="G404" s="18"/>
      <c r="H404" s="18"/>
      <c r="I404" s="25"/>
      <c r="J404" s="18"/>
      <c r="K404" s="18"/>
      <c r="L404" s="18"/>
      <c r="M404" s="39"/>
      <c r="N404" s="18"/>
      <c r="O404" s="18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>
      <c r="A405" s="1"/>
      <c r="B405" s="1"/>
      <c r="C405" s="18"/>
      <c r="D405" s="47"/>
      <c r="E405" s="18"/>
      <c r="F405" s="18"/>
      <c r="G405" s="18"/>
      <c r="H405" s="18"/>
      <c r="I405" s="25"/>
      <c r="J405" s="18"/>
      <c r="K405" s="18"/>
      <c r="L405" s="18"/>
      <c r="M405" s="39"/>
      <c r="N405" s="18"/>
      <c r="O405" s="18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>
      <c r="A406" s="1"/>
      <c r="B406" s="1"/>
      <c r="C406" s="18"/>
      <c r="D406" s="47"/>
      <c r="E406" s="18"/>
      <c r="F406" s="18"/>
      <c r="G406" s="18"/>
      <c r="H406" s="18"/>
      <c r="I406" s="25"/>
      <c r="J406" s="18"/>
      <c r="K406" s="18"/>
      <c r="L406" s="18"/>
      <c r="M406" s="39"/>
      <c r="N406" s="18"/>
      <c r="O406" s="18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>
      <c r="A407" s="1"/>
      <c r="B407" s="1"/>
      <c r="C407" s="18"/>
      <c r="D407" s="47"/>
      <c r="E407" s="18"/>
      <c r="F407" s="18"/>
      <c r="G407" s="18"/>
      <c r="H407" s="18"/>
      <c r="I407" s="25"/>
      <c r="J407" s="18"/>
      <c r="K407" s="18"/>
      <c r="L407" s="18"/>
      <c r="M407" s="39"/>
      <c r="N407" s="18"/>
      <c r="O407" s="18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>
      <c r="A408" s="1"/>
      <c r="B408" s="1"/>
      <c r="C408" s="18"/>
      <c r="D408" s="47"/>
      <c r="E408" s="18"/>
      <c r="F408" s="18"/>
      <c r="G408" s="18"/>
      <c r="H408" s="18"/>
      <c r="I408" s="25"/>
      <c r="J408" s="18"/>
      <c r="K408" s="18"/>
      <c r="L408" s="18"/>
      <c r="M408" s="39"/>
      <c r="N408" s="18"/>
      <c r="O408" s="18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>
      <c r="A409" s="1"/>
      <c r="B409" s="1"/>
      <c r="C409" s="18"/>
      <c r="D409" s="47"/>
      <c r="E409" s="18"/>
      <c r="F409" s="18"/>
      <c r="G409" s="18"/>
      <c r="H409" s="18"/>
      <c r="I409" s="25"/>
      <c r="J409" s="18"/>
      <c r="K409" s="18"/>
      <c r="L409" s="18"/>
      <c r="M409" s="39"/>
      <c r="N409" s="18"/>
      <c r="O409" s="18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>
      <c r="A410" s="1"/>
      <c r="B410" s="1"/>
      <c r="C410" s="18"/>
      <c r="D410" s="47"/>
      <c r="E410" s="18"/>
      <c r="F410" s="18"/>
      <c r="G410" s="18"/>
      <c r="H410" s="18"/>
      <c r="I410" s="25"/>
      <c r="J410" s="18"/>
      <c r="K410" s="18"/>
      <c r="L410" s="18"/>
      <c r="M410" s="39"/>
      <c r="N410" s="18"/>
      <c r="O410" s="18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>
      <c r="A411" s="1"/>
      <c r="B411" s="1"/>
      <c r="C411" s="18"/>
      <c r="D411" s="47"/>
      <c r="E411" s="18"/>
      <c r="F411" s="18"/>
      <c r="G411" s="18"/>
      <c r="H411" s="18"/>
      <c r="I411" s="25"/>
      <c r="J411" s="18"/>
      <c r="K411" s="18"/>
      <c r="L411" s="18"/>
      <c r="M411" s="39"/>
      <c r="N411" s="18"/>
      <c r="O411" s="18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>
      <c r="A412" s="1"/>
      <c r="B412" s="1"/>
      <c r="C412" s="18"/>
      <c r="D412" s="47"/>
      <c r="E412" s="18"/>
      <c r="F412" s="18"/>
      <c r="G412" s="18"/>
      <c r="H412" s="18"/>
      <c r="I412" s="25"/>
      <c r="J412" s="18"/>
      <c r="K412" s="18"/>
      <c r="L412" s="18"/>
      <c r="M412" s="39"/>
      <c r="N412" s="18"/>
      <c r="O412" s="18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>
      <c r="A413" s="1"/>
      <c r="B413" s="1"/>
      <c r="C413" s="18"/>
      <c r="D413" s="47"/>
      <c r="E413" s="18"/>
      <c r="F413" s="18"/>
      <c r="G413" s="18"/>
      <c r="H413" s="18"/>
      <c r="I413" s="25"/>
      <c r="J413" s="18"/>
      <c r="K413" s="18"/>
      <c r="L413" s="18"/>
      <c r="M413" s="39"/>
      <c r="N413" s="18"/>
      <c r="O413" s="18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>
      <c r="A414" s="1"/>
      <c r="B414" s="1"/>
      <c r="C414" s="18"/>
      <c r="D414" s="47"/>
      <c r="E414" s="18"/>
      <c r="F414" s="18"/>
      <c r="G414" s="18"/>
      <c r="H414" s="18"/>
      <c r="I414" s="25"/>
      <c r="J414" s="18"/>
      <c r="K414" s="18"/>
      <c r="L414" s="18"/>
      <c r="M414" s="39"/>
      <c r="N414" s="18"/>
      <c r="O414" s="18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>
      <c r="A415" s="1"/>
      <c r="B415" s="1"/>
      <c r="C415" s="18"/>
      <c r="D415" s="47"/>
      <c r="E415" s="18"/>
      <c r="F415" s="18"/>
      <c r="G415" s="18"/>
      <c r="H415" s="18"/>
      <c r="I415" s="25"/>
      <c r="J415" s="18"/>
      <c r="K415" s="18"/>
      <c r="L415" s="18"/>
      <c r="M415" s="39"/>
      <c r="N415" s="18"/>
      <c r="O415" s="18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>
      <c r="A416" s="1"/>
      <c r="B416" s="1"/>
      <c r="C416" s="18"/>
      <c r="D416" s="47"/>
      <c r="E416" s="18"/>
      <c r="F416" s="18"/>
      <c r="G416" s="18"/>
      <c r="H416" s="18"/>
      <c r="I416" s="25"/>
      <c r="J416" s="18"/>
      <c r="K416" s="18"/>
      <c r="L416" s="18"/>
      <c r="M416" s="39"/>
      <c r="N416" s="18"/>
      <c r="O416" s="18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>
      <c r="A417" s="1"/>
      <c r="B417" s="1"/>
      <c r="C417" s="18"/>
      <c r="D417" s="47"/>
      <c r="E417" s="18"/>
      <c r="F417" s="18"/>
      <c r="G417" s="18"/>
      <c r="H417" s="18"/>
      <c r="I417" s="25"/>
      <c r="J417" s="18"/>
      <c r="K417" s="18"/>
      <c r="L417" s="18"/>
      <c r="M417" s="39"/>
      <c r="N417" s="18"/>
      <c r="O417" s="18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>
      <c r="A418" s="1"/>
      <c r="B418" s="1"/>
      <c r="C418" s="18"/>
      <c r="D418" s="47"/>
      <c r="E418" s="18"/>
      <c r="F418" s="18"/>
      <c r="G418" s="18"/>
      <c r="H418" s="18"/>
      <c r="I418" s="25"/>
      <c r="J418" s="18"/>
      <c r="K418" s="18"/>
      <c r="L418" s="18"/>
      <c r="M418" s="39"/>
      <c r="N418" s="18"/>
      <c r="O418" s="18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>
      <c r="A419" s="1"/>
      <c r="B419" s="1"/>
      <c r="C419" s="18"/>
      <c r="D419" s="47"/>
      <c r="E419" s="18"/>
      <c r="F419" s="18"/>
      <c r="G419" s="18"/>
      <c r="H419" s="18"/>
      <c r="I419" s="25"/>
      <c r="J419" s="18"/>
      <c r="K419" s="18"/>
      <c r="L419" s="18"/>
      <c r="M419" s="39"/>
      <c r="N419" s="18"/>
      <c r="O419" s="18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>
      <c r="A420" s="1"/>
      <c r="B420" s="1"/>
      <c r="C420" s="18"/>
      <c r="D420" s="47"/>
      <c r="E420" s="18"/>
      <c r="F420" s="18"/>
      <c r="G420" s="18"/>
      <c r="H420" s="18"/>
      <c r="I420" s="25"/>
      <c r="J420" s="18"/>
      <c r="K420" s="18"/>
      <c r="L420" s="18"/>
      <c r="M420" s="39"/>
      <c r="N420" s="18"/>
      <c r="O420" s="18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>
      <c r="A421" s="1"/>
      <c r="B421" s="1"/>
      <c r="C421" s="18"/>
      <c r="D421" s="47"/>
      <c r="E421" s="18"/>
      <c r="F421" s="18"/>
      <c r="G421" s="18"/>
      <c r="H421" s="18"/>
      <c r="I421" s="25"/>
      <c r="J421" s="18"/>
      <c r="K421" s="18"/>
      <c r="L421" s="18"/>
      <c r="M421" s="39"/>
      <c r="N421" s="18"/>
      <c r="O421" s="18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>
      <c r="A422" s="1"/>
      <c r="B422" s="1"/>
      <c r="C422" s="18"/>
      <c r="D422" s="47"/>
      <c r="E422" s="18"/>
      <c r="F422" s="18"/>
      <c r="G422" s="18"/>
      <c r="H422" s="18"/>
      <c r="I422" s="25"/>
      <c r="J422" s="18"/>
      <c r="K422" s="18"/>
      <c r="L422" s="18"/>
      <c r="M422" s="39"/>
      <c r="N422" s="18"/>
      <c r="O422" s="18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>
      <c r="A423" s="1"/>
      <c r="B423" s="1"/>
      <c r="C423" s="18"/>
      <c r="D423" s="47"/>
      <c r="E423" s="18"/>
      <c r="F423" s="18"/>
      <c r="G423" s="18"/>
      <c r="H423" s="18"/>
      <c r="I423" s="25"/>
      <c r="J423" s="18"/>
      <c r="K423" s="18"/>
      <c r="L423" s="18"/>
      <c r="M423" s="39"/>
      <c r="N423" s="18"/>
      <c r="O423" s="18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>
      <c r="A424" s="1"/>
      <c r="B424" s="1"/>
      <c r="C424" s="18"/>
      <c r="D424" s="47"/>
      <c r="E424" s="18"/>
      <c r="F424" s="18"/>
      <c r="G424" s="18"/>
      <c r="H424" s="18"/>
      <c r="I424" s="25"/>
      <c r="J424" s="18"/>
      <c r="K424" s="18"/>
      <c r="L424" s="18"/>
      <c r="M424" s="39"/>
      <c r="N424" s="18"/>
      <c r="O424" s="18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>
      <c r="A425" s="1"/>
      <c r="B425" s="1"/>
      <c r="C425" s="18"/>
      <c r="D425" s="47"/>
      <c r="E425" s="18"/>
      <c r="F425" s="18"/>
      <c r="G425" s="18"/>
      <c r="H425" s="18"/>
      <c r="I425" s="25"/>
      <c r="J425" s="18"/>
      <c r="K425" s="18"/>
      <c r="L425" s="18"/>
      <c r="M425" s="39"/>
      <c r="N425" s="18"/>
      <c r="O425" s="18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>
      <c r="A426" s="1"/>
      <c r="B426" s="1"/>
      <c r="C426" s="18"/>
      <c r="D426" s="47"/>
      <c r="E426" s="18"/>
      <c r="F426" s="18"/>
      <c r="G426" s="18"/>
      <c r="H426" s="18"/>
      <c r="I426" s="25"/>
      <c r="J426" s="18"/>
      <c r="K426" s="18"/>
      <c r="L426" s="18"/>
      <c r="M426" s="39"/>
      <c r="N426" s="18"/>
      <c r="O426" s="18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>
      <c r="A427" s="1"/>
      <c r="B427" s="1"/>
      <c r="C427" s="18"/>
      <c r="D427" s="47"/>
      <c r="E427" s="18"/>
      <c r="F427" s="18"/>
      <c r="G427" s="18"/>
      <c r="H427" s="18"/>
      <c r="I427" s="25"/>
      <c r="J427" s="18"/>
      <c r="K427" s="18"/>
      <c r="L427" s="18"/>
      <c r="M427" s="39"/>
      <c r="N427" s="18"/>
      <c r="O427" s="18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>
      <c r="A428" s="1"/>
      <c r="B428" s="1"/>
      <c r="C428" s="18"/>
      <c r="D428" s="47"/>
      <c r="E428" s="18"/>
      <c r="F428" s="18"/>
      <c r="G428" s="18"/>
      <c r="H428" s="18"/>
      <c r="I428" s="25"/>
      <c r="J428" s="18"/>
      <c r="K428" s="18"/>
      <c r="L428" s="18"/>
      <c r="M428" s="39"/>
      <c r="N428" s="18"/>
      <c r="O428" s="18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>
      <c r="A429" s="1"/>
      <c r="B429" s="1"/>
      <c r="C429" s="18"/>
      <c r="D429" s="47"/>
      <c r="E429" s="18"/>
      <c r="F429" s="18"/>
      <c r="G429" s="18"/>
      <c r="H429" s="18"/>
      <c r="I429" s="25"/>
      <c r="J429" s="18"/>
      <c r="K429" s="18"/>
      <c r="L429" s="18"/>
      <c r="M429" s="39"/>
      <c r="N429" s="18"/>
      <c r="O429" s="18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>
      <c r="A430" s="1"/>
      <c r="B430" s="1"/>
      <c r="C430" s="18"/>
      <c r="D430" s="47"/>
      <c r="E430" s="18"/>
      <c r="F430" s="18"/>
      <c r="G430" s="18"/>
      <c r="H430" s="18"/>
      <c r="I430" s="25"/>
      <c r="J430" s="18"/>
      <c r="K430" s="18"/>
      <c r="L430" s="18"/>
      <c r="M430" s="39"/>
      <c r="N430" s="18"/>
      <c r="O430" s="18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>
      <c r="A431" s="1"/>
      <c r="B431" s="1"/>
      <c r="C431" s="18"/>
      <c r="D431" s="47"/>
      <c r="E431" s="18"/>
      <c r="F431" s="18"/>
      <c r="G431" s="18"/>
      <c r="H431" s="18"/>
      <c r="I431" s="25"/>
      <c r="J431" s="18"/>
      <c r="K431" s="18"/>
      <c r="L431" s="18"/>
      <c r="M431" s="39"/>
      <c r="N431" s="18"/>
      <c r="O431" s="18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>
      <c r="A432" s="1"/>
      <c r="B432" s="1"/>
      <c r="C432" s="18"/>
      <c r="D432" s="47"/>
      <c r="E432" s="18"/>
      <c r="F432" s="18"/>
      <c r="G432" s="18"/>
      <c r="H432" s="18"/>
      <c r="I432" s="25"/>
      <c r="J432" s="18"/>
      <c r="K432" s="18"/>
      <c r="L432" s="18"/>
      <c r="M432" s="39"/>
      <c r="N432" s="18"/>
      <c r="O432" s="18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>
      <c r="A433" s="1"/>
      <c r="B433" s="1"/>
      <c r="C433" s="18"/>
      <c r="D433" s="47"/>
      <c r="E433" s="18"/>
      <c r="F433" s="18"/>
      <c r="G433" s="18"/>
      <c r="H433" s="18"/>
      <c r="I433" s="25"/>
      <c r="J433" s="18"/>
      <c r="K433" s="18"/>
      <c r="L433" s="18"/>
      <c r="M433" s="39"/>
      <c r="N433" s="18"/>
      <c r="O433" s="18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>
      <c r="A434" s="1"/>
      <c r="B434" s="1"/>
      <c r="C434" s="18"/>
      <c r="D434" s="47"/>
      <c r="E434" s="18"/>
      <c r="F434" s="18"/>
      <c r="G434" s="18"/>
      <c r="H434" s="18"/>
      <c r="I434" s="25"/>
      <c r="J434" s="18"/>
      <c r="K434" s="18"/>
      <c r="L434" s="18"/>
      <c r="M434" s="39"/>
      <c r="N434" s="18"/>
      <c r="O434" s="18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>
      <c r="A435" s="1"/>
      <c r="B435" s="1"/>
      <c r="C435" s="18"/>
      <c r="D435" s="47"/>
      <c r="E435" s="18"/>
      <c r="F435" s="18"/>
      <c r="G435" s="18"/>
      <c r="H435" s="18"/>
      <c r="I435" s="25"/>
      <c r="J435" s="18"/>
      <c r="K435" s="18"/>
      <c r="L435" s="18"/>
      <c r="M435" s="39"/>
      <c r="N435" s="18"/>
      <c r="O435" s="18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>
      <c r="A436" s="1"/>
      <c r="B436" s="1"/>
      <c r="C436" s="18"/>
      <c r="D436" s="47"/>
      <c r="E436" s="18"/>
      <c r="F436" s="18"/>
      <c r="G436" s="18"/>
      <c r="H436" s="18"/>
      <c r="I436" s="25"/>
      <c r="J436" s="18"/>
      <c r="K436" s="18"/>
      <c r="L436" s="18"/>
      <c r="M436" s="39"/>
      <c r="N436" s="18"/>
      <c r="O436" s="18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>
      <c r="A437" s="1"/>
      <c r="B437" s="1"/>
      <c r="C437" s="18"/>
      <c r="D437" s="47"/>
      <c r="E437" s="18"/>
      <c r="F437" s="18"/>
      <c r="G437" s="18"/>
      <c r="H437" s="18"/>
      <c r="I437" s="25"/>
      <c r="J437" s="18"/>
      <c r="K437" s="18"/>
      <c r="L437" s="18"/>
      <c r="M437" s="39"/>
      <c r="N437" s="18"/>
      <c r="O437" s="18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>
      <c r="A438" s="1"/>
      <c r="B438" s="1"/>
      <c r="C438" s="18"/>
      <c r="D438" s="47"/>
      <c r="E438" s="18"/>
      <c r="F438" s="18"/>
      <c r="G438" s="18"/>
      <c r="H438" s="18"/>
      <c r="I438" s="25"/>
      <c r="J438" s="18"/>
      <c r="K438" s="18"/>
      <c r="L438" s="18"/>
      <c r="M438" s="39"/>
      <c r="N438" s="18"/>
      <c r="O438" s="18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>
      <c r="A439" s="1"/>
      <c r="B439" s="1"/>
      <c r="C439" s="18"/>
      <c r="D439" s="47"/>
      <c r="E439" s="18"/>
      <c r="F439" s="18"/>
      <c r="G439" s="18"/>
      <c r="H439" s="18"/>
      <c r="I439" s="25"/>
      <c r="J439" s="18"/>
      <c r="K439" s="18"/>
      <c r="L439" s="18"/>
      <c r="M439" s="39"/>
      <c r="N439" s="18"/>
      <c r="O439" s="18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>
      <c r="A440" s="1"/>
      <c r="B440" s="1"/>
      <c r="C440" s="18"/>
      <c r="D440" s="47"/>
      <c r="E440" s="18"/>
      <c r="F440" s="18"/>
      <c r="G440" s="18"/>
      <c r="H440" s="18"/>
      <c r="I440" s="25"/>
      <c r="J440" s="18"/>
      <c r="K440" s="18"/>
      <c r="L440" s="18"/>
      <c r="M440" s="39"/>
      <c r="N440" s="18"/>
      <c r="O440" s="18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>
      <c r="A441" s="1"/>
      <c r="B441" s="1"/>
      <c r="C441" s="18"/>
      <c r="D441" s="47"/>
      <c r="E441" s="18"/>
      <c r="F441" s="18"/>
      <c r="G441" s="18"/>
      <c r="H441" s="18"/>
      <c r="I441" s="25"/>
      <c r="J441" s="18"/>
      <c r="K441" s="18"/>
      <c r="L441" s="18"/>
      <c r="M441" s="39"/>
      <c r="N441" s="18"/>
      <c r="O441" s="18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>
      <c r="A442" s="1"/>
      <c r="B442" s="1"/>
      <c r="C442" s="18"/>
      <c r="D442" s="47"/>
      <c r="E442" s="18"/>
      <c r="F442" s="18"/>
      <c r="G442" s="18"/>
      <c r="H442" s="18"/>
      <c r="I442" s="25"/>
      <c r="J442" s="18"/>
      <c r="K442" s="18"/>
      <c r="L442" s="18"/>
      <c r="M442" s="39"/>
      <c r="N442" s="18"/>
      <c r="O442" s="18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>
      <c r="A443" s="1"/>
      <c r="B443" s="1"/>
      <c r="C443" s="18"/>
      <c r="D443" s="47"/>
      <c r="E443" s="18"/>
      <c r="F443" s="18"/>
      <c r="G443" s="18"/>
      <c r="H443" s="18"/>
      <c r="I443" s="25"/>
      <c r="J443" s="18"/>
      <c r="K443" s="18"/>
      <c r="L443" s="18"/>
      <c r="M443" s="39"/>
      <c r="N443" s="18"/>
      <c r="O443" s="18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>
      <c r="A444" s="1"/>
      <c r="B444" s="1"/>
      <c r="C444" s="18"/>
      <c r="D444" s="47"/>
      <c r="E444" s="18"/>
      <c r="F444" s="18"/>
      <c r="G444" s="18"/>
      <c r="H444" s="18"/>
      <c r="I444" s="25"/>
      <c r="J444" s="18"/>
      <c r="K444" s="18"/>
      <c r="L444" s="18"/>
      <c r="M444" s="39"/>
      <c r="N444" s="18"/>
      <c r="O444" s="18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>
      <c r="A445" s="1"/>
      <c r="B445" s="1"/>
      <c r="C445" s="18"/>
      <c r="D445" s="47"/>
      <c r="E445" s="18"/>
      <c r="F445" s="18"/>
      <c r="G445" s="18"/>
      <c r="H445" s="18"/>
      <c r="I445" s="25"/>
      <c r="J445" s="18"/>
      <c r="K445" s="18"/>
      <c r="L445" s="18"/>
      <c r="M445" s="39"/>
      <c r="N445" s="18"/>
      <c r="O445" s="18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>
      <c r="A446" s="1"/>
      <c r="B446" s="1"/>
      <c r="C446" s="18"/>
      <c r="D446" s="47"/>
      <c r="E446" s="18"/>
      <c r="F446" s="18"/>
      <c r="G446" s="18"/>
      <c r="H446" s="18"/>
      <c r="I446" s="25"/>
      <c r="J446" s="18"/>
      <c r="K446" s="18"/>
      <c r="L446" s="18"/>
      <c r="M446" s="39"/>
      <c r="N446" s="18"/>
      <c r="O446" s="18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>
      <c r="A447" s="1"/>
      <c r="B447" s="1"/>
      <c r="C447" s="18"/>
      <c r="D447" s="47"/>
      <c r="E447" s="18"/>
      <c r="F447" s="18"/>
      <c r="G447" s="18"/>
      <c r="H447" s="18"/>
      <c r="I447" s="25"/>
      <c r="J447" s="18"/>
      <c r="K447" s="18"/>
      <c r="L447" s="18"/>
      <c r="M447" s="39"/>
      <c r="N447" s="18"/>
      <c r="O447" s="18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>
      <c r="A448" s="1"/>
      <c r="B448" s="1"/>
      <c r="C448" s="18"/>
      <c r="D448" s="47"/>
      <c r="E448" s="18"/>
      <c r="F448" s="18"/>
      <c r="G448" s="18"/>
      <c r="H448" s="18"/>
      <c r="I448" s="25"/>
      <c r="J448" s="18"/>
      <c r="K448" s="18"/>
      <c r="L448" s="18"/>
      <c r="M448" s="39"/>
      <c r="N448" s="18"/>
      <c r="O448" s="18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>
      <c r="A449" s="1"/>
      <c r="B449" s="1"/>
      <c r="C449" s="18"/>
      <c r="D449" s="47"/>
      <c r="E449" s="18"/>
      <c r="F449" s="18"/>
      <c r="G449" s="18"/>
      <c r="H449" s="18"/>
      <c r="I449" s="25"/>
      <c r="J449" s="18"/>
      <c r="K449" s="18"/>
      <c r="L449" s="18"/>
      <c r="M449" s="39"/>
      <c r="N449" s="18"/>
      <c r="O449" s="18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>
      <c r="A450" s="1"/>
      <c r="B450" s="1"/>
      <c r="C450" s="18"/>
      <c r="D450" s="47"/>
      <c r="E450" s="18"/>
      <c r="F450" s="18"/>
      <c r="G450" s="18"/>
      <c r="H450" s="18"/>
      <c r="I450" s="25"/>
      <c r="J450" s="18"/>
      <c r="K450" s="18"/>
      <c r="L450" s="18"/>
      <c r="M450" s="39"/>
      <c r="N450" s="18"/>
      <c r="O450" s="18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>
      <c r="A451" s="1"/>
      <c r="B451" s="1"/>
      <c r="C451" s="18"/>
      <c r="D451" s="47"/>
      <c r="E451" s="18"/>
      <c r="F451" s="18"/>
      <c r="G451" s="18"/>
      <c r="H451" s="18"/>
      <c r="I451" s="25"/>
      <c r="J451" s="18"/>
      <c r="K451" s="18"/>
      <c r="L451" s="18"/>
      <c r="M451" s="39"/>
      <c r="N451" s="18"/>
      <c r="O451" s="18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>
      <c r="A452" s="1"/>
      <c r="B452" s="1"/>
      <c r="C452" s="18"/>
      <c r="D452" s="47"/>
      <c r="E452" s="18"/>
      <c r="F452" s="18"/>
      <c r="G452" s="18"/>
      <c r="H452" s="18"/>
      <c r="I452" s="25"/>
      <c r="J452" s="18"/>
      <c r="K452" s="18"/>
      <c r="L452" s="18"/>
      <c r="M452" s="39"/>
      <c r="N452" s="18"/>
      <c r="O452" s="18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>
      <c r="A453" s="1"/>
      <c r="B453" s="1"/>
      <c r="C453" s="18"/>
      <c r="D453" s="47"/>
      <c r="E453" s="18"/>
      <c r="F453" s="18"/>
      <c r="G453" s="18"/>
      <c r="H453" s="18"/>
      <c r="I453" s="25"/>
      <c r="J453" s="18"/>
      <c r="K453" s="18"/>
      <c r="L453" s="18"/>
      <c r="M453" s="39"/>
      <c r="N453" s="18"/>
      <c r="O453" s="18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>
      <c r="A454" s="1"/>
      <c r="B454" s="1"/>
      <c r="C454" s="18"/>
      <c r="D454" s="47"/>
      <c r="E454" s="18"/>
      <c r="F454" s="18"/>
      <c r="G454" s="18"/>
      <c r="H454" s="18"/>
      <c r="I454" s="25"/>
      <c r="J454" s="18"/>
      <c r="K454" s="18"/>
      <c r="L454" s="18"/>
      <c r="M454" s="39"/>
      <c r="N454" s="18"/>
      <c r="O454" s="18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>
      <c r="A455" s="1"/>
      <c r="B455" s="1"/>
      <c r="C455" s="18"/>
      <c r="D455" s="47"/>
      <c r="E455" s="18"/>
      <c r="F455" s="18"/>
      <c r="G455" s="18"/>
      <c r="H455" s="18"/>
      <c r="I455" s="25"/>
      <c r="J455" s="18"/>
      <c r="K455" s="18"/>
      <c r="L455" s="18"/>
      <c r="M455" s="39"/>
      <c r="N455" s="18"/>
      <c r="O455" s="18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>
      <c r="A456" s="1"/>
      <c r="B456" s="1"/>
      <c r="C456" s="18"/>
      <c r="D456" s="47"/>
      <c r="E456" s="18"/>
      <c r="F456" s="18"/>
      <c r="G456" s="18"/>
      <c r="H456" s="18"/>
      <c r="I456" s="25"/>
      <c r="J456" s="18"/>
      <c r="K456" s="18"/>
      <c r="L456" s="18"/>
      <c r="M456" s="39"/>
      <c r="N456" s="18"/>
      <c r="O456" s="18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>
      <c r="A457" s="1"/>
      <c r="B457" s="1"/>
      <c r="C457" s="18"/>
      <c r="D457" s="47"/>
      <c r="E457" s="18"/>
      <c r="F457" s="18"/>
      <c r="G457" s="18"/>
      <c r="H457" s="18"/>
      <c r="I457" s="25"/>
      <c r="J457" s="18"/>
      <c r="K457" s="18"/>
      <c r="L457" s="18"/>
      <c r="M457" s="39"/>
      <c r="N457" s="18"/>
      <c r="O457" s="18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>
      <c r="A458" s="1"/>
      <c r="B458" s="1"/>
      <c r="C458" s="18"/>
      <c r="D458" s="47"/>
      <c r="E458" s="18"/>
      <c r="F458" s="18"/>
      <c r="G458" s="18"/>
      <c r="H458" s="18"/>
      <c r="I458" s="25"/>
      <c r="J458" s="18"/>
      <c r="K458" s="18"/>
      <c r="L458" s="18"/>
      <c r="M458" s="39"/>
      <c r="N458" s="18"/>
      <c r="O458" s="18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>
      <c r="A459" s="1"/>
      <c r="B459" s="1"/>
      <c r="C459" s="18"/>
      <c r="D459" s="47"/>
      <c r="E459" s="18"/>
      <c r="F459" s="18"/>
      <c r="G459" s="18"/>
      <c r="H459" s="18"/>
      <c r="I459" s="25"/>
      <c r="J459" s="18"/>
      <c r="K459" s="18"/>
      <c r="L459" s="18"/>
      <c r="M459" s="39"/>
      <c r="N459" s="18"/>
      <c r="O459" s="18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>
      <c r="A460" s="1"/>
      <c r="B460" s="1"/>
      <c r="C460" s="18"/>
      <c r="D460" s="47"/>
      <c r="E460" s="18"/>
      <c r="F460" s="18"/>
      <c r="G460" s="18"/>
      <c r="H460" s="18"/>
      <c r="I460" s="25"/>
      <c r="J460" s="18"/>
      <c r="K460" s="18"/>
      <c r="L460" s="18"/>
      <c r="M460" s="39"/>
      <c r="N460" s="18"/>
      <c r="O460" s="18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>
      <c r="A461" s="1"/>
      <c r="B461" s="1"/>
      <c r="C461" s="18"/>
      <c r="D461" s="47"/>
      <c r="E461" s="18"/>
      <c r="F461" s="18"/>
      <c r="G461" s="18"/>
      <c r="H461" s="18"/>
      <c r="I461" s="25"/>
      <c r="J461" s="18"/>
      <c r="K461" s="18"/>
      <c r="L461" s="18"/>
      <c r="M461" s="39"/>
      <c r="N461" s="18"/>
      <c r="O461" s="18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>
      <c r="A462" s="1"/>
      <c r="B462" s="1"/>
      <c r="C462" s="18"/>
      <c r="D462" s="47"/>
      <c r="E462" s="18"/>
      <c r="F462" s="18"/>
      <c r="G462" s="18"/>
      <c r="H462" s="18"/>
      <c r="I462" s="25"/>
      <c r="J462" s="18"/>
      <c r="K462" s="18"/>
      <c r="L462" s="18"/>
      <c r="M462" s="39"/>
      <c r="N462" s="18"/>
      <c r="O462" s="18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>
      <c r="A463" s="1"/>
      <c r="B463" s="1"/>
      <c r="C463" s="18"/>
      <c r="D463" s="47"/>
      <c r="E463" s="18"/>
      <c r="F463" s="18"/>
      <c r="G463" s="18"/>
      <c r="H463" s="18"/>
      <c r="I463" s="25"/>
      <c r="J463" s="18"/>
      <c r="K463" s="18"/>
      <c r="L463" s="18"/>
      <c r="M463" s="39"/>
      <c r="N463" s="18"/>
      <c r="O463" s="18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>
      <c r="A464" s="1"/>
      <c r="B464" s="1"/>
      <c r="C464" s="18"/>
      <c r="D464" s="47"/>
      <c r="E464" s="18"/>
      <c r="F464" s="18"/>
      <c r="G464" s="18"/>
      <c r="H464" s="18"/>
      <c r="I464" s="25"/>
      <c r="J464" s="18"/>
      <c r="K464" s="18"/>
      <c r="L464" s="18"/>
      <c r="M464" s="39"/>
      <c r="N464" s="18"/>
      <c r="O464" s="18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>
      <c r="A465" s="1"/>
      <c r="B465" s="1"/>
      <c r="C465" s="18"/>
      <c r="D465" s="47"/>
      <c r="E465" s="18"/>
      <c r="F465" s="18"/>
      <c r="G465" s="18"/>
      <c r="H465" s="18"/>
      <c r="I465" s="25"/>
      <c r="J465" s="18"/>
      <c r="K465" s="18"/>
      <c r="L465" s="18"/>
      <c r="M465" s="39"/>
      <c r="N465" s="18"/>
      <c r="O465" s="18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>
      <c r="A466" s="1"/>
      <c r="B466" s="1"/>
      <c r="C466" s="18"/>
      <c r="D466" s="47"/>
      <c r="E466" s="18"/>
      <c r="F466" s="18"/>
      <c r="G466" s="18"/>
      <c r="H466" s="18"/>
      <c r="I466" s="25"/>
      <c r="J466" s="18"/>
      <c r="K466" s="18"/>
      <c r="L466" s="18"/>
      <c r="M466" s="39"/>
      <c r="N466" s="18"/>
      <c r="O466" s="18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>
      <c r="A467" s="1"/>
      <c r="B467" s="1"/>
      <c r="C467" s="18"/>
      <c r="D467" s="47"/>
      <c r="E467" s="18"/>
      <c r="F467" s="18"/>
      <c r="G467" s="18"/>
      <c r="H467" s="18"/>
      <c r="I467" s="25"/>
      <c r="J467" s="18"/>
      <c r="K467" s="18"/>
      <c r="L467" s="18"/>
      <c r="M467" s="39"/>
      <c r="N467" s="18"/>
      <c r="O467" s="18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>
      <c r="A468" s="1"/>
      <c r="B468" s="1"/>
      <c r="C468" s="18"/>
      <c r="D468" s="47"/>
      <c r="E468" s="18"/>
      <c r="F468" s="18"/>
      <c r="G468" s="18"/>
      <c r="H468" s="18"/>
      <c r="I468" s="25"/>
      <c r="J468" s="18"/>
      <c r="K468" s="18"/>
      <c r="L468" s="18"/>
      <c r="M468" s="39"/>
      <c r="N468" s="18"/>
      <c r="O468" s="18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>
      <c r="A469" s="1"/>
      <c r="B469" s="1"/>
      <c r="C469" s="18"/>
      <c r="D469" s="47"/>
      <c r="E469" s="18"/>
      <c r="F469" s="18"/>
      <c r="G469" s="18"/>
      <c r="H469" s="18"/>
      <c r="I469" s="25"/>
      <c r="J469" s="18"/>
      <c r="K469" s="18"/>
      <c r="L469" s="18"/>
      <c r="M469" s="39"/>
      <c r="N469" s="18"/>
      <c r="O469" s="18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>
      <c r="A470" s="1"/>
      <c r="B470" s="1"/>
      <c r="C470" s="18"/>
      <c r="D470" s="47"/>
      <c r="E470" s="18"/>
      <c r="F470" s="18"/>
      <c r="G470" s="18"/>
      <c r="H470" s="18"/>
      <c r="I470" s="25"/>
      <c r="J470" s="18"/>
      <c r="K470" s="18"/>
      <c r="L470" s="18"/>
      <c r="M470" s="39"/>
      <c r="N470" s="18"/>
      <c r="O470" s="18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>
      <c r="A471" s="1"/>
      <c r="B471" s="1"/>
      <c r="C471" s="18"/>
      <c r="D471" s="47"/>
      <c r="E471" s="18"/>
      <c r="F471" s="18"/>
      <c r="G471" s="18"/>
      <c r="H471" s="18"/>
      <c r="I471" s="25"/>
      <c r="J471" s="18"/>
      <c r="K471" s="18"/>
      <c r="L471" s="18"/>
      <c r="M471" s="39"/>
      <c r="N471" s="18"/>
      <c r="O471" s="18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>
      <c r="A472" s="1"/>
      <c r="B472" s="1"/>
      <c r="C472" s="18"/>
      <c r="D472" s="47"/>
      <c r="E472" s="18"/>
      <c r="F472" s="18"/>
      <c r="G472" s="18"/>
      <c r="H472" s="18"/>
      <c r="I472" s="25"/>
      <c r="J472" s="18"/>
      <c r="K472" s="18"/>
      <c r="L472" s="18"/>
      <c r="M472" s="39"/>
      <c r="N472" s="18"/>
      <c r="O472" s="18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>
      <c r="A473" s="1"/>
      <c r="B473" s="1"/>
      <c r="C473" s="18"/>
      <c r="D473" s="47"/>
      <c r="E473" s="18"/>
      <c r="F473" s="18"/>
      <c r="G473" s="18"/>
      <c r="H473" s="18"/>
      <c r="I473" s="25"/>
      <c r="J473" s="18"/>
      <c r="K473" s="18"/>
      <c r="L473" s="18"/>
      <c r="M473" s="39"/>
      <c r="N473" s="18"/>
      <c r="O473" s="18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>
      <c r="A474" s="1"/>
      <c r="B474" s="1"/>
      <c r="C474" s="18"/>
      <c r="D474" s="47"/>
      <c r="E474" s="18"/>
      <c r="F474" s="18"/>
      <c r="G474" s="18"/>
      <c r="H474" s="18"/>
      <c r="I474" s="25"/>
      <c r="J474" s="18"/>
      <c r="K474" s="18"/>
      <c r="L474" s="18"/>
      <c r="M474" s="39"/>
      <c r="N474" s="18"/>
      <c r="O474" s="18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>
      <c r="A475" s="1"/>
      <c r="B475" s="1"/>
      <c r="C475" s="18"/>
      <c r="D475" s="47"/>
      <c r="E475" s="18"/>
      <c r="F475" s="18"/>
      <c r="G475" s="18"/>
      <c r="H475" s="18"/>
      <c r="I475" s="25"/>
      <c r="J475" s="18"/>
      <c r="K475" s="18"/>
      <c r="L475" s="18"/>
      <c r="M475" s="39"/>
      <c r="N475" s="18"/>
      <c r="O475" s="18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>
      <c r="A476" s="1"/>
      <c r="B476" s="1"/>
      <c r="C476" s="18"/>
      <c r="D476" s="47"/>
      <c r="E476" s="18"/>
      <c r="F476" s="18"/>
      <c r="G476" s="18"/>
      <c r="H476" s="18"/>
      <c r="I476" s="25"/>
      <c r="J476" s="18"/>
      <c r="K476" s="18"/>
      <c r="L476" s="18"/>
      <c r="M476" s="39"/>
      <c r="N476" s="18"/>
      <c r="O476" s="18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>
      <c r="A477" s="1"/>
      <c r="B477" s="1"/>
      <c r="C477" s="18"/>
      <c r="D477" s="47"/>
      <c r="E477" s="18"/>
      <c r="F477" s="18"/>
      <c r="G477" s="18"/>
      <c r="H477" s="18"/>
      <c r="I477" s="25"/>
      <c r="J477" s="18"/>
      <c r="K477" s="18"/>
      <c r="L477" s="18"/>
      <c r="M477" s="39"/>
      <c r="N477" s="18"/>
      <c r="O477" s="18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>
      <c r="A478" s="1"/>
      <c r="B478" s="1"/>
      <c r="C478" s="18"/>
      <c r="D478" s="47"/>
      <c r="E478" s="18"/>
      <c r="F478" s="18"/>
      <c r="G478" s="18"/>
      <c r="H478" s="18"/>
      <c r="I478" s="25"/>
      <c r="J478" s="18"/>
      <c r="K478" s="18"/>
      <c r="L478" s="18"/>
      <c r="M478" s="39"/>
      <c r="N478" s="18"/>
      <c r="O478" s="18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>
      <c r="A479" s="1"/>
      <c r="B479" s="1"/>
      <c r="C479" s="18"/>
      <c r="D479" s="47"/>
      <c r="E479" s="18"/>
      <c r="F479" s="18"/>
      <c r="G479" s="18"/>
      <c r="H479" s="18"/>
      <c r="I479" s="25"/>
      <c r="J479" s="18"/>
      <c r="K479" s="18"/>
      <c r="L479" s="18"/>
      <c r="M479" s="39"/>
      <c r="N479" s="18"/>
      <c r="O479" s="18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>
      <c r="A480" s="1"/>
      <c r="B480" s="1"/>
      <c r="C480" s="18"/>
      <c r="D480" s="47"/>
      <c r="E480" s="18"/>
      <c r="F480" s="18"/>
      <c r="G480" s="18"/>
      <c r="H480" s="18"/>
      <c r="I480" s="25"/>
      <c r="J480" s="18"/>
      <c r="K480" s="18"/>
      <c r="L480" s="18"/>
      <c r="M480" s="39"/>
      <c r="N480" s="18"/>
      <c r="O480" s="18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>
      <c r="A481" s="1"/>
      <c r="B481" s="1"/>
      <c r="C481" s="18"/>
      <c r="D481" s="47"/>
      <c r="E481" s="18"/>
      <c r="F481" s="18"/>
      <c r="G481" s="18"/>
      <c r="H481" s="18"/>
      <c r="I481" s="25"/>
      <c r="J481" s="18"/>
      <c r="K481" s="18"/>
      <c r="L481" s="18"/>
      <c r="M481" s="39"/>
      <c r="N481" s="18"/>
      <c r="O481" s="18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>
      <c r="A482" s="1"/>
      <c r="B482" s="1"/>
      <c r="C482" s="18"/>
      <c r="D482" s="47"/>
      <c r="E482" s="18"/>
      <c r="F482" s="18"/>
      <c r="G482" s="18"/>
      <c r="H482" s="18"/>
      <c r="I482" s="25"/>
      <c r="J482" s="18"/>
      <c r="K482" s="18"/>
      <c r="L482" s="18"/>
      <c r="M482" s="39"/>
      <c r="N482" s="18"/>
      <c r="O482" s="18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>
      <c r="A483" s="1"/>
      <c r="B483" s="1"/>
      <c r="C483" s="18"/>
      <c r="D483" s="47"/>
      <c r="E483" s="18"/>
      <c r="F483" s="18"/>
      <c r="G483" s="18"/>
      <c r="H483" s="18"/>
      <c r="I483" s="25"/>
      <c r="J483" s="18"/>
      <c r="K483" s="18"/>
      <c r="L483" s="18"/>
      <c r="M483" s="39"/>
      <c r="N483" s="18"/>
      <c r="O483" s="18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>
      <c r="A484" s="1"/>
      <c r="B484" s="1"/>
      <c r="C484" s="18"/>
      <c r="D484" s="47"/>
      <c r="E484" s="18"/>
      <c r="F484" s="18"/>
      <c r="G484" s="18"/>
      <c r="H484" s="18"/>
      <c r="I484" s="25"/>
      <c r="J484" s="18"/>
      <c r="K484" s="18"/>
      <c r="L484" s="18"/>
      <c r="M484" s="39"/>
      <c r="N484" s="18"/>
      <c r="O484" s="18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>
      <c r="A485" s="1"/>
      <c r="B485" s="1"/>
      <c r="C485" s="18"/>
      <c r="D485" s="47"/>
      <c r="E485" s="18"/>
      <c r="F485" s="18"/>
      <c r="G485" s="18"/>
      <c r="H485" s="18"/>
      <c r="I485" s="25"/>
      <c r="J485" s="18"/>
      <c r="K485" s="18"/>
      <c r="L485" s="18"/>
      <c r="M485" s="39"/>
      <c r="N485" s="18"/>
      <c r="O485" s="18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>
      <c r="A486" s="1"/>
      <c r="B486" s="1"/>
      <c r="C486" s="18"/>
      <c r="D486" s="47"/>
      <c r="E486" s="18"/>
      <c r="F486" s="18"/>
      <c r="G486" s="18"/>
      <c r="H486" s="18"/>
      <c r="I486" s="25"/>
      <c r="J486" s="18"/>
      <c r="K486" s="18"/>
      <c r="L486" s="18"/>
      <c r="M486" s="39"/>
      <c r="N486" s="18"/>
      <c r="O486" s="18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>
      <c r="A487" s="1"/>
      <c r="B487" s="1"/>
      <c r="C487" s="18"/>
      <c r="D487" s="47"/>
      <c r="E487" s="18"/>
      <c r="F487" s="18"/>
      <c r="G487" s="18"/>
      <c r="H487" s="18"/>
      <c r="I487" s="25"/>
      <c r="J487" s="18"/>
      <c r="K487" s="18"/>
      <c r="L487" s="18"/>
      <c r="M487" s="39"/>
      <c r="N487" s="18"/>
      <c r="O487" s="18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>
      <c r="A488" s="1"/>
      <c r="B488" s="1"/>
      <c r="C488" s="18"/>
      <c r="D488" s="47"/>
      <c r="E488" s="18"/>
      <c r="F488" s="18"/>
      <c r="G488" s="18"/>
      <c r="H488" s="18"/>
      <c r="I488" s="25"/>
      <c r="J488" s="18"/>
      <c r="K488" s="18"/>
      <c r="L488" s="18"/>
      <c r="M488" s="39"/>
      <c r="N488" s="18"/>
      <c r="O488" s="18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>
      <c r="A489" s="1"/>
      <c r="B489" s="1"/>
      <c r="C489" s="18"/>
      <c r="D489" s="47"/>
      <c r="E489" s="18"/>
      <c r="F489" s="18"/>
      <c r="G489" s="18"/>
      <c r="H489" s="18"/>
      <c r="I489" s="25"/>
      <c r="J489" s="18"/>
      <c r="K489" s="18"/>
      <c r="L489" s="18"/>
      <c r="M489" s="39"/>
      <c r="N489" s="18"/>
      <c r="O489" s="18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>
      <c r="A490" s="1"/>
      <c r="B490" s="1"/>
      <c r="C490" s="18"/>
      <c r="D490" s="47"/>
      <c r="E490" s="18"/>
      <c r="F490" s="18"/>
      <c r="G490" s="18"/>
      <c r="H490" s="18"/>
      <c r="I490" s="25"/>
      <c r="J490" s="18"/>
      <c r="K490" s="18"/>
      <c r="L490" s="18"/>
      <c r="M490" s="39"/>
      <c r="N490" s="18"/>
      <c r="O490" s="18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>
      <c r="A491" s="1"/>
      <c r="B491" s="1"/>
      <c r="C491" s="18"/>
      <c r="D491" s="47"/>
      <c r="E491" s="18"/>
      <c r="F491" s="18"/>
      <c r="G491" s="18"/>
      <c r="H491" s="18"/>
      <c r="I491" s="25"/>
      <c r="J491" s="18"/>
      <c r="K491" s="18"/>
      <c r="L491" s="18"/>
      <c r="M491" s="39"/>
      <c r="N491" s="18"/>
      <c r="O491" s="18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>
      <c r="A492" s="1"/>
      <c r="B492" s="1"/>
      <c r="C492" s="18"/>
      <c r="D492" s="47"/>
      <c r="E492" s="18"/>
      <c r="F492" s="18"/>
      <c r="G492" s="18"/>
      <c r="H492" s="18"/>
      <c r="I492" s="25"/>
      <c r="J492" s="18"/>
      <c r="K492" s="18"/>
      <c r="L492" s="18"/>
      <c r="M492" s="39"/>
      <c r="N492" s="18"/>
      <c r="O492" s="18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>
      <c r="A493" s="1"/>
      <c r="B493" s="1"/>
      <c r="C493" s="18"/>
      <c r="D493" s="47"/>
      <c r="E493" s="18"/>
      <c r="F493" s="18"/>
      <c r="G493" s="18"/>
      <c r="H493" s="18"/>
      <c r="I493" s="25"/>
      <c r="J493" s="18"/>
      <c r="K493" s="18"/>
      <c r="L493" s="18"/>
      <c r="M493" s="39"/>
      <c r="N493" s="18"/>
      <c r="O493" s="18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>
      <c r="A494" s="1"/>
      <c r="B494" s="1"/>
      <c r="C494" s="18"/>
      <c r="D494" s="47"/>
      <c r="E494" s="18"/>
      <c r="F494" s="18"/>
      <c r="G494" s="18"/>
      <c r="H494" s="18"/>
      <c r="I494" s="25"/>
      <c r="J494" s="18"/>
      <c r="K494" s="18"/>
      <c r="L494" s="18"/>
      <c r="M494" s="39"/>
      <c r="N494" s="18"/>
      <c r="O494" s="18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>
      <c r="A495" s="1"/>
      <c r="B495" s="1"/>
      <c r="C495" s="18"/>
      <c r="D495" s="47"/>
      <c r="E495" s="18"/>
      <c r="F495" s="18"/>
      <c r="G495" s="18"/>
      <c r="H495" s="18"/>
      <c r="I495" s="25"/>
      <c r="J495" s="18"/>
      <c r="K495" s="18"/>
      <c r="L495" s="18"/>
      <c r="M495" s="39"/>
      <c r="N495" s="18"/>
      <c r="O495" s="18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>
      <c r="A496" s="1"/>
      <c r="B496" s="1"/>
      <c r="C496" s="18"/>
      <c r="D496" s="47"/>
      <c r="E496" s="18"/>
      <c r="F496" s="18"/>
      <c r="G496" s="18"/>
      <c r="H496" s="18"/>
      <c r="I496" s="25"/>
      <c r="J496" s="18"/>
      <c r="K496" s="18"/>
      <c r="L496" s="18"/>
      <c r="M496" s="39"/>
      <c r="N496" s="18"/>
      <c r="O496" s="18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>
      <c r="A497" s="1"/>
      <c r="B497" s="1"/>
      <c r="C497" s="18"/>
      <c r="D497" s="47"/>
      <c r="E497" s="18"/>
      <c r="F497" s="18"/>
      <c r="G497" s="18"/>
      <c r="H497" s="18"/>
      <c r="I497" s="25"/>
      <c r="J497" s="18"/>
      <c r="K497" s="18"/>
      <c r="L497" s="18"/>
      <c r="M497" s="39"/>
      <c r="N497" s="18"/>
      <c r="O497" s="18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>
      <c r="A498" s="1"/>
      <c r="B498" s="1"/>
      <c r="C498" s="18"/>
      <c r="D498" s="47"/>
      <c r="E498" s="18"/>
      <c r="F498" s="18"/>
      <c r="G498" s="18"/>
      <c r="H498" s="18"/>
      <c r="I498" s="25"/>
      <c r="J498" s="18"/>
      <c r="K498" s="18"/>
      <c r="L498" s="18"/>
      <c r="M498" s="39"/>
      <c r="N498" s="18"/>
      <c r="O498" s="18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>
      <c r="A499" s="1"/>
      <c r="B499" s="1"/>
      <c r="C499" s="18"/>
      <c r="D499" s="47"/>
      <c r="E499" s="18"/>
      <c r="F499" s="18"/>
      <c r="G499" s="18"/>
      <c r="H499" s="18"/>
      <c r="I499" s="25"/>
      <c r="J499" s="18"/>
      <c r="K499" s="18"/>
      <c r="L499" s="18"/>
      <c r="M499" s="39"/>
      <c r="N499" s="18"/>
      <c r="O499" s="18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>
      <c r="A500" s="1"/>
      <c r="B500" s="1"/>
      <c r="C500" s="18"/>
      <c r="D500" s="47"/>
      <c r="E500" s="18"/>
      <c r="F500" s="18"/>
      <c r="G500" s="18"/>
      <c r="H500" s="18"/>
      <c r="I500" s="25"/>
      <c r="J500" s="18"/>
      <c r="K500" s="18"/>
      <c r="L500" s="18"/>
      <c r="M500" s="39"/>
      <c r="N500" s="18"/>
      <c r="O500" s="18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>
      <c r="A501" s="1"/>
      <c r="B501" s="1"/>
      <c r="C501" s="18"/>
      <c r="D501" s="47"/>
      <c r="E501" s="18"/>
      <c r="F501" s="18"/>
      <c r="G501" s="18"/>
      <c r="H501" s="18"/>
      <c r="I501" s="25"/>
      <c r="J501" s="18"/>
      <c r="K501" s="18"/>
      <c r="L501" s="18"/>
      <c r="M501" s="39"/>
      <c r="N501" s="18"/>
      <c r="O501" s="18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>
      <c r="A502" s="1"/>
      <c r="B502" s="1"/>
      <c r="C502" s="18"/>
      <c r="D502" s="47"/>
      <c r="E502" s="18"/>
      <c r="F502" s="18"/>
      <c r="G502" s="18"/>
      <c r="H502" s="18"/>
      <c r="I502" s="25"/>
      <c r="J502" s="18"/>
      <c r="K502" s="18"/>
      <c r="L502" s="18"/>
      <c r="M502" s="39"/>
      <c r="N502" s="18"/>
      <c r="O502" s="18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>
      <c r="A503" s="1"/>
      <c r="B503" s="1"/>
      <c r="C503" s="18"/>
      <c r="D503" s="47"/>
      <c r="E503" s="18"/>
      <c r="F503" s="18"/>
      <c r="G503" s="18"/>
      <c r="H503" s="18"/>
      <c r="I503" s="25"/>
      <c r="J503" s="18"/>
      <c r="K503" s="18"/>
      <c r="L503" s="18"/>
      <c r="M503" s="39"/>
      <c r="N503" s="18"/>
      <c r="O503" s="18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>
      <c r="A504" s="1"/>
      <c r="B504" s="1"/>
      <c r="C504" s="18"/>
      <c r="D504" s="47"/>
      <c r="E504" s="18"/>
      <c r="F504" s="18"/>
      <c r="G504" s="18"/>
      <c r="H504" s="18"/>
      <c r="I504" s="25"/>
      <c r="J504" s="18"/>
      <c r="K504" s="18"/>
      <c r="L504" s="18"/>
      <c r="M504" s="39"/>
      <c r="N504" s="18"/>
      <c r="O504" s="18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>
      <c r="A505" s="1"/>
      <c r="B505" s="1"/>
      <c r="C505" s="18"/>
      <c r="D505" s="47"/>
      <c r="E505" s="18"/>
      <c r="F505" s="18"/>
      <c r="G505" s="18"/>
      <c r="H505" s="18"/>
      <c r="I505" s="25"/>
      <c r="J505" s="18"/>
      <c r="K505" s="18"/>
      <c r="L505" s="18"/>
      <c r="M505" s="39"/>
      <c r="N505" s="18"/>
      <c r="O505" s="18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>
      <c r="A506" s="1"/>
      <c r="B506" s="1"/>
      <c r="C506" s="18"/>
      <c r="D506" s="47"/>
      <c r="E506" s="18"/>
      <c r="F506" s="18"/>
      <c r="G506" s="18"/>
      <c r="H506" s="18"/>
      <c r="I506" s="25"/>
      <c r="J506" s="18"/>
      <c r="K506" s="18"/>
      <c r="L506" s="18"/>
      <c r="M506" s="39"/>
      <c r="N506" s="18"/>
      <c r="O506" s="18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>
      <c r="A507" s="1"/>
      <c r="B507" s="1"/>
      <c r="C507" s="18"/>
      <c r="D507" s="47"/>
      <c r="E507" s="18"/>
      <c r="F507" s="18"/>
      <c r="G507" s="18"/>
      <c r="H507" s="18"/>
      <c r="I507" s="25"/>
      <c r="J507" s="18"/>
      <c r="K507" s="18"/>
      <c r="L507" s="18"/>
      <c r="M507" s="39"/>
      <c r="N507" s="18"/>
      <c r="O507" s="18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>
      <c r="A508" s="1"/>
      <c r="B508" s="1"/>
      <c r="C508" s="18"/>
      <c r="D508" s="47"/>
      <c r="E508" s="18"/>
      <c r="F508" s="18"/>
      <c r="G508" s="18"/>
      <c r="H508" s="18"/>
      <c r="I508" s="25"/>
      <c r="J508" s="18"/>
      <c r="K508" s="18"/>
      <c r="L508" s="18"/>
      <c r="M508" s="39"/>
      <c r="N508" s="18"/>
      <c r="O508" s="18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>
      <c r="A509" s="1"/>
      <c r="B509" s="1"/>
      <c r="C509" s="18"/>
      <c r="D509" s="47"/>
      <c r="E509" s="18"/>
      <c r="F509" s="18"/>
      <c r="G509" s="18"/>
      <c r="H509" s="18"/>
      <c r="I509" s="25"/>
      <c r="J509" s="18"/>
      <c r="K509" s="18"/>
      <c r="L509" s="18"/>
      <c r="M509" s="39"/>
      <c r="N509" s="18"/>
      <c r="O509" s="18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>
      <c r="A510" s="1"/>
      <c r="B510" s="1"/>
      <c r="C510" s="18"/>
      <c r="D510" s="47"/>
      <c r="E510" s="18"/>
      <c r="F510" s="18"/>
      <c r="G510" s="18"/>
      <c r="H510" s="18"/>
      <c r="I510" s="25"/>
      <c r="J510" s="18"/>
      <c r="K510" s="18"/>
      <c r="L510" s="18"/>
      <c r="M510" s="39"/>
      <c r="N510" s="18"/>
      <c r="O510" s="18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>
      <c r="A511" s="1"/>
      <c r="B511" s="1"/>
      <c r="C511" s="18"/>
      <c r="D511" s="47"/>
      <c r="E511" s="18"/>
      <c r="F511" s="18"/>
      <c r="G511" s="18"/>
      <c r="H511" s="18"/>
      <c r="I511" s="25"/>
      <c r="J511" s="18"/>
      <c r="K511" s="18"/>
      <c r="L511" s="18"/>
      <c r="M511" s="39"/>
      <c r="N511" s="18"/>
      <c r="O511" s="18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>
      <c r="A512" s="1"/>
      <c r="B512" s="1"/>
      <c r="C512" s="18"/>
      <c r="D512" s="47"/>
      <c r="E512" s="18"/>
      <c r="F512" s="18"/>
      <c r="G512" s="18"/>
      <c r="H512" s="18"/>
      <c r="I512" s="25"/>
      <c r="J512" s="18"/>
      <c r="K512" s="18"/>
      <c r="L512" s="18"/>
      <c r="M512" s="39"/>
      <c r="N512" s="18"/>
      <c r="O512" s="18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>
      <c r="A513" s="1"/>
      <c r="B513" s="1"/>
      <c r="C513" s="18"/>
      <c r="D513" s="47"/>
      <c r="E513" s="18"/>
      <c r="F513" s="18"/>
      <c r="G513" s="18"/>
      <c r="H513" s="18"/>
      <c r="I513" s="25"/>
      <c r="J513" s="18"/>
      <c r="K513" s="18"/>
      <c r="L513" s="18"/>
      <c r="M513" s="39"/>
      <c r="N513" s="18"/>
      <c r="O513" s="18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>
      <c r="A514" s="1"/>
      <c r="B514" s="1"/>
      <c r="C514" s="18"/>
      <c r="D514" s="47"/>
      <c r="E514" s="18"/>
      <c r="F514" s="18"/>
      <c r="G514" s="18"/>
      <c r="H514" s="18"/>
      <c r="I514" s="25"/>
      <c r="J514" s="18"/>
      <c r="K514" s="18"/>
      <c r="L514" s="18"/>
      <c r="M514" s="39"/>
      <c r="N514" s="18"/>
      <c r="O514" s="18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>
      <c r="A515" s="1"/>
      <c r="B515" s="1"/>
      <c r="C515" s="18"/>
      <c r="D515" s="47"/>
      <c r="E515" s="18"/>
      <c r="F515" s="18"/>
      <c r="G515" s="18"/>
      <c r="H515" s="18"/>
      <c r="I515" s="25"/>
      <c r="J515" s="18"/>
      <c r="K515" s="18"/>
      <c r="L515" s="18"/>
      <c r="M515" s="39"/>
      <c r="N515" s="18"/>
      <c r="O515" s="18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>
      <c r="A516" s="1"/>
      <c r="B516" s="1"/>
      <c r="C516" s="18"/>
      <c r="D516" s="47"/>
      <c r="E516" s="18"/>
      <c r="F516" s="18"/>
      <c r="G516" s="18"/>
      <c r="H516" s="18"/>
      <c r="I516" s="25"/>
      <c r="J516" s="18"/>
      <c r="K516" s="18"/>
      <c r="L516" s="18"/>
      <c r="M516" s="39"/>
      <c r="N516" s="18"/>
      <c r="O516" s="18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>
      <c r="A517" s="1"/>
      <c r="B517" s="1"/>
      <c r="C517" s="18"/>
      <c r="D517" s="47"/>
      <c r="E517" s="18"/>
      <c r="F517" s="18"/>
      <c r="G517" s="18"/>
      <c r="H517" s="18"/>
      <c r="I517" s="25"/>
      <c r="J517" s="18"/>
      <c r="K517" s="18"/>
      <c r="L517" s="18"/>
      <c r="M517" s="39"/>
      <c r="N517" s="18"/>
      <c r="O517" s="18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>
      <c r="A518" s="1"/>
      <c r="B518" s="1"/>
      <c r="C518" s="18"/>
      <c r="D518" s="47"/>
      <c r="E518" s="18"/>
      <c r="F518" s="18"/>
      <c r="G518" s="18"/>
      <c r="H518" s="18"/>
      <c r="I518" s="25"/>
      <c r="J518" s="18"/>
      <c r="K518" s="18"/>
      <c r="L518" s="18"/>
      <c r="M518" s="39"/>
      <c r="N518" s="18"/>
      <c r="O518" s="18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>
      <c r="A519" s="1"/>
      <c r="B519" s="1"/>
      <c r="C519" s="18"/>
      <c r="D519" s="47"/>
      <c r="E519" s="18"/>
      <c r="F519" s="18"/>
      <c r="G519" s="18"/>
      <c r="H519" s="18"/>
      <c r="I519" s="25"/>
      <c r="J519" s="18"/>
      <c r="K519" s="18"/>
      <c r="L519" s="18"/>
      <c r="M519" s="39"/>
      <c r="N519" s="18"/>
      <c r="O519" s="18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>
      <c r="A520" s="1"/>
      <c r="B520" s="1"/>
      <c r="C520" s="18"/>
      <c r="D520" s="47"/>
      <c r="E520" s="18"/>
      <c r="F520" s="18"/>
      <c r="G520" s="18"/>
      <c r="H520" s="18"/>
      <c r="I520" s="25"/>
      <c r="J520" s="18"/>
      <c r="K520" s="18"/>
      <c r="L520" s="18"/>
      <c r="M520" s="39"/>
      <c r="N520" s="18"/>
      <c r="O520" s="18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>
      <c r="A521" s="1"/>
      <c r="B521" s="1"/>
      <c r="C521" s="18"/>
      <c r="D521" s="47"/>
      <c r="E521" s="18"/>
      <c r="F521" s="18"/>
      <c r="G521" s="18"/>
      <c r="H521" s="18"/>
      <c r="I521" s="25"/>
      <c r="J521" s="18"/>
      <c r="K521" s="18"/>
      <c r="L521" s="18"/>
      <c r="M521" s="39"/>
      <c r="N521" s="18"/>
      <c r="O521" s="18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>
      <c r="A522" s="1"/>
      <c r="B522" s="1"/>
      <c r="C522" s="18"/>
      <c r="D522" s="47"/>
      <c r="E522" s="18"/>
      <c r="F522" s="18"/>
      <c r="G522" s="18"/>
      <c r="H522" s="18"/>
      <c r="I522" s="25"/>
      <c r="J522" s="18"/>
      <c r="K522" s="18"/>
      <c r="L522" s="18"/>
      <c r="M522" s="39"/>
      <c r="N522" s="18"/>
      <c r="O522" s="18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>
      <c r="A523" s="1"/>
      <c r="B523" s="1"/>
      <c r="C523" s="18"/>
      <c r="D523" s="47"/>
      <c r="E523" s="18"/>
      <c r="F523" s="18"/>
      <c r="G523" s="18"/>
      <c r="H523" s="18"/>
      <c r="I523" s="25"/>
      <c r="J523" s="18"/>
      <c r="K523" s="18"/>
      <c r="L523" s="18"/>
      <c r="M523" s="39"/>
      <c r="N523" s="18"/>
      <c r="O523" s="18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>
      <c r="A524" s="1"/>
      <c r="B524" s="1"/>
      <c r="C524" s="18"/>
      <c r="D524" s="47"/>
      <c r="E524" s="18"/>
      <c r="F524" s="18"/>
      <c r="G524" s="18"/>
      <c r="H524" s="18"/>
      <c r="I524" s="25"/>
      <c r="J524" s="18"/>
      <c r="K524" s="18"/>
      <c r="L524" s="18"/>
      <c r="M524" s="39"/>
      <c r="N524" s="18"/>
      <c r="O524" s="18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>
      <c r="A525" s="1"/>
      <c r="B525" s="1"/>
      <c r="C525" s="18"/>
      <c r="D525" s="47"/>
      <c r="E525" s="18"/>
      <c r="F525" s="18"/>
      <c r="G525" s="18"/>
      <c r="H525" s="18"/>
      <c r="I525" s="25"/>
      <c r="J525" s="18"/>
      <c r="K525" s="18"/>
      <c r="L525" s="18"/>
      <c r="M525" s="39"/>
      <c r="N525" s="18"/>
      <c r="O525" s="18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>
      <c r="A526" s="1"/>
      <c r="B526" s="1"/>
      <c r="C526" s="18"/>
      <c r="D526" s="47"/>
      <c r="E526" s="18"/>
      <c r="F526" s="18"/>
      <c r="G526" s="18"/>
      <c r="H526" s="18"/>
      <c r="I526" s="25"/>
      <c r="J526" s="18"/>
      <c r="K526" s="18"/>
      <c r="L526" s="18"/>
      <c r="M526" s="39"/>
      <c r="N526" s="18"/>
      <c r="O526" s="18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>
      <c r="A527" s="1"/>
      <c r="B527" s="1"/>
      <c r="C527" s="18"/>
      <c r="D527" s="47"/>
      <c r="E527" s="18"/>
      <c r="F527" s="18"/>
      <c r="G527" s="18"/>
      <c r="H527" s="18"/>
      <c r="I527" s="25"/>
      <c r="J527" s="18"/>
      <c r="K527" s="18"/>
      <c r="L527" s="18"/>
      <c r="M527" s="39"/>
      <c r="N527" s="18"/>
      <c r="O527" s="18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>
      <c r="A528" s="1"/>
      <c r="B528" s="1"/>
      <c r="C528" s="18"/>
      <c r="D528" s="47"/>
      <c r="E528" s="18"/>
      <c r="F528" s="18"/>
      <c r="G528" s="18"/>
      <c r="H528" s="18"/>
      <c r="I528" s="25"/>
      <c r="J528" s="18"/>
      <c r="K528" s="18"/>
      <c r="L528" s="18"/>
      <c r="M528" s="39"/>
      <c r="N528" s="18"/>
      <c r="O528" s="18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>
      <c r="A529" s="1"/>
      <c r="B529" s="1"/>
      <c r="C529" s="18"/>
      <c r="D529" s="47"/>
      <c r="E529" s="18"/>
      <c r="F529" s="18"/>
      <c r="G529" s="18"/>
      <c r="H529" s="18"/>
      <c r="I529" s="25"/>
      <c r="J529" s="18"/>
      <c r="K529" s="18"/>
      <c r="L529" s="18"/>
      <c r="M529" s="39"/>
      <c r="N529" s="18"/>
      <c r="O529" s="18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>
      <c r="A530" s="1"/>
      <c r="B530" s="1"/>
      <c r="C530" s="18"/>
      <c r="D530" s="47"/>
      <c r="E530" s="18"/>
      <c r="F530" s="18"/>
      <c r="G530" s="18"/>
      <c r="H530" s="18"/>
      <c r="I530" s="25"/>
      <c r="J530" s="18"/>
      <c r="K530" s="18"/>
      <c r="L530" s="18"/>
      <c r="M530" s="39"/>
      <c r="N530" s="18"/>
      <c r="O530" s="18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>
      <c r="A531" s="1"/>
      <c r="B531" s="1"/>
      <c r="C531" s="18"/>
      <c r="D531" s="47"/>
      <c r="E531" s="18"/>
      <c r="F531" s="18"/>
      <c r="G531" s="18"/>
      <c r="H531" s="18"/>
      <c r="I531" s="25"/>
      <c r="J531" s="18"/>
      <c r="K531" s="18"/>
      <c r="L531" s="18"/>
      <c r="M531" s="39"/>
      <c r="N531" s="18"/>
      <c r="O531" s="18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>
      <c r="A532" s="1"/>
      <c r="B532" s="1"/>
      <c r="C532" s="18"/>
      <c r="D532" s="47"/>
      <c r="E532" s="18"/>
      <c r="F532" s="18"/>
      <c r="G532" s="18"/>
      <c r="H532" s="18"/>
      <c r="I532" s="25"/>
      <c r="J532" s="18"/>
      <c r="K532" s="18"/>
      <c r="L532" s="18"/>
      <c r="M532" s="39"/>
      <c r="N532" s="18"/>
      <c r="O532" s="18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>
      <c r="A533" s="1"/>
      <c r="B533" s="1"/>
      <c r="C533" s="18"/>
      <c r="D533" s="47"/>
      <c r="E533" s="18"/>
      <c r="F533" s="18"/>
      <c r="G533" s="18"/>
      <c r="H533" s="18"/>
      <c r="I533" s="25"/>
      <c r="J533" s="18"/>
      <c r="K533" s="18"/>
      <c r="L533" s="18"/>
      <c r="M533" s="39"/>
      <c r="N533" s="18"/>
      <c r="O533" s="18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>
      <c r="A534" s="1"/>
      <c r="B534" s="1"/>
      <c r="C534" s="18"/>
      <c r="D534" s="47"/>
      <c r="E534" s="18"/>
      <c r="F534" s="18"/>
      <c r="G534" s="18"/>
      <c r="H534" s="18"/>
      <c r="I534" s="25"/>
      <c r="J534" s="18"/>
      <c r="K534" s="18"/>
      <c r="L534" s="18"/>
      <c r="M534" s="39"/>
      <c r="N534" s="18"/>
      <c r="O534" s="18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>
      <c r="A535" s="1"/>
      <c r="B535" s="1"/>
      <c r="C535" s="18"/>
      <c r="D535" s="47"/>
      <c r="E535" s="18"/>
      <c r="F535" s="18"/>
      <c r="G535" s="18"/>
      <c r="H535" s="18"/>
      <c r="I535" s="25"/>
      <c r="J535" s="18"/>
      <c r="K535" s="18"/>
      <c r="L535" s="18"/>
      <c r="M535" s="39"/>
      <c r="N535" s="18"/>
      <c r="O535" s="18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>
      <c r="A536" s="1"/>
      <c r="B536" s="1"/>
      <c r="C536" s="18"/>
      <c r="D536" s="47"/>
      <c r="E536" s="18"/>
      <c r="F536" s="18"/>
      <c r="G536" s="18"/>
      <c r="H536" s="18"/>
      <c r="I536" s="25"/>
      <c r="J536" s="18"/>
      <c r="K536" s="18"/>
      <c r="L536" s="18"/>
      <c r="M536" s="39"/>
      <c r="N536" s="18"/>
      <c r="O536" s="18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>
      <c r="A537" s="1"/>
      <c r="B537" s="1"/>
      <c r="C537" s="18"/>
      <c r="D537" s="47"/>
      <c r="E537" s="18"/>
      <c r="F537" s="18"/>
      <c r="G537" s="18"/>
      <c r="H537" s="18"/>
      <c r="I537" s="25"/>
      <c r="J537" s="18"/>
      <c r="K537" s="18"/>
      <c r="L537" s="18"/>
      <c r="M537" s="39"/>
      <c r="N537" s="18"/>
      <c r="O537" s="18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>
      <c r="A538" s="1"/>
      <c r="B538" s="1"/>
      <c r="C538" s="18"/>
      <c r="D538" s="47"/>
      <c r="E538" s="18"/>
      <c r="F538" s="18"/>
      <c r="G538" s="18"/>
      <c r="H538" s="18"/>
      <c r="I538" s="25"/>
      <c r="J538" s="18"/>
      <c r="K538" s="18"/>
      <c r="L538" s="18"/>
      <c r="M538" s="39"/>
      <c r="N538" s="18"/>
      <c r="O538" s="18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>
      <c r="A539" s="1"/>
      <c r="B539" s="1"/>
      <c r="C539" s="18"/>
      <c r="D539" s="47"/>
      <c r="E539" s="18"/>
      <c r="F539" s="18"/>
      <c r="G539" s="18"/>
      <c r="H539" s="18"/>
      <c r="I539" s="25"/>
      <c r="J539" s="18"/>
      <c r="K539" s="18"/>
      <c r="L539" s="18"/>
      <c r="M539" s="39"/>
      <c r="N539" s="18"/>
      <c r="O539" s="18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>
      <c r="A540" s="1"/>
      <c r="B540" s="1"/>
      <c r="C540" s="18"/>
      <c r="D540" s="47"/>
      <c r="E540" s="18"/>
      <c r="F540" s="18"/>
      <c r="G540" s="18"/>
      <c r="H540" s="18"/>
      <c r="I540" s="25"/>
      <c r="J540" s="18"/>
      <c r="K540" s="18"/>
      <c r="L540" s="18"/>
      <c r="M540" s="39"/>
      <c r="N540" s="18"/>
      <c r="O540" s="18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>
      <c r="A541" s="1"/>
      <c r="B541" s="1"/>
      <c r="C541" s="18"/>
      <c r="D541" s="47"/>
      <c r="E541" s="18"/>
      <c r="F541" s="18"/>
      <c r="G541" s="18"/>
      <c r="H541" s="18"/>
      <c r="I541" s="25"/>
      <c r="J541" s="18"/>
      <c r="K541" s="18"/>
      <c r="L541" s="18"/>
      <c r="M541" s="39"/>
      <c r="N541" s="18"/>
      <c r="O541" s="18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>
      <c r="A542" s="1"/>
      <c r="B542" s="1"/>
      <c r="C542" s="18"/>
      <c r="D542" s="47"/>
      <c r="E542" s="18"/>
      <c r="F542" s="18"/>
      <c r="G542" s="18"/>
      <c r="H542" s="18"/>
      <c r="I542" s="25"/>
      <c r="J542" s="18"/>
      <c r="K542" s="18"/>
      <c r="L542" s="18"/>
      <c r="M542" s="39"/>
      <c r="N542" s="18"/>
      <c r="O542" s="18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>
      <c r="A543" s="1"/>
      <c r="B543" s="1"/>
      <c r="C543" s="18"/>
      <c r="D543" s="47"/>
      <c r="E543" s="18"/>
      <c r="F543" s="18"/>
      <c r="G543" s="18"/>
      <c r="H543" s="18"/>
      <c r="I543" s="25"/>
      <c r="J543" s="18"/>
      <c r="K543" s="18"/>
      <c r="L543" s="18"/>
      <c r="M543" s="39"/>
      <c r="N543" s="18"/>
      <c r="O543" s="18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>
      <c r="A544" s="1"/>
      <c r="B544" s="1"/>
      <c r="C544" s="18"/>
      <c r="D544" s="47"/>
      <c r="E544" s="18"/>
      <c r="F544" s="18"/>
      <c r="G544" s="18"/>
      <c r="H544" s="18"/>
      <c r="I544" s="25"/>
      <c r="J544" s="18"/>
      <c r="K544" s="18"/>
      <c r="L544" s="18"/>
      <c r="M544" s="39"/>
      <c r="N544" s="18"/>
      <c r="O544" s="18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>
      <c r="A545" s="1"/>
      <c r="B545" s="1"/>
      <c r="C545" s="18"/>
      <c r="D545" s="47"/>
      <c r="E545" s="18"/>
      <c r="F545" s="18"/>
      <c r="G545" s="18"/>
      <c r="H545" s="18"/>
      <c r="I545" s="25"/>
      <c r="J545" s="18"/>
      <c r="K545" s="18"/>
      <c r="L545" s="18"/>
      <c r="M545" s="39"/>
      <c r="N545" s="18"/>
      <c r="O545" s="18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>
      <c r="A546" s="1"/>
      <c r="B546" s="1"/>
      <c r="C546" s="18"/>
      <c r="D546" s="47"/>
      <c r="E546" s="18"/>
      <c r="F546" s="18"/>
      <c r="G546" s="18"/>
      <c r="H546" s="18"/>
      <c r="I546" s="25"/>
      <c r="J546" s="18"/>
      <c r="K546" s="18"/>
      <c r="L546" s="18"/>
      <c r="M546" s="39"/>
      <c r="N546" s="18"/>
      <c r="O546" s="18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>
      <c r="A547" s="1"/>
      <c r="B547" s="1"/>
      <c r="C547" s="18"/>
      <c r="D547" s="47"/>
      <c r="E547" s="18"/>
      <c r="F547" s="18"/>
      <c r="G547" s="18"/>
      <c r="H547" s="18"/>
      <c r="I547" s="25"/>
      <c r="J547" s="18"/>
      <c r="K547" s="18"/>
      <c r="L547" s="18"/>
      <c r="M547" s="39"/>
      <c r="N547" s="18"/>
      <c r="O547" s="18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>
      <c r="A548" s="1"/>
      <c r="B548" s="1"/>
      <c r="C548" s="18"/>
      <c r="D548" s="47"/>
      <c r="E548" s="18"/>
      <c r="F548" s="18"/>
      <c r="G548" s="18"/>
      <c r="H548" s="18"/>
      <c r="I548" s="25"/>
      <c r="J548" s="18"/>
      <c r="K548" s="18"/>
      <c r="L548" s="18"/>
      <c r="M548" s="39"/>
      <c r="N548" s="18"/>
      <c r="O548" s="18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>
      <c r="A549" s="1"/>
      <c r="B549" s="1"/>
      <c r="C549" s="18"/>
      <c r="D549" s="47"/>
      <c r="E549" s="18"/>
      <c r="F549" s="18"/>
      <c r="G549" s="18"/>
      <c r="H549" s="18"/>
      <c r="I549" s="25"/>
      <c r="J549" s="18"/>
      <c r="K549" s="18"/>
      <c r="L549" s="18"/>
      <c r="M549" s="39"/>
      <c r="N549" s="18"/>
      <c r="O549" s="18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>
      <c r="A550" s="1"/>
      <c r="B550" s="1"/>
      <c r="C550" s="18"/>
      <c r="D550" s="47"/>
      <c r="E550" s="18"/>
      <c r="F550" s="18"/>
      <c r="G550" s="18"/>
      <c r="H550" s="18"/>
      <c r="I550" s="25"/>
      <c r="J550" s="18"/>
      <c r="K550" s="18"/>
      <c r="L550" s="18"/>
      <c r="M550" s="39"/>
      <c r="N550" s="18"/>
      <c r="O550" s="18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>
      <c r="A551" s="1"/>
      <c r="B551" s="1"/>
      <c r="C551" s="18"/>
      <c r="D551" s="47"/>
      <c r="E551" s="18"/>
      <c r="F551" s="18"/>
      <c r="G551" s="18"/>
      <c r="H551" s="18"/>
      <c r="I551" s="25"/>
      <c r="J551" s="18"/>
      <c r="K551" s="18"/>
      <c r="L551" s="18"/>
      <c r="M551" s="39"/>
      <c r="N551" s="18"/>
      <c r="O551" s="18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>
      <c r="A552" s="1"/>
      <c r="B552" s="1"/>
      <c r="C552" s="18"/>
      <c r="D552" s="47"/>
      <c r="E552" s="18"/>
      <c r="F552" s="18"/>
      <c r="G552" s="18"/>
      <c r="H552" s="18"/>
      <c r="I552" s="25"/>
      <c r="J552" s="18"/>
      <c r="K552" s="18"/>
      <c r="L552" s="18"/>
      <c r="M552" s="39"/>
      <c r="N552" s="18"/>
      <c r="O552" s="18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>
      <c r="A553" s="1"/>
      <c r="B553" s="1"/>
      <c r="C553" s="18"/>
      <c r="D553" s="47"/>
      <c r="E553" s="18"/>
      <c r="F553" s="18"/>
      <c r="G553" s="18"/>
      <c r="H553" s="18"/>
      <c r="I553" s="25"/>
      <c r="J553" s="18"/>
      <c r="K553" s="18"/>
      <c r="L553" s="18"/>
      <c r="M553" s="39"/>
      <c r="N553" s="18"/>
      <c r="O553" s="18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>
      <c r="A554" s="1"/>
      <c r="B554" s="1"/>
      <c r="C554" s="18"/>
      <c r="D554" s="47"/>
      <c r="E554" s="18"/>
      <c r="F554" s="18"/>
      <c r="G554" s="18"/>
      <c r="H554" s="18"/>
      <c r="I554" s="25"/>
      <c r="J554" s="18"/>
      <c r="K554" s="18"/>
      <c r="L554" s="18"/>
      <c r="M554" s="39"/>
      <c r="N554" s="18"/>
      <c r="O554" s="18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>
      <c r="A555" s="1"/>
      <c r="B555" s="1"/>
      <c r="C555" s="18"/>
      <c r="D555" s="47"/>
      <c r="E555" s="18"/>
      <c r="F555" s="18"/>
      <c r="G555" s="18"/>
      <c r="H555" s="18"/>
      <c r="I555" s="25"/>
      <c r="J555" s="18"/>
      <c r="K555" s="18"/>
      <c r="L555" s="18"/>
      <c r="M555" s="39"/>
      <c r="N555" s="18"/>
      <c r="O555" s="18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>
      <c r="A556" s="1"/>
      <c r="B556" s="1"/>
      <c r="C556" s="18"/>
      <c r="D556" s="47"/>
      <c r="E556" s="18"/>
      <c r="F556" s="18"/>
      <c r="G556" s="18"/>
      <c r="H556" s="18"/>
      <c r="I556" s="25"/>
      <c r="J556" s="18"/>
      <c r="K556" s="18"/>
      <c r="L556" s="18"/>
      <c r="M556" s="39"/>
      <c r="N556" s="18"/>
      <c r="O556" s="18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>
      <c r="A557" s="1"/>
      <c r="B557" s="1"/>
      <c r="C557" s="18"/>
      <c r="D557" s="47"/>
      <c r="E557" s="18"/>
      <c r="F557" s="18"/>
      <c r="G557" s="18"/>
      <c r="H557" s="18"/>
      <c r="I557" s="25"/>
      <c r="J557" s="18"/>
      <c r="K557" s="18"/>
      <c r="L557" s="18"/>
      <c r="M557" s="39"/>
      <c r="N557" s="18"/>
      <c r="O557" s="18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>
      <c r="A558" s="1"/>
      <c r="B558" s="1"/>
      <c r="C558" s="18"/>
      <c r="D558" s="47"/>
      <c r="E558" s="18"/>
      <c r="F558" s="18"/>
      <c r="G558" s="18"/>
      <c r="H558" s="18"/>
      <c r="I558" s="25"/>
      <c r="J558" s="18"/>
      <c r="K558" s="18"/>
      <c r="L558" s="18"/>
      <c r="M558" s="39"/>
      <c r="N558" s="18"/>
      <c r="O558" s="18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>
      <c r="A559" s="1"/>
      <c r="B559" s="1"/>
      <c r="C559" s="18"/>
      <c r="D559" s="47"/>
      <c r="E559" s="18"/>
      <c r="F559" s="18"/>
      <c r="G559" s="18"/>
      <c r="H559" s="18"/>
      <c r="I559" s="25"/>
      <c r="J559" s="18"/>
      <c r="K559" s="18"/>
      <c r="L559" s="18"/>
      <c r="M559" s="39"/>
      <c r="N559" s="18"/>
      <c r="O559" s="18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>
      <c r="A560" s="1"/>
      <c r="B560" s="1"/>
      <c r="C560" s="18"/>
      <c r="D560" s="47"/>
      <c r="E560" s="18"/>
      <c r="F560" s="18"/>
      <c r="G560" s="18"/>
      <c r="H560" s="18"/>
      <c r="I560" s="25"/>
      <c r="J560" s="18"/>
      <c r="K560" s="18"/>
      <c r="L560" s="18"/>
      <c r="M560" s="39"/>
      <c r="N560" s="18"/>
      <c r="O560" s="18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>
      <c r="A561" s="1"/>
      <c r="B561" s="1"/>
      <c r="C561" s="18"/>
      <c r="D561" s="47"/>
      <c r="E561" s="18"/>
      <c r="F561" s="18"/>
      <c r="G561" s="18"/>
      <c r="H561" s="18"/>
      <c r="I561" s="25"/>
      <c r="J561" s="18"/>
      <c r="K561" s="18"/>
      <c r="L561" s="18"/>
      <c r="M561" s="39"/>
      <c r="N561" s="18"/>
      <c r="O561" s="18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>
      <c r="A562" s="1"/>
      <c r="B562" s="1"/>
      <c r="C562" s="18"/>
      <c r="D562" s="47"/>
      <c r="E562" s="18"/>
      <c r="F562" s="18"/>
      <c r="G562" s="18"/>
      <c r="H562" s="18"/>
      <c r="I562" s="25"/>
      <c r="J562" s="18"/>
      <c r="K562" s="18"/>
      <c r="L562" s="18"/>
      <c r="M562" s="39"/>
      <c r="N562" s="18"/>
      <c r="O562" s="18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>
      <c r="A563" s="1"/>
      <c r="B563" s="1"/>
      <c r="C563" s="18"/>
      <c r="D563" s="47"/>
      <c r="E563" s="18"/>
      <c r="F563" s="18"/>
      <c r="G563" s="18"/>
      <c r="H563" s="18"/>
      <c r="I563" s="25"/>
      <c r="J563" s="18"/>
      <c r="K563" s="18"/>
      <c r="L563" s="18"/>
      <c r="M563" s="39"/>
      <c r="N563" s="18"/>
      <c r="O563" s="18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>
      <c r="A564" s="1"/>
      <c r="B564" s="1"/>
      <c r="C564" s="18"/>
      <c r="D564" s="47"/>
      <c r="E564" s="18"/>
      <c r="F564" s="18"/>
      <c r="G564" s="18"/>
      <c r="H564" s="18"/>
      <c r="I564" s="25"/>
      <c r="J564" s="18"/>
      <c r="K564" s="18"/>
      <c r="L564" s="18"/>
      <c r="M564" s="39"/>
      <c r="N564" s="18"/>
      <c r="O564" s="18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>
      <c r="A565" s="1"/>
      <c r="B565" s="1"/>
      <c r="C565" s="18"/>
      <c r="D565" s="47"/>
      <c r="E565" s="18"/>
      <c r="F565" s="18"/>
      <c r="G565" s="18"/>
      <c r="H565" s="18"/>
      <c r="I565" s="25"/>
      <c r="J565" s="18"/>
      <c r="K565" s="18"/>
      <c r="L565" s="18"/>
      <c r="M565" s="39"/>
      <c r="N565" s="18"/>
      <c r="O565" s="18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>
      <c r="A566" s="1"/>
      <c r="B566" s="1"/>
      <c r="C566" s="18"/>
      <c r="D566" s="47"/>
      <c r="E566" s="18"/>
      <c r="F566" s="18"/>
      <c r="G566" s="18"/>
      <c r="H566" s="18"/>
      <c r="I566" s="25"/>
      <c r="J566" s="18"/>
      <c r="K566" s="18"/>
      <c r="L566" s="18"/>
      <c r="M566" s="39"/>
      <c r="N566" s="18"/>
      <c r="O566" s="18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>
      <c r="A567" s="1"/>
      <c r="B567" s="1"/>
      <c r="C567" s="18"/>
      <c r="D567" s="47"/>
      <c r="E567" s="18"/>
      <c r="F567" s="18"/>
      <c r="G567" s="18"/>
      <c r="H567" s="18"/>
      <c r="I567" s="25"/>
      <c r="J567" s="18"/>
      <c r="K567" s="18"/>
      <c r="L567" s="18"/>
      <c r="M567" s="39"/>
      <c r="N567" s="18"/>
      <c r="O567" s="18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>
      <c r="A568" s="1"/>
      <c r="B568" s="1"/>
      <c r="C568" s="18"/>
      <c r="D568" s="47"/>
      <c r="E568" s="18"/>
      <c r="F568" s="18"/>
      <c r="G568" s="18"/>
      <c r="H568" s="18"/>
      <c r="I568" s="25"/>
      <c r="J568" s="18"/>
      <c r="K568" s="18"/>
      <c r="L568" s="18"/>
      <c r="M568" s="39"/>
      <c r="N568" s="18"/>
      <c r="O568" s="18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>
      <c r="A569" s="1"/>
      <c r="B569" s="1"/>
      <c r="C569" s="18"/>
      <c r="D569" s="47"/>
      <c r="E569" s="18"/>
      <c r="F569" s="18"/>
      <c r="G569" s="18"/>
      <c r="H569" s="18"/>
      <c r="I569" s="25"/>
      <c r="J569" s="18"/>
      <c r="K569" s="18"/>
      <c r="L569" s="18"/>
      <c r="M569" s="39"/>
      <c r="N569" s="18"/>
      <c r="O569" s="18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>
      <c r="A570" s="1"/>
      <c r="B570" s="1"/>
      <c r="C570" s="18"/>
      <c r="D570" s="47"/>
      <c r="E570" s="18"/>
      <c r="F570" s="18"/>
      <c r="G570" s="18"/>
      <c r="H570" s="18"/>
      <c r="I570" s="25"/>
      <c r="J570" s="18"/>
      <c r="K570" s="18"/>
      <c r="L570" s="18"/>
      <c r="M570" s="39"/>
      <c r="N570" s="18"/>
      <c r="O570" s="18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>
      <c r="A571" s="1"/>
      <c r="B571" s="1"/>
      <c r="C571" s="18"/>
      <c r="D571" s="47"/>
      <c r="E571" s="18"/>
      <c r="F571" s="18"/>
      <c r="G571" s="18"/>
      <c r="H571" s="18"/>
      <c r="I571" s="25"/>
      <c r="J571" s="18"/>
      <c r="K571" s="18"/>
      <c r="L571" s="18"/>
      <c r="M571" s="39"/>
      <c r="N571" s="18"/>
      <c r="O571" s="18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>
      <c r="A572" s="1"/>
      <c r="B572" s="1"/>
      <c r="C572" s="18"/>
      <c r="D572" s="47"/>
      <c r="E572" s="18"/>
      <c r="F572" s="18"/>
      <c r="G572" s="18"/>
      <c r="H572" s="18"/>
      <c r="I572" s="25"/>
      <c r="J572" s="18"/>
      <c r="K572" s="18"/>
      <c r="L572" s="18"/>
      <c r="M572" s="39"/>
      <c r="N572" s="18"/>
      <c r="O572" s="18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>
      <c r="A573" s="1"/>
      <c r="B573" s="1"/>
      <c r="C573" s="18"/>
      <c r="D573" s="47"/>
      <c r="E573" s="18"/>
      <c r="F573" s="18"/>
      <c r="G573" s="18"/>
      <c r="H573" s="18"/>
      <c r="I573" s="25"/>
      <c r="J573" s="18"/>
      <c r="K573" s="18"/>
      <c r="L573" s="18"/>
      <c r="M573" s="39"/>
      <c r="N573" s="18"/>
      <c r="O573" s="18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>
      <c r="A574" s="1"/>
      <c r="B574" s="1"/>
      <c r="C574" s="18"/>
      <c r="D574" s="47"/>
      <c r="E574" s="18"/>
      <c r="F574" s="18"/>
      <c r="G574" s="18"/>
      <c r="H574" s="18"/>
      <c r="I574" s="25"/>
      <c r="J574" s="18"/>
      <c r="K574" s="18"/>
      <c r="L574" s="18"/>
      <c r="M574" s="39"/>
      <c r="N574" s="18"/>
      <c r="O574" s="18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>
      <c r="A575" s="1"/>
      <c r="B575" s="1"/>
      <c r="C575" s="18"/>
      <c r="D575" s="47"/>
      <c r="E575" s="18"/>
      <c r="F575" s="18"/>
      <c r="G575" s="18"/>
      <c r="H575" s="18"/>
      <c r="I575" s="25"/>
      <c r="J575" s="18"/>
      <c r="K575" s="18"/>
      <c r="L575" s="18"/>
      <c r="M575" s="39"/>
      <c r="N575" s="18"/>
      <c r="O575" s="18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>
      <c r="A576" s="1"/>
      <c r="B576" s="1"/>
      <c r="C576" s="18"/>
      <c r="D576" s="47"/>
      <c r="E576" s="18"/>
      <c r="F576" s="18"/>
      <c r="G576" s="18"/>
      <c r="H576" s="18"/>
      <c r="I576" s="25"/>
      <c r="J576" s="18"/>
      <c r="K576" s="18"/>
      <c r="L576" s="18"/>
      <c r="M576" s="39"/>
      <c r="N576" s="18"/>
      <c r="O576" s="18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>
      <c r="A577" s="1"/>
      <c r="B577" s="1"/>
      <c r="C577" s="18"/>
      <c r="D577" s="47"/>
      <c r="E577" s="18"/>
      <c r="F577" s="18"/>
      <c r="G577" s="18"/>
      <c r="H577" s="18"/>
      <c r="I577" s="25"/>
      <c r="J577" s="18"/>
      <c r="K577" s="18"/>
      <c r="L577" s="18"/>
      <c r="M577" s="39"/>
      <c r="N577" s="18"/>
      <c r="O577" s="18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>
      <c r="A578" s="1"/>
      <c r="B578" s="1"/>
      <c r="C578" s="18"/>
      <c r="D578" s="47"/>
      <c r="E578" s="18"/>
      <c r="F578" s="18"/>
      <c r="G578" s="18"/>
      <c r="H578" s="18"/>
      <c r="I578" s="25"/>
      <c r="J578" s="18"/>
      <c r="K578" s="18"/>
      <c r="L578" s="18"/>
      <c r="M578" s="39"/>
      <c r="N578" s="18"/>
      <c r="O578" s="18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>
      <c r="A579" s="1"/>
      <c r="B579" s="1"/>
      <c r="C579" s="18"/>
      <c r="D579" s="47"/>
      <c r="E579" s="18"/>
      <c r="F579" s="18"/>
      <c r="G579" s="18"/>
      <c r="H579" s="18"/>
      <c r="I579" s="25"/>
      <c r="J579" s="18"/>
      <c r="K579" s="18"/>
      <c r="L579" s="18"/>
      <c r="M579" s="39"/>
      <c r="N579" s="18"/>
      <c r="O579" s="18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>
      <c r="A580" s="1"/>
      <c r="B580" s="1"/>
      <c r="C580" s="18"/>
      <c r="D580" s="47"/>
      <c r="E580" s="18"/>
      <c r="F580" s="18"/>
      <c r="G580" s="18"/>
      <c r="H580" s="18"/>
      <c r="I580" s="25"/>
      <c r="J580" s="18"/>
      <c r="K580" s="18"/>
      <c r="L580" s="18"/>
      <c r="M580" s="39"/>
      <c r="N580" s="18"/>
      <c r="O580" s="18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>
      <c r="A581" s="1"/>
      <c r="B581" s="1"/>
      <c r="C581" s="18"/>
      <c r="D581" s="47"/>
      <c r="E581" s="18"/>
      <c r="F581" s="18"/>
      <c r="G581" s="18"/>
      <c r="H581" s="18"/>
      <c r="I581" s="25"/>
      <c r="J581" s="18"/>
      <c r="K581" s="18"/>
      <c r="L581" s="18"/>
      <c r="M581" s="39"/>
      <c r="N581" s="18"/>
      <c r="O581" s="18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>
      <c r="A582" s="1"/>
      <c r="B582" s="1"/>
      <c r="C582" s="18"/>
      <c r="D582" s="47"/>
      <c r="E582" s="18"/>
      <c r="F582" s="18"/>
      <c r="G582" s="18"/>
      <c r="H582" s="18"/>
      <c r="I582" s="25"/>
      <c r="J582" s="18"/>
      <c r="K582" s="18"/>
      <c r="L582" s="18"/>
      <c r="M582" s="39"/>
      <c r="N582" s="18"/>
      <c r="O582" s="18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>
      <c r="A583" s="1"/>
      <c r="B583" s="1"/>
      <c r="C583" s="18"/>
      <c r="D583" s="47"/>
      <c r="E583" s="18"/>
      <c r="F583" s="18"/>
      <c r="G583" s="18"/>
      <c r="H583" s="18"/>
      <c r="I583" s="25"/>
      <c r="J583" s="18"/>
      <c r="K583" s="18"/>
      <c r="L583" s="18"/>
      <c r="M583" s="39"/>
      <c r="N583" s="18"/>
      <c r="O583" s="18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>
      <c r="A584" s="1"/>
      <c r="B584" s="1"/>
      <c r="C584" s="18"/>
      <c r="D584" s="47"/>
      <c r="E584" s="18"/>
      <c r="F584" s="18"/>
      <c r="G584" s="18"/>
      <c r="H584" s="18"/>
      <c r="I584" s="25"/>
      <c r="J584" s="18"/>
      <c r="K584" s="18"/>
      <c r="L584" s="18"/>
      <c r="M584" s="39"/>
      <c r="N584" s="18"/>
      <c r="O584" s="18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>
      <c r="A585" s="1"/>
      <c r="B585" s="1"/>
      <c r="C585" s="18"/>
      <c r="D585" s="47"/>
      <c r="E585" s="18"/>
      <c r="F585" s="18"/>
      <c r="G585" s="18"/>
      <c r="H585" s="18"/>
      <c r="I585" s="25"/>
      <c r="J585" s="18"/>
      <c r="K585" s="18"/>
      <c r="L585" s="18"/>
      <c r="M585" s="39"/>
      <c r="N585" s="18"/>
      <c r="O585" s="18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>
      <c r="A586" s="1"/>
      <c r="B586" s="1"/>
      <c r="C586" s="18"/>
      <c r="D586" s="47"/>
      <c r="E586" s="18"/>
      <c r="F586" s="18"/>
      <c r="G586" s="18"/>
      <c r="H586" s="18"/>
      <c r="I586" s="25"/>
      <c r="J586" s="18"/>
      <c r="K586" s="18"/>
      <c r="L586" s="18"/>
      <c r="M586" s="39"/>
      <c r="N586" s="18"/>
      <c r="O586" s="18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>
      <c r="A587" s="1"/>
      <c r="B587" s="1"/>
      <c r="C587" s="18"/>
      <c r="D587" s="47"/>
      <c r="E587" s="18"/>
      <c r="F587" s="18"/>
      <c r="G587" s="18"/>
      <c r="H587" s="18"/>
      <c r="I587" s="25"/>
      <c r="J587" s="18"/>
      <c r="K587" s="18"/>
      <c r="L587" s="18"/>
      <c r="M587" s="39"/>
      <c r="N587" s="18"/>
      <c r="O587" s="18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>
      <c r="A588" s="1"/>
      <c r="B588" s="1"/>
      <c r="C588" s="18"/>
      <c r="D588" s="47"/>
      <c r="E588" s="18"/>
      <c r="F588" s="18"/>
      <c r="G588" s="18"/>
      <c r="H588" s="18"/>
      <c r="I588" s="25"/>
      <c r="J588" s="18"/>
      <c r="K588" s="18"/>
      <c r="L588" s="18"/>
      <c r="M588" s="39"/>
      <c r="N588" s="18"/>
      <c r="O588" s="18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>
      <c r="A589" s="1"/>
      <c r="B589" s="1"/>
      <c r="C589" s="18"/>
      <c r="D589" s="47"/>
      <c r="E589" s="18"/>
      <c r="F589" s="18"/>
      <c r="G589" s="18"/>
      <c r="H589" s="18"/>
      <c r="I589" s="25"/>
      <c r="J589" s="18"/>
      <c r="K589" s="18"/>
      <c r="L589" s="18"/>
      <c r="M589" s="39"/>
      <c r="N589" s="18"/>
      <c r="O589" s="18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>
      <c r="A590" s="1"/>
      <c r="B590" s="1"/>
      <c r="C590" s="18"/>
      <c r="D590" s="47"/>
      <c r="E590" s="18"/>
      <c r="F590" s="18"/>
      <c r="G590" s="18"/>
      <c r="H590" s="18"/>
      <c r="I590" s="25"/>
      <c r="J590" s="18"/>
      <c r="K590" s="18"/>
      <c r="L590" s="18"/>
      <c r="M590" s="39"/>
      <c r="N590" s="18"/>
      <c r="O590" s="18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>
      <c r="A591" s="1"/>
      <c r="B591" s="1"/>
      <c r="C591" s="18"/>
      <c r="D591" s="47"/>
      <c r="E591" s="18"/>
      <c r="F591" s="18"/>
      <c r="G591" s="18"/>
      <c r="H591" s="18"/>
      <c r="I591" s="25"/>
      <c r="J591" s="18"/>
      <c r="K591" s="18"/>
      <c r="L591" s="18"/>
      <c r="M591" s="39"/>
      <c r="N591" s="18"/>
      <c r="O591" s="18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>
      <c r="A592" s="1"/>
      <c r="B592" s="1"/>
      <c r="C592" s="18"/>
      <c r="D592" s="47"/>
      <c r="E592" s="18"/>
      <c r="F592" s="18"/>
      <c r="G592" s="18"/>
      <c r="H592" s="18"/>
      <c r="I592" s="25"/>
      <c r="J592" s="18"/>
      <c r="K592" s="18"/>
      <c r="L592" s="18"/>
      <c r="M592" s="39"/>
      <c r="N592" s="18"/>
      <c r="O592" s="18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>
      <c r="A593" s="1"/>
      <c r="B593" s="1"/>
      <c r="C593" s="18"/>
      <c r="D593" s="47"/>
      <c r="E593" s="18"/>
      <c r="F593" s="18"/>
      <c r="G593" s="18"/>
      <c r="H593" s="18"/>
      <c r="I593" s="25"/>
      <c r="J593" s="18"/>
      <c r="K593" s="18"/>
      <c r="L593" s="18"/>
      <c r="M593" s="39"/>
      <c r="N593" s="18"/>
      <c r="O593" s="18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>
      <c r="A594" s="1"/>
      <c r="B594" s="1"/>
      <c r="C594" s="18"/>
      <c r="D594" s="47"/>
      <c r="E594" s="18"/>
      <c r="F594" s="18"/>
      <c r="G594" s="18"/>
      <c r="H594" s="18"/>
      <c r="I594" s="25"/>
      <c r="J594" s="18"/>
      <c r="K594" s="18"/>
      <c r="L594" s="18"/>
      <c r="M594" s="39"/>
      <c r="N594" s="18"/>
      <c r="O594" s="18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>
      <c r="A595" s="1"/>
      <c r="B595" s="1"/>
      <c r="C595" s="18"/>
      <c r="D595" s="47"/>
      <c r="E595" s="18"/>
      <c r="F595" s="18"/>
      <c r="G595" s="18"/>
      <c r="H595" s="18"/>
      <c r="I595" s="25"/>
      <c r="J595" s="18"/>
      <c r="K595" s="18"/>
      <c r="L595" s="18"/>
      <c r="M595" s="39"/>
      <c r="N595" s="18"/>
      <c r="O595" s="18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>
      <c r="A596" s="1"/>
      <c r="B596" s="1"/>
      <c r="C596" s="18"/>
      <c r="D596" s="47"/>
      <c r="E596" s="18"/>
      <c r="F596" s="18"/>
      <c r="G596" s="18"/>
      <c r="H596" s="18"/>
      <c r="I596" s="25"/>
      <c r="J596" s="18"/>
      <c r="K596" s="18"/>
      <c r="L596" s="18"/>
      <c r="M596" s="39"/>
      <c r="N596" s="18"/>
      <c r="O596" s="18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>
      <c r="A597" s="1"/>
      <c r="B597" s="1"/>
      <c r="C597" s="18"/>
      <c r="D597" s="47"/>
      <c r="E597" s="18"/>
      <c r="F597" s="18"/>
      <c r="G597" s="18"/>
      <c r="H597" s="18"/>
      <c r="I597" s="25"/>
      <c r="J597" s="18"/>
      <c r="K597" s="18"/>
      <c r="L597" s="18"/>
      <c r="M597" s="39"/>
      <c r="N597" s="18"/>
      <c r="O597" s="18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>
      <c r="A598" s="1"/>
      <c r="B598" s="1"/>
      <c r="C598" s="18"/>
      <c r="D598" s="47"/>
      <c r="E598" s="18"/>
      <c r="F598" s="18"/>
      <c r="G598" s="18"/>
      <c r="H598" s="18"/>
      <c r="I598" s="25"/>
      <c r="J598" s="18"/>
      <c r="K598" s="18"/>
      <c r="L598" s="18"/>
      <c r="M598" s="39"/>
      <c r="N598" s="18"/>
      <c r="O598" s="18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>
      <c r="A599" s="1"/>
      <c r="B599" s="1"/>
      <c r="C599" s="18"/>
      <c r="D599" s="47"/>
      <c r="E599" s="18"/>
      <c r="F599" s="18"/>
      <c r="G599" s="18"/>
      <c r="H599" s="18"/>
      <c r="I599" s="25"/>
      <c r="J599" s="18"/>
      <c r="K599" s="18"/>
      <c r="L599" s="18"/>
      <c r="M599" s="39"/>
      <c r="N599" s="18"/>
      <c r="O599" s="18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>
      <c r="A600" s="1"/>
      <c r="B600" s="1"/>
      <c r="C600" s="18"/>
      <c r="D600" s="47"/>
      <c r="E600" s="18"/>
      <c r="F600" s="18"/>
      <c r="G600" s="18"/>
      <c r="H600" s="18"/>
      <c r="I600" s="25"/>
      <c r="J600" s="18"/>
      <c r="K600" s="18"/>
      <c r="L600" s="18"/>
      <c r="M600" s="39"/>
      <c r="N600" s="18"/>
      <c r="O600" s="18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>
      <c r="A601" s="1"/>
      <c r="B601" s="1"/>
      <c r="C601" s="18"/>
      <c r="D601" s="47"/>
      <c r="E601" s="18"/>
      <c r="F601" s="18"/>
      <c r="G601" s="18"/>
      <c r="H601" s="18"/>
      <c r="I601" s="25"/>
      <c r="J601" s="18"/>
      <c r="K601" s="18"/>
      <c r="L601" s="18"/>
      <c r="M601" s="39"/>
      <c r="N601" s="18"/>
      <c r="O601" s="18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>
      <c r="A602" s="1"/>
      <c r="B602" s="1"/>
      <c r="C602" s="18"/>
      <c r="D602" s="47"/>
      <c r="E602" s="18"/>
      <c r="F602" s="18"/>
      <c r="G602" s="18"/>
      <c r="H602" s="18"/>
      <c r="I602" s="25"/>
      <c r="J602" s="18"/>
      <c r="K602" s="18"/>
      <c r="L602" s="18"/>
      <c r="M602" s="39"/>
      <c r="N602" s="18"/>
      <c r="O602" s="18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>
      <c r="A603" s="1"/>
      <c r="B603" s="1"/>
      <c r="C603" s="18"/>
      <c r="D603" s="47"/>
      <c r="E603" s="18"/>
      <c r="F603" s="18"/>
      <c r="G603" s="18"/>
      <c r="H603" s="18"/>
      <c r="I603" s="25"/>
      <c r="J603" s="18"/>
      <c r="K603" s="18"/>
      <c r="L603" s="18"/>
      <c r="M603" s="39"/>
      <c r="N603" s="18"/>
      <c r="O603" s="18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>
      <c r="A604" s="1"/>
      <c r="B604" s="1"/>
      <c r="C604" s="18"/>
      <c r="D604" s="47"/>
      <c r="E604" s="18"/>
      <c r="F604" s="18"/>
      <c r="G604" s="18"/>
      <c r="H604" s="18"/>
      <c r="I604" s="25"/>
      <c r="J604" s="18"/>
      <c r="K604" s="18"/>
      <c r="L604" s="18"/>
      <c r="M604" s="39"/>
      <c r="N604" s="18"/>
      <c r="O604" s="18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>
      <c r="A605" s="1"/>
      <c r="B605" s="1"/>
      <c r="C605" s="18"/>
      <c r="D605" s="47"/>
      <c r="E605" s="18"/>
      <c r="F605" s="18"/>
      <c r="G605" s="18"/>
      <c r="H605" s="18"/>
      <c r="I605" s="25"/>
      <c r="J605" s="18"/>
      <c r="K605" s="18"/>
      <c r="L605" s="18"/>
      <c r="M605" s="39"/>
      <c r="N605" s="18"/>
      <c r="O605" s="18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>
      <c r="A606" s="1"/>
      <c r="B606" s="1"/>
      <c r="C606" s="18"/>
      <c r="D606" s="47"/>
      <c r="E606" s="18"/>
      <c r="F606" s="18"/>
      <c r="G606" s="18"/>
      <c r="H606" s="18"/>
      <c r="I606" s="25"/>
      <c r="J606" s="18"/>
      <c r="K606" s="18"/>
      <c r="L606" s="18"/>
      <c r="M606" s="39"/>
      <c r="N606" s="18"/>
      <c r="O606" s="18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>
      <c r="A607" s="1"/>
      <c r="B607" s="1"/>
      <c r="C607" s="18"/>
      <c r="D607" s="47"/>
      <c r="E607" s="18"/>
      <c r="F607" s="18"/>
      <c r="G607" s="18"/>
      <c r="H607" s="18"/>
      <c r="I607" s="25"/>
      <c r="J607" s="18"/>
      <c r="K607" s="18"/>
      <c r="L607" s="18"/>
      <c r="M607" s="39"/>
      <c r="N607" s="18"/>
      <c r="O607" s="18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>
      <c r="A608" s="1"/>
      <c r="B608" s="1"/>
      <c r="C608" s="18"/>
      <c r="D608" s="47"/>
      <c r="E608" s="18"/>
      <c r="F608" s="18"/>
      <c r="G608" s="18"/>
      <c r="H608" s="18"/>
      <c r="I608" s="25"/>
      <c r="J608" s="18"/>
      <c r="K608" s="18"/>
      <c r="L608" s="18"/>
      <c r="M608" s="39"/>
      <c r="N608" s="18"/>
      <c r="O608" s="18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>
      <c r="A609" s="1"/>
      <c r="B609" s="1"/>
      <c r="C609" s="18"/>
      <c r="D609" s="47"/>
      <c r="E609" s="18"/>
      <c r="F609" s="18"/>
      <c r="G609" s="18"/>
      <c r="H609" s="18"/>
      <c r="I609" s="25"/>
      <c r="J609" s="18"/>
      <c r="K609" s="18"/>
      <c r="L609" s="18"/>
      <c r="M609" s="39"/>
      <c r="N609" s="18"/>
      <c r="O609" s="18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>
      <c r="A610" s="1"/>
      <c r="B610" s="1"/>
      <c r="C610" s="18"/>
      <c r="D610" s="47"/>
      <c r="E610" s="18"/>
      <c r="F610" s="18"/>
      <c r="G610" s="18"/>
      <c r="H610" s="18"/>
      <c r="I610" s="25"/>
      <c r="J610" s="18"/>
      <c r="K610" s="18"/>
      <c r="L610" s="18"/>
      <c r="M610" s="39"/>
      <c r="N610" s="18"/>
      <c r="O610" s="18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>
      <c r="A611" s="1"/>
      <c r="B611" s="1"/>
      <c r="C611" s="18"/>
      <c r="D611" s="47"/>
      <c r="E611" s="18"/>
      <c r="F611" s="18"/>
      <c r="G611" s="18"/>
      <c r="H611" s="18"/>
      <c r="I611" s="25"/>
      <c r="J611" s="18"/>
      <c r="K611" s="18"/>
      <c r="L611" s="18"/>
      <c r="M611" s="39"/>
      <c r="N611" s="18"/>
      <c r="O611" s="18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>
      <c r="A612" s="1"/>
      <c r="B612" s="1"/>
      <c r="C612" s="18"/>
      <c r="D612" s="47"/>
      <c r="E612" s="18"/>
      <c r="F612" s="18"/>
      <c r="G612" s="18"/>
      <c r="H612" s="18"/>
      <c r="I612" s="25"/>
      <c r="J612" s="18"/>
      <c r="K612" s="18"/>
      <c r="L612" s="18"/>
      <c r="M612" s="39"/>
      <c r="N612" s="18"/>
      <c r="O612" s="18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>
      <c r="A613" s="1"/>
      <c r="B613" s="1"/>
      <c r="C613" s="18"/>
      <c r="D613" s="47"/>
      <c r="E613" s="18"/>
      <c r="F613" s="18"/>
      <c r="G613" s="18"/>
      <c r="H613" s="18"/>
      <c r="I613" s="25"/>
      <c r="J613" s="18"/>
      <c r="K613" s="18"/>
      <c r="L613" s="18"/>
      <c r="M613" s="39"/>
      <c r="N613" s="18"/>
      <c r="O613" s="18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>
      <c r="A614" s="1"/>
      <c r="B614" s="1"/>
      <c r="C614" s="18"/>
      <c r="D614" s="47"/>
      <c r="E614" s="18"/>
      <c r="F614" s="18"/>
      <c r="G614" s="18"/>
      <c r="H614" s="18"/>
      <c r="I614" s="25"/>
      <c r="J614" s="18"/>
      <c r="K614" s="18"/>
      <c r="L614" s="18"/>
      <c r="M614" s="39"/>
      <c r="N614" s="18"/>
      <c r="O614" s="18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>
      <c r="A615" s="1"/>
      <c r="B615" s="1"/>
      <c r="C615" s="18"/>
      <c r="D615" s="47"/>
      <c r="E615" s="18"/>
      <c r="F615" s="18"/>
      <c r="G615" s="18"/>
      <c r="H615" s="18"/>
      <c r="I615" s="25"/>
      <c r="J615" s="18"/>
      <c r="K615" s="18"/>
      <c r="L615" s="18"/>
      <c r="M615" s="39"/>
      <c r="N615" s="18"/>
      <c r="O615" s="18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>
      <c r="A616" s="1"/>
      <c r="B616" s="1"/>
      <c r="C616" s="18"/>
      <c r="D616" s="47"/>
      <c r="E616" s="18"/>
      <c r="F616" s="18"/>
      <c r="G616" s="18"/>
      <c r="H616" s="18"/>
      <c r="I616" s="25"/>
      <c r="J616" s="18"/>
      <c r="K616" s="18"/>
      <c r="L616" s="18"/>
      <c r="M616" s="39"/>
      <c r="N616" s="18"/>
      <c r="O616" s="18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>
      <c r="A617" s="1"/>
      <c r="B617" s="1"/>
      <c r="C617" s="18"/>
      <c r="D617" s="47"/>
      <c r="E617" s="18"/>
      <c r="F617" s="18"/>
      <c r="G617" s="18"/>
      <c r="H617" s="18"/>
      <c r="I617" s="25"/>
      <c r="J617" s="18"/>
      <c r="K617" s="18"/>
      <c r="L617" s="18"/>
      <c r="M617" s="39"/>
      <c r="N617" s="18"/>
      <c r="O617" s="18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>
      <c r="A618" s="1"/>
      <c r="B618" s="1"/>
      <c r="C618" s="18"/>
      <c r="D618" s="47"/>
      <c r="E618" s="18"/>
      <c r="F618" s="18"/>
      <c r="G618" s="18"/>
      <c r="H618" s="18"/>
      <c r="I618" s="25"/>
      <c r="J618" s="18"/>
      <c r="K618" s="18"/>
      <c r="L618" s="18"/>
      <c r="M618" s="39"/>
      <c r="N618" s="18"/>
      <c r="O618" s="18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>
      <c r="A619" s="1"/>
      <c r="B619" s="1"/>
      <c r="C619" s="18"/>
      <c r="D619" s="47"/>
      <c r="E619" s="18"/>
      <c r="F619" s="18"/>
      <c r="G619" s="18"/>
      <c r="H619" s="18"/>
      <c r="I619" s="25"/>
      <c r="J619" s="18"/>
      <c r="K619" s="18"/>
      <c r="L619" s="18"/>
      <c r="M619" s="39"/>
      <c r="N619" s="18"/>
      <c r="O619" s="18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>
      <c r="A620" s="1"/>
      <c r="B620" s="1"/>
      <c r="C620" s="18"/>
      <c r="D620" s="47"/>
      <c r="E620" s="18"/>
      <c r="F620" s="18"/>
      <c r="G620" s="18"/>
      <c r="H620" s="18"/>
      <c r="I620" s="25"/>
      <c r="J620" s="18"/>
      <c r="K620" s="18"/>
      <c r="L620" s="18"/>
      <c r="M620" s="39"/>
      <c r="N620" s="18"/>
      <c r="O620" s="18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>
      <c r="A621" s="1"/>
      <c r="B621" s="1"/>
      <c r="C621" s="18"/>
      <c r="D621" s="47"/>
      <c r="E621" s="18"/>
      <c r="F621" s="18"/>
      <c r="G621" s="18"/>
      <c r="H621" s="18"/>
      <c r="I621" s="25"/>
      <c r="J621" s="18"/>
      <c r="K621" s="18"/>
      <c r="L621" s="18"/>
      <c r="M621" s="39"/>
      <c r="N621" s="18"/>
      <c r="O621" s="18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>
      <c r="A622" s="1"/>
      <c r="B622" s="1"/>
      <c r="C622" s="18"/>
      <c r="D622" s="47"/>
      <c r="E622" s="18"/>
      <c r="F622" s="18"/>
      <c r="G622" s="18"/>
      <c r="H622" s="18"/>
      <c r="I622" s="25"/>
      <c r="J622" s="18"/>
      <c r="K622" s="18"/>
      <c r="L622" s="18"/>
      <c r="M622" s="39"/>
      <c r="N622" s="18"/>
      <c r="O622" s="18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>
      <c r="A623" s="1"/>
      <c r="B623" s="1"/>
      <c r="C623" s="18"/>
      <c r="D623" s="47"/>
      <c r="E623" s="18"/>
      <c r="F623" s="18"/>
      <c r="G623" s="18"/>
      <c r="H623" s="18"/>
      <c r="I623" s="25"/>
      <c r="J623" s="18"/>
      <c r="K623" s="18"/>
      <c r="L623" s="18"/>
      <c r="M623" s="39"/>
      <c r="N623" s="18"/>
      <c r="O623" s="18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>
      <c r="A624" s="1"/>
      <c r="B624" s="1"/>
      <c r="C624" s="18"/>
      <c r="D624" s="47"/>
      <c r="E624" s="18"/>
      <c r="F624" s="18"/>
      <c r="G624" s="18"/>
      <c r="H624" s="18"/>
      <c r="I624" s="25"/>
      <c r="J624" s="18"/>
      <c r="K624" s="18"/>
      <c r="L624" s="18"/>
      <c r="M624" s="39"/>
      <c r="N624" s="18"/>
      <c r="O624" s="18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>
      <c r="A625" s="1"/>
      <c r="B625" s="1"/>
      <c r="C625" s="18"/>
      <c r="D625" s="47"/>
      <c r="E625" s="18"/>
      <c r="F625" s="18"/>
      <c r="G625" s="18"/>
      <c r="H625" s="18"/>
      <c r="I625" s="25"/>
      <c r="J625" s="18"/>
      <c r="K625" s="18"/>
      <c r="L625" s="18"/>
      <c r="M625" s="39"/>
      <c r="N625" s="18"/>
      <c r="O625" s="18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>
      <c r="A626" s="1"/>
      <c r="B626" s="1"/>
      <c r="C626" s="18"/>
      <c r="D626" s="47"/>
      <c r="E626" s="18"/>
      <c r="F626" s="18"/>
      <c r="G626" s="18"/>
      <c r="H626" s="18"/>
      <c r="I626" s="25"/>
      <c r="J626" s="18"/>
      <c r="K626" s="18"/>
      <c r="L626" s="18"/>
      <c r="M626" s="39"/>
      <c r="N626" s="18"/>
      <c r="O626" s="18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>
      <c r="A627" s="1"/>
      <c r="B627" s="1"/>
      <c r="C627" s="18"/>
      <c r="D627" s="47"/>
      <c r="E627" s="18"/>
      <c r="F627" s="18"/>
      <c r="G627" s="18"/>
      <c r="H627" s="18"/>
      <c r="I627" s="25"/>
      <c r="J627" s="18"/>
      <c r="K627" s="18"/>
      <c r="L627" s="18"/>
      <c r="M627" s="39"/>
      <c r="N627" s="18"/>
      <c r="O627" s="18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>
      <c r="A628" s="1"/>
      <c r="B628" s="1"/>
      <c r="C628" s="18"/>
      <c r="D628" s="47"/>
      <c r="E628" s="18"/>
      <c r="F628" s="18"/>
      <c r="G628" s="18"/>
      <c r="H628" s="18"/>
      <c r="I628" s="25"/>
      <c r="J628" s="18"/>
      <c r="K628" s="18"/>
      <c r="L628" s="18"/>
      <c r="M628" s="39"/>
      <c r="N628" s="18"/>
      <c r="O628" s="18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>
      <c r="A629" s="1"/>
      <c r="B629" s="1"/>
      <c r="C629" s="18"/>
      <c r="D629" s="47"/>
      <c r="E629" s="18"/>
      <c r="F629" s="18"/>
      <c r="G629" s="18"/>
      <c r="H629" s="18"/>
      <c r="I629" s="25"/>
      <c r="J629" s="18"/>
      <c r="K629" s="18"/>
      <c r="L629" s="18"/>
      <c r="M629" s="39"/>
      <c r="N629" s="18"/>
      <c r="O629" s="18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>
      <c r="A630" s="1"/>
      <c r="B630" s="1"/>
      <c r="C630" s="18"/>
      <c r="D630" s="47"/>
      <c r="E630" s="18"/>
      <c r="F630" s="18"/>
      <c r="G630" s="18"/>
      <c r="H630" s="18"/>
      <c r="I630" s="25"/>
      <c r="J630" s="18"/>
      <c r="K630" s="18"/>
      <c r="L630" s="18"/>
      <c r="M630" s="39"/>
      <c r="N630" s="18"/>
      <c r="O630" s="18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>
      <c r="A631" s="1"/>
      <c r="B631" s="1"/>
      <c r="C631" s="18"/>
      <c r="D631" s="47"/>
      <c r="E631" s="18"/>
      <c r="F631" s="18"/>
      <c r="G631" s="18"/>
      <c r="H631" s="18"/>
      <c r="I631" s="25"/>
      <c r="J631" s="18"/>
      <c r="K631" s="18"/>
      <c r="L631" s="18"/>
      <c r="M631" s="39"/>
      <c r="N631" s="18"/>
      <c r="O631" s="18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>
      <c r="A632" s="1"/>
      <c r="B632" s="1"/>
      <c r="C632" s="18"/>
      <c r="D632" s="47"/>
      <c r="E632" s="18"/>
      <c r="F632" s="18"/>
      <c r="G632" s="18"/>
      <c r="H632" s="18"/>
      <c r="I632" s="25"/>
      <c r="J632" s="18"/>
      <c r="K632" s="18"/>
      <c r="L632" s="18"/>
      <c r="M632" s="39"/>
      <c r="N632" s="18"/>
      <c r="O632" s="18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>
      <c r="A633" s="1"/>
      <c r="B633" s="1"/>
      <c r="C633" s="18"/>
      <c r="D633" s="47"/>
      <c r="E633" s="18"/>
      <c r="F633" s="18"/>
      <c r="G633" s="18"/>
      <c r="H633" s="18"/>
      <c r="I633" s="25"/>
      <c r="J633" s="18"/>
      <c r="K633" s="18"/>
      <c r="L633" s="18"/>
      <c r="M633" s="39"/>
      <c r="N633" s="18"/>
      <c r="O633" s="18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>
      <c r="A634" s="1"/>
      <c r="B634" s="1"/>
      <c r="C634" s="18"/>
      <c r="D634" s="47"/>
      <c r="E634" s="18"/>
      <c r="F634" s="18"/>
      <c r="G634" s="18"/>
      <c r="H634" s="18"/>
      <c r="I634" s="25"/>
      <c r="J634" s="18"/>
      <c r="K634" s="18"/>
      <c r="L634" s="18"/>
      <c r="M634" s="39"/>
      <c r="N634" s="18"/>
      <c r="O634" s="18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>
      <c r="A635" s="1"/>
      <c r="B635" s="1"/>
      <c r="C635" s="18"/>
      <c r="D635" s="47"/>
      <c r="E635" s="18"/>
      <c r="F635" s="18"/>
      <c r="G635" s="18"/>
      <c r="H635" s="18"/>
      <c r="I635" s="25"/>
      <c r="J635" s="18"/>
      <c r="K635" s="18"/>
      <c r="L635" s="18"/>
      <c r="M635" s="39"/>
      <c r="N635" s="18"/>
      <c r="O635" s="18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>
      <c r="A636" s="1"/>
      <c r="B636" s="1"/>
      <c r="C636" s="18"/>
      <c r="D636" s="47"/>
      <c r="E636" s="18"/>
      <c r="F636" s="18"/>
      <c r="G636" s="18"/>
      <c r="H636" s="18"/>
      <c r="I636" s="25"/>
      <c r="J636" s="18"/>
      <c r="K636" s="18"/>
      <c r="L636" s="18"/>
      <c r="M636" s="39"/>
      <c r="N636" s="18"/>
      <c r="O636" s="18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>
      <c r="A637" s="1"/>
      <c r="B637" s="1"/>
      <c r="C637" s="18"/>
      <c r="D637" s="47"/>
      <c r="E637" s="18"/>
      <c r="F637" s="18"/>
      <c r="G637" s="18"/>
      <c r="H637" s="18"/>
      <c r="I637" s="25"/>
      <c r="J637" s="18"/>
      <c r="K637" s="18"/>
      <c r="L637" s="18"/>
      <c r="M637" s="39"/>
      <c r="N637" s="18"/>
      <c r="O637" s="18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>
      <c r="A638" s="1"/>
      <c r="B638" s="1"/>
      <c r="C638" s="18"/>
      <c r="D638" s="47"/>
      <c r="E638" s="18"/>
      <c r="F638" s="18"/>
      <c r="G638" s="18"/>
      <c r="H638" s="18"/>
      <c r="I638" s="25"/>
      <c r="J638" s="18"/>
      <c r="K638" s="18"/>
      <c r="L638" s="18"/>
      <c r="M638" s="39"/>
      <c r="N638" s="18"/>
      <c r="O638" s="18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>
      <c r="A639" s="1"/>
      <c r="B639" s="1"/>
      <c r="C639" s="18"/>
      <c r="D639" s="47"/>
      <c r="E639" s="18"/>
      <c r="F639" s="18"/>
      <c r="G639" s="18"/>
      <c r="H639" s="18"/>
      <c r="I639" s="25"/>
      <c r="J639" s="18"/>
      <c r="K639" s="18"/>
      <c r="L639" s="18"/>
      <c r="M639" s="39"/>
      <c r="N639" s="18"/>
      <c r="O639" s="18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>
      <c r="A640" s="1"/>
      <c r="B640" s="1"/>
      <c r="C640" s="18"/>
      <c r="D640" s="47"/>
      <c r="E640" s="18"/>
      <c r="F640" s="18"/>
      <c r="G640" s="18"/>
      <c r="H640" s="18"/>
      <c r="I640" s="25"/>
      <c r="J640" s="18"/>
      <c r="K640" s="18"/>
      <c r="L640" s="18"/>
      <c r="M640" s="39"/>
      <c r="N640" s="18"/>
      <c r="O640" s="18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>
      <c r="A641" s="1"/>
      <c r="B641" s="1"/>
      <c r="C641" s="18"/>
      <c r="D641" s="47"/>
      <c r="E641" s="18"/>
      <c r="F641" s="18"/>
      <c r="G641" s="18"/>
      <c r="H641" s="18"/>
      <c r="I641" s="25"/>
      <c r="J641" s="18"/>
      <c r="K641" s="18"/>
      <c r="L641" s="18"/>
      <c r="M641" s="39"/>
      <c r="N641" s="18"/>
      <c r="O641" s="18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>
      <c r="A642" s="1"/>
      <c r="B642" s="1"/>
      <c r="C642" s="18"/>
      <c r="D642" s="47"/>
      <c r="E642" s="18"/>
      <c r="F642" s="18"/>
      <c r="G642" s="18"/>
      <c r="H642" s="18"/>
      <c r="I642" s="25"/>
      <c r="J642" s="18"/>
      <c r="K642" s="18"/>
      <c r="L642" s="18"/>
      <c r="M642" s="39"/>
      <c r="N642" s="18"/>
      <c r="O642" s="18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>
      <c r="A643" s="1"/>
      <c r="B643" s="1"/>
      <c r="C643" s="18"/>
      <c r="D643" s="47"/>
      <c r="E643" s="18"/>
      <c r="F643" s="18"/>
      <c r="G643" s="18"/>
      <c r="H643" s="18"/>
      <c r="I643" s="25"/>
      <c r="J643" s="18"/>
      <c r="K643" s="18"/>
      <c r="L643" s="18"/>
      <c r="M643" s="39"/>
      <c r="N643" s="18"/>
      <c r="O643" s="18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>
      <c r="A644" s="1"/>
      <c r="B644" s="1"/>
      <c r="C644" s="18"/>
      <c r="D644" s="47"/>
      <c r="E644" s="18"/>
      <c r="F644" s="18"/>
      <c r="G644" s="18"/>
      <c r="H644" s="18"/>
      <c r="I644" s="25"/>
      <c r="J644" s="18"/>
      <c r="K644" s="18"/>
      <c r="L644" s="18"/>
      <c r="M644" s="39"/>
      <c r="N644" s="18"/>
      <c r="O644" s="18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>
      <c r="A645" s="1"/>
      <c r="B645" s="1"/>
      <c r="C645" s="18"/>
      <c r="D645" s="47"/>
      <c r="E645" s="18"/>
      <c r="F645" s="18"/>
      <c r="G645" s="18"/>
      <c r="H645" s="18"/>
      <c r="I645" s="25"/>
      <c r="J645" s="18"/>
      <c r="K645" s="18"/>
      <c r="L645" s="18"/>
      <c r="M645" s="39"/>
      <c r="N645" s="18"/>
      <c r="O645" s="18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>
      <c r="A646" s="1"/>
      <c r="B646" s="1"/>
      <c r="C646" s="18"/>
      <c r="D646" s="47"/>
      <c r="E646" s="18"/>
      <c r="F646" s="18"/>
      <c r="G646" s="18"/>
      <c r="H646" s="18"/>
      <c r="I646" s="25"/>
      <c r="J646" s="18"/>
      <c r="K646" s="18"/>
      <c r="L646" s="18"/>
      <c r="M646" s="39"/>
      <c r="N646" s="18"/>
      <c r="O646" s="18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>
      <c r="A647" s="1"/>
      <c r="B647" s="1"/>
      <c r="C647" s="18"/>
      <c r="D647" s="47"/>
      <c r="E647" s="18"/>
      <c r="F647" s="18"/>
      <c r="G647" s="18"/>
      <c r="H647" s="18"/>
      <c r="I647" s="25"/>
      <c r="J647" s="18"/>
      <c r="K647" s="18"/>
      <c r="L647" s="18"/>
      <c r="M647" s="39"/>
      <c r="N647" s="18"/>
      <c r="O647" s="18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>
      <c r="A648" s="1"/>
      <c r="B648" s="1"/>
      <c r="C648" s="18"/>
      <c r="D648" s="47"/>
      <c r="E648" s="18"/>
      <c r="F648" s="18"/>
      <c r="G648" s="18"/>
      <c r="H648" s="18"/>
      <c r="I648" s="25"/>
      <c r="J648" s="18"/>
      <c r="K648" s="18"/>
      <c r="L648" s="18"/>
      <c r="M648" s="39"/>
      <c r="N648" s="18"/>
      <c r="O648" s="18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>
      <c r="A649" s="1"/>
      <c r="B649" s="1"/>
      <c r="C649" s="18"/>
      <c r="D649" s="47"/>
      <c r="E649" s="18"/>
      <c r="F649" s="18"/>
      <c r="G649" s="18"/>
      <c r="H649" s="18"/>
      <c r="I649" s="25"/>
      <c r="J649" s="18"/>
      <c r="K649" s="18"/>
      <c r="L649" s="18"/>
      <c r="M649" s="39"/>
      <c r="N649" s="18"/>
      <c r="O649" s="18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>
      <c r="A650" s="1"/>
      <c r="B650" s="1"/>
      <c r="C650" s="18"/>
      <c r="D650" s="47"/>
      <c r="E650" s="18"/>
      <c r="F650" s="18"/>
      <c r="G650" s="18"/>
      <c r="H650" s="18"/>
      <c r="I650" s="25"/>
      <c r="J650" s="18"/>
      <c r="K650" s="18"/>
      <c r="L650" s="18"/>
      <c r="M650" s="39"/>
      <c r="N650" s="18"/>
      <c r="O650" s="18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>
      <c r="A651" s="1"/>
      <c r="B651" s="1"/>
      <c r="C651" s="18"/>
      <c r="D651" s="47"/>
      <c r="E651" s="18"/>
      <c r="F651" s="18"/>
      <c r="G651" s="18"/>
      <c r="H651" s="18"/>
      <c r="I651" s="25"/>
      <c r="J651" s="18"/>
      <c r="K651" s="18"/>
      <c r="L651" s="18"/>
      <c r="M651" s="39"/>
      <c r="N651" s="18"/>
      <c r="O651" s="18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>
      <c r="A652" s="1"/>
      <c r="B652" s="1"/>
      <c r="C652" s="18"/>
      <c r="D652" s="47"/>
      <c r="E652" s="18"/>
      <c r="F652" s="18"/>
      <c r="G652" s="18"/>
      <c r="H652" s="18"/>
      <c r="I652" s="25"/>
      <c r="J652" s="18"/>
      <c r="K652" s="18"/>
      <c r="L652" s="18"/>
      <c r="M652" s="39"/>
      <c r="N652" s="18"/>
      <c r="O652" s="18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>
      <c r="A653" s="1"/>
      <c r="B653" s="1"/>
      <c r="C653" s="18"/>
      <c r="D653" s="47"/>
      <c r="E653" s="18"/>
      <c r="F653" s="18"/>
      <c r="G653" s="18"/>
      <c r="H653" s="18"/>
      <c r="I653" s="25"/>
      <c r="J653" s="18"/>
      <c r="K653" s="18"/>
      <c r="L653" s="18"/>
      <c r="M653" s="39"/>
      <c r="N653" s="18"/>
      <c r="O653" s="18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>
      <c r="A654" s="1"/>
      <c r="B654" s="1"/>
      <c r="C654" s="18"/>
      <c r="D654" s="47"/>
      <c r="E654" s="18"/>
      <c r="F654" s="18"/>
      <c r="G654" s="18"/>
      <c r="H654" s="18"/>
      <c r="I654" s="25"/>
      <c r="J654" s="18"/>
      <c r="K654" s="18"/>
      <c r="L654" s="18"/>
      <c r="M654" s="39"/>
      <c r="N654" s="18"/>
      <c r="O654" s="18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>
      <c r="A655" s="1"/>
      <c r="B655" s="1"/>
      <c r="C655" s="18"/>
      <c r="D655" s="47"/>
      <c r="E655" s="18"/>
      <c r="F655" s="18"/>
      <c r="G655" s="18"/>
      <c r="H655" s="18"/>
      <c r="I655" s="25"/>
      <c r="J655" s="18"/>
      <c r="K655" s="18"/>
      <c r="L655" s="18"/>
      <c r="M655" s="39"/>
      <c r="N655" s="18"/>
      <c r="O655" s="18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>
      <c r="A656" s="1"/>
      <c r="B656" s="1"/>
      <c r="C656" s="18"/>
      <c r="D656" s="47"/>
      <c r="E656" s="18"/>
      <c r="F656" s="18"/>
      <c r="G656" s="18"/>
      <c r="H656" s="18"/>
      <c r="I656" s="25"/>
      <c r="J656" s="18"/>
      <c r="K656" s="18"/>
      <c r="L656" s="18"/>
      <c r="M656" s="39"/>
      <c r="N656" s="18"/>
      <c r="O656" s="18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>
      <c r="A657" s="1"/>
      <c r="B657" s="1"/>
      <c r="C657" s="18"/>
      <c r="D657" s="47"/>
      <c r="E657" s="18"/>
      <c r="F657" s="18"/>
      <c r="G657" s="18"/>
      <c r="H657" s="18"/>
      <c r="I657" s="25"/>
      <c r="J657" s="18"/>
      <c r="K657" s="18"/>
      <c r="L657" s="18"/>
      <c r="M657" s="39"/>
      <c r="N657" s="18"/>
      <c r="O657" s="18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>
      <c r="A658" s="1"/>
      <c r="B658" s="1"/>
      <c r="C658" s="18"/>
      <c r="D658" s="47"/>
      <c r="E658" s="18"/>
      <c r="F658" s="18"/>
      <c r="G658" s="18"/>
      <c r="H658" s="18"/>
      <c r="I658" s="25"/>
      <c r="J658" s="18"/>
      <c r="K658" s="18"/>
      <c r="L658" s="18"/>
      <c r="M658" s="39"/>
      <c r="N658" s="18"/>
      <c r="O658" s="18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>
      <c r="A659" s="1"/>
      <c r="B659" s="1"/>
      <c r="C659" s="18"/>
      <c r="D659" s="47"/>
      <c r="E659" s="18"/>
      <c r="F659" s="18"/>
      <c r="G659" s="18"/>
      <c r="H659" s="18"/>
      <c r="I659" s="25"/>
      <c r="J659" s="18"/>
      <c r="K659" s="18"/>
      <c r="L659" s="18"/>
      <c r="M659" s="39"/>
      <c r="N659" s="18"/>
      <c r="O659" s="18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>
      <c r="A660" s="1"/>
      <c r="B660" s="1"/>
      <c r="C660" s="18"/>
      <c r="D660" s="47"/>
      <c r="E660" s="18"/>
      <c r="F660" s="18"/>
      <c r="G660" s="18"/>
      <c r="H660" s="18"/>
      <c r="I660" s="25"/>
      <c r="J660" s="18"/>
      <c r="K660" s="18"/>
      <c r="L660" s="18"/>
      <c r="M660" s="39"/>
      <c r="N660" s="18"/>
      <c r="O660" s="18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>
      <c r="A661" s="1"/>
      <c r="B661" s="1"/>
      <c r="C661" s="18"/>
      <c r="D661" s="47"/>
      <c r="E661" s="18"/>
      <c r="F661" s="18"/>
      <c r="G661" s="18"/>
      <c r="H661" s="18"/>
      <c r="I661" s="25"/>
      <c r="J661" s="18"/>
      <c r="K661" s="18"/>
      <c r="L661" s="18"/>
      <c r="M661" s="39"/>
      <c r="N661" s="18"/>
      <c r="O661" s="18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>
      <c r="A662" s="1"/>
      <c r="B662" s="1"/>
      <c r="C662" s="18"/>
      <c r="D662" s="47"/>
      <c r="E662" s="18"/>
      <c r="F662" s="18"/>
      <c r="G662" s="18"/>
      <c r="H662" s="18"/>
      <c r="I662" s="25"/>
      <c r="J662" s="18"/>
      <c r="K662" s="18"/>
      <c r="L662" s="18"/>
      <c r="M662" s="39"/>
      <c r="N662" s="18"/>
      <c r="O662" s="18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>
      <c r="A663" s="1"/>
      <c r="B663" s="1"/>
      <c r="C663" s="18"/>
      <c r="D663" s="47"/>
      <c r="E663" s="18"/>
      <c r="F663" s="18"/>
      <c r="G663" s="18"/>
      <c r="H663" s="18"/>
      <c r="I663" s="25"/>
      <c r="J663" s="18"/>
      <c r="K663" s="18"/>
      <c r="L663" s="18"/>
      <c r="M663" s="39"/>
      <c r="N663" s="18"/>
      <c r="O663" s="18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>
      <c r="A664" s="1"/>
      <c r="B664" s="1"/>
      <c r="C664" s="18"/>
      <c r="D664" s="47"/>
      <c r="E664" s="18"/>
      <c r="F664" s="18"/>
      <c r="G664" s="18"/>
      <c r="H664" s="18"/>
      <c r="I664" s="25"/>
      <c r="J664" s="18"/>
      <c r="K664" s="18"/>
      <c r="L664" s="18"/>
      <c r="M664" s="39"/>
      <c r="N664" s="18"/>
      <c r="O664" s="18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>
      <c r="A665" s="1"/>
      <c r="B665" s="1"/>
      <c r="C665" s="18"/>
      <c r="D665" s="47"/>
      <c r="E665" s="18"/>
      <c r="F665" s="18"/>
      <c r="G665" s="18"/>
      <c r="H665" s="18"/>
      <c r="I665" s="25"/>
      <c r="J665" s="18"/>
      <c r="K665" s="18"/>
      <c r="L665" s="18"/>
      <c r="M665" s="39"/>
      <c r="N665" s="18"/>
      <c r="O665" s="18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>
      <c r="A666" s="1"/>
      <c r="B666" s="1"/>
      <c r="C666" s="18"/>
      <c r="D666" s="47"/>
      <c r="E666" s="18"/>
      <c r="F666" s="18"/>
      <c r="G666" s="18"/>
      <c r="H666" s="18"/>
      <c r="I666" s="25"/>
      <c r="J666" s="18"/>
      <c r="K666" s="18"/>
      <c r="L666" s="18"/>
      <c r="M666" s="39"/>
      <c r="N666" s="18"/>
      <c r="O666" s="18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>
      <c r="A667" s="1"/>
      <c r="B667" s="1"/>
      <c r="C667" s="18"/>
      <c r="D667" s="47"/>
      <c r="E667" s="18"/>
      <c r="F667" s="18"/>
      <c r="G667" s="18"/>
      <c r="H667" s="18"/>
      <c r="I667" s="25"/>
      <c r="J667" s="18"/>
      <c r="K667" s="18"/>
      <c r="L667" s="18"/>
      <c r="M667" s="39"/>
      <c r="N667" s="18"/>
      <c r="O667" s="18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>
      <c r="A668" s="1"/>
      <c r="B668" s="1"/>
      <c r="C668" s="18"/>
      <c r="D668" s="47"/>
      <c r="E668" s="18"/>
      <c r="F668" s="18"/>
      <c r="G668" s="18"/>
      <c r="H668" s="18"/>
      <c r="I668" s="25"/>
      <c r="J668" s="18"/>
      <c r="K668" s="18"/>
      <c r="L668" s="18"/>
      <c r="M668" s="39"/>
      <c r="N668" s="18"/>
      <c r="O668" s="18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>
      <c r="A669" s="1"/>
      <c r="B669" s="1"/>
      <c r="C669" s="18"/>
      <c r="D669" s="47"/>
      <c r="E669" s="18"/>
      <c r="F669" s="18"/>
      <c r="G669" s="18"/>
      <c r="H669" s="18"/>
      <c r="I669" s="25"/>
      <c r="J669" s="18"/>
      <c r="K669" s="18"/>
      <c r="L669" s="18"/>
      <c r="M669" s="39"/>
      <c r="N669" s="18"/>
      <c r="O669" s="18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>
      <c r="A670" s="1"/>
      <c r="B670" s="1"/>
      <c r="C670" s="18"/>
      <c r="D670" s="47"/>
      <c r="E670" s="18"/>
      <c r="F670" s="18"/>
      <c r="G670" s="18"/>
      <c r="H670" s="18"/>
      <c r="I670" s="25"/>
      <c r="J670" s="18"/>
      <c r="K670" s="18"/>
      <c r="L670" s="18"/>
      <c r="M670" s="39"/>
      <c r="N670" s="18"/>
      <c r="O670" s="18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>
      <c r="A671" s="1"/>
      <c r="B671" s="1"/>
      <c r="C671" s="18"/>
      <c r="D671" s="47"/>
      <c r="E671" s="18"/>
      <c r="F671" s="18"/>
      <c r="G671" s="18"/>
      <c r="H671" s="18"/>
      <c r="I671" s="25"/>
      <c r="J671" s="18"/>
      <c r="K671" s="18"/>
      <c r="L671" s="18"/>
      <c r="M671" s="39"/>
      <c r="N671" s="18"/>
      <c r="O671" s="18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>
      <c r="A672" s="1"/>
      <c r="B672" s="1"/>
      <c r="C672" s="18"/>
      <c r="D672" s="47"/>
      <c r="E672" s="18"/>
      <c r="F672" s="18"/>
      <c r="G672" s="18"/>
      <c r="H672" s="18"/>
      <c r="I672" s="25"/>
      <c r="J672" s="18"/>
      <c r="K672" s="18"/>
      <c r="L672" s="18"/>
      <c r="M672" s="39"/>
      <c r="N672" s="18"/>
      <c r="O672" s="18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>
      <c r="A673" s="1"/>
      <c r="B673" s="1"/>
      <c r="C673" s="18"/>
      <c r="D673" s="47"/>
      <c r="E673" s="18"/>
      <c r="F673" s="18"/>
      <c r="G673" s="18"/>
      <c r="H673" s="18"/>
      <c r="I673" s="25"/>
      <c r="J673" s="18"/>
      <c r="K673" s="18"/>
      <c r="L673" s="18"/>
      <c r="M673" s="39"/>
      <c r="N673" s="18"/>
      <c r="O673" s="18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>
      <c r="A674" s="1"/>
      <c r="B674" s="1"/>
      <c r="C674" s="18"/>
      <c r="D674" s="47"/>
      <c r="E674" s="18"/>
      <c r="F674" s="18"/>
      <c r="G674" s="18"/>
      <c r="H674" s="18"/>
      <c r="I674" s="25"/>
      <c r="J674" s="18"/>
      <c r="K674" s="18"/>
      <c r="L674" s="18"/>
      <c r="M674" s="39"/>
      <c r="N674" s="18"/>
      <c r="O674" s="18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>
      <c r="A675" s="1"/>
      <c r="B675" s="1"/>
      <c r="C675" s="18"/>
      <c r="D675" s="47"/>
      <c r="E675" s="18"/>
      <c r="F675" s="18"/>
      <c r="G675" s="18"/>
      <c r="H675" s="18"/>
      <c r="I675" s="25"/>
      <c r="J675" s="18"/>
      <c r="K675" s="18"/>
      <c r="L675" s="18"/>
      <c r="M675" s="39"/>
      <c r="N675" s="18"/>
      <c r="O675" s="18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>
      <c r="A676" s="1"/>
      <c r="B676" s="1"/>
      <c r="C676" s="18"/>
      <c r="D676" s="47"/>
      <c r="E676" s="18"/>
      <c r="F676" s="18"/>
      <c r="G676" s="18"/>
      <c r="H676" s="18"/>
      <c r="I676" s="25"/>
      <c r="J676" s="18"/>
      <c r="K676" s="18"/>
      <c r="L676" s="18"/>
      <c r="M676" s="39"/>
      <c r="N676" s="18"/>
      <c r="O676" s="18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>
      <c r="A677" s="1"/>
      <c r="B677" s="1"/>
      <c r="C677" s="18"/>
      <c r="D677" s="47"/>
      <c r="E677" s="18"/>
      <c r="F677" s="18"/>
      <c r="G677" s="18"/>
      <c r="H677" s="18"/>
      <c r="I677" s="25"/>
      <c r="J677" s="18"/>
      <c r="K677" s="18"/>
      <c r="L677" s="18"/>
      <c r="M677" s="39"/>
      <c r="N677" s="18"/>
      <c r="O677" s="18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>
      <c r="A678" s="1"/>
      <c r="B678" s="1"/>
      <c r="C678" s="18"/>
      <c r="D678" s="47"/>
      <c r="E678" s="18"/>
      <c r="F678" s="18"/>
      <c r="G678" s="18"/>
      <c r="H678" s="18"/>
      <c r="I678" s="25"/>
      <c r="J678" s="18"/>
      <c r="K678" s="18"/>
      <c r="L678" s="18"/>
      <c r="M678" s="39"/>
      <c r="N678" s="18"/>
      <c r="O678" s="18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>
      <c r="A679" s="1"/>
      <c r="B679" s="1"/>
      <c r="C679" s="18"/>
      <c r="D679" s="47"/>
      <c r="E679" s="18"/>
      <c r="F679" s="18"/>
      <c r="G679" s="18"/>
      <c r="H679" s="18"/>
      <c r="I679" s="25"/>
      <c r="J679" s="18"/>
      <c r="K679" s="18"/>
      <c r="L679" s="18"/>
      <c r="M679" s="39"/>
      <c r="N679" s="18"/>
      <c r="O679" s="18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>
      <c r="A680" s="1"/>
      <c r="B680" s="1"/>
      <c r="C680" s="18"/>
      <c r="D680" s="47"/>
      <c r="E680" s="18"/>
      <c r="F680" s="18"/>
      <c r="G680" s="18"/>
      <c r="H680" s="18"/>
      <c r="I680" s="25"/>
      <c r="J680" s="18"/>
      <c r="K680" s="18"/>
      <c r="L680" s="18"/>
      <c r="M680" s="39"/>
      <c r="N680" s="18"/>
      <c r="O680" s="18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>
      <c r="A681" s="1"/>
      <c r="B681" s="1"/>
      <c r="C681" s="18"/>
      <c r="D681" s="47"/>
      <c r="E681" s="18"/>
      <c r="F681" s="18"/>
      <c r="G681" s="18"/>
      <c r="H681" s="18"/>
      <c r="I681" s="25"/>
      <c r="J681" s="18"/>
      <c r="K681" s="18"/>
      <c r="L681" s="18"/>
      <c r="M681" s="39"/>
      <c r="N681" s="18"/>
      <c r="O681" s="18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>
      <c r="A682" s="1"/>
      <c r="B682" s="1"/>
      <c r="C682" s="18"/>
      <c r="D682" s="47"/>
      <c r="E682" s="18"/>
      <c r="F682" s="18"/>
      <c r="G682" s="18"/>
      <c r="H682" s="18"/>
      <c r="I682" s="25"/>
      <c r="J682" s="18"/>
      <c r="K682" s="18"/>
      <c r="L682" s="18"/>
      <c r="M682" s="39"/>
      <c r="N682" s="18"/>
      <c r="O682" s="18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>
      <c r="A683" s="1"/>
      <c r="B683" s="1"/>
      <c r="C683" s="18"/>
      <c r="D683" s="47"/>
      <c r="E683" s="18"/>
      <c r="F683" s="18"/>
      <c r="G683" s="18"/>
      <c r="H683" s="18"/>
      <c r="I683" s="25"/>
      <c r="J683" s="18"/>
      <c r="K683" s="18"/>
      <c r="L683" s="18"/>
      <c r="M683" s="39"/>
      <c r="N683" s="18"/>
      <c r="O683" s="18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>
      <c r="A684" s="1"/>
      <c r="B684" s="1"/>
      <c r="C684" s="18"/>
      <c r="D684" s="47"/>
      <c r="E684" s="18"/>
      <c r="F684" s="18"/>
      <c r="G684" s="18"/>
      <c r="H684" s="18"/>
      <c r="I684" s="25"/>
      <c r="J684" s="18"/>
      <c r="K684" s="18"/>
      <c r="L684" s="18"/>
      <c r="M684" s="39"/>
      <c r="N684" s="18"/>
      <c r="O684" s="18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>
      <c r="A685" s="1"/>
      <c r="B685" s="1"/>
      <c r="C685" s="18"/>
      <c r="D685" s="47"/>
      <c r="E685" s="18"/>
      <c r="F685" s="18"/>
      <c r="G685" s="18"/>
      <c r="H685" s="18"/>
      <c r="I685" s="25"/>
      <c r="J685" s="18"/>
      <c r="K685" s="18"/>
      <c r="L685" s="18"/>
      <c r="M685" s="39"/>
      <c r="N685" s="18"/>
      <c r="O685" s="18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>
      <c r="A686" s="1"/>
      <c r="B686" s="1"/>
      <c r="C686" s="18"/>
      <c r="D686" s="47"/>
      <c r="E686" s="18"/>
      <c r="F686" s="18"/>
      <c r="G686" s="18"/>
      <c r="H686" s="18"/>
      <c r="I686" s="25"/>
      <c r="J686" s="18"/>
      <c r="K686" s="18"/>
      <c r="L686" s="18"/>
      <c r="M686" s="39"/>
      <c r="N686" s="18"/>
      <c r="O686" s="18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>
      <c r="A687" s="1"/>
      <c r="B687" s="1"/>
      <c r="C687" s="18"/>
      <c r="D687" s="47"/>
      <c r="E687" s="18"/>
      <c r="F687" s="18"/>
      <c r="G687" s="18"/>
      <c r="H687" s="18"/>
      <c r="I687" s="25"/>
      <c r="J687" s="18"/>
      <c r="K687" s="18"/>
      <c r="L687" s="18"/>
      <c r="M687" s="39"/>
      <c r="N687" s="18"/>
      <c r="O687" s="18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>
      <c r="A688" s="1"/>
      <c r="B688" s="1"/>
      <c r="C688" s="18"/>
      <c r="D688" s="47"/>
      <c r="E688" s="18"/>
      <c r="F688" s="18"/>
      <c r="G688" s="18"/>
      <c r="H688" s="18"/>
      <c r="I688" s="25"/>
      <c r="J688" s="18"/>
      <c r="K688" s="18"/>
      <c r="L688" s="18"/>
      <c r="M688" s="39"/>
      <c r="N688" s="18"/>
      <c r="O688" s="18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>
      <c r="A689" s="1"/>
      <c r="B689" s="1"/>
      <c r="C689" s="18"/>
      <c r="D689" s="47"/>
      <c r="E689" s="18"/>
      <c r="F689" s="18"/>
      <c r="G689" s="18"/>
      <c r="H689" s="18"/>
      <c r="I689" s="25"/>
      <c r="J689" s="18"/>
      <c r="K689" s="18"/>
      <c r="L689" s="18"/>
      <c r="M689" s="39"/>
      <c r="N689" s="18"/>
      <c r="O689" s="18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>
      <c r="A690" s="1"/>
      <c r="B690" s="1"/>
      <c r="C690" s="18"/>
      <c r="D690" s="47"/>
      <c r="E690" s="18"/>
      <c r="F690" s="18"/>
      <c r="G690" s="18"/>
      <c r="H690" s="18"/>
      <c r="I690" s="25"/>
      <c r="J690" s="18"/>
      <c r="K690" s="18"/>
      <c r="L690" s="18"/>
      <c r="M690" s="39"/>
      <c r="N690" s="18"/>
      <c r="O690" s="18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>
      <c r="A691" s="1"/>
      <c r="B691" s="1"/>
      <c r="C691" s="18"/>
      <c r="D691" s="47"/>
      <c r="E691" s="18"/>
      <c r="F691" s="18"/>
      <c r="G691" s="18"/>
      <c r="H691" s="18"/>
      <c r="I691" s="25"/>
      <c r="J691" s="18"/>
      <c r="K691" s="18"/>
      <c r="L691" s="18"/>
      <c r="M691" s="39"/>
      <c r="N691" s="18"/>
      <c r="O691" s="18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>
      <c r="A692" s="1"/>
      <c r="B692" s="1"/>
      <c r="C692" s="18"/>
      <c r="D692" s="47"/>
      <c r="E692" s="18"/>
      <c r="F692" s="18"/>
      <c r="G692" s="18"/>
      <c r="H692" s="18"/>
      <c r="I692" s="25"/>
      <c r="J692" s="18"/>
      <c r="K692" s="18"/>
      <c r="L692" s="18"/>
      <c r="M692" s="39"/>
      <c r="N692" s="18"/>
      <c r="O692" s="18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>
      <c r="A693" s="1"/>
      <c r="B693" s="1"/>
      <c r="C693" s="18"/>
      <c r="D693" s="47"/>
      <c r="E693" s="18"/>
      <c r="F693" s="18"/>
      <c r="G693" s="18"/>
      <c r="H693" s="18"/>
      <c r="I693" s="25"/>
      <c r="J693" s="18"/>
      <c r="K693" s="18"/>
      <c r="L693" s="18"/>
      <c r="M693" s="39"/>
      <c r="N693" s="18"/>
      <c r="O693" s="18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>
      <c r="A694" s="1"/>
      <c r="B694" s="1"/>
      <c r="C694" s="18"/>
      <c r="D694" s="47"/>
      <c r="E694" s="18"/>
      <c r="F694" s="18"/>
      <c r="G694" s="18"/>
      <c r="H694" s="18"/>
      <c r="I694" s="25"/>
      <c r="J694" s="18"/>
      <c r="K694" s="18"/>
      <c r="L694" s="18"/>
      <c r="M694" s="39"/>
      <c r="N694" s="18"/>
      <c r="O694" s="18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>
      <c r="A695" s="1"/>
      <c r="B695" s="1"/>
      <c r="C695" s="18"/>
      <c r="D695" s="47"/>
      <c r="E695" s="18"/>
      <c r="F695" s="18"/>
      <c r="G695" s="18"/>
      <c r="H695" s="18"/>
      <c r="I695" s="25"/>
      <c r="J695" s="18"/>
      <c r="K695" s="18"/>
      <c r="L695" s="18"/>
      <c r="M695" s="39"/>
      <c r="N695" s="18"/>
      <c r="O695" s="18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>
      <c r="A696" s="1"/>
      <c r="B696" s="1"/>
      <c r="C696" s="18"/>
      <c r="D696" s="47"/>
      <c r="E696" s="18"/>
      <c r="F696" s="18"/>
      <c r="G696" s="18"/>
      <c r="H696" s="18"/>
      <c r="I696" s="25"/>
      <c r="J696" s="18"/>
      <c r="K696" s="18"/>
      <c r="L696" s="18"/>
      <c r="M696" s="39"/>
      <c r="N696" s="18"/>
      <c r="O696" s="18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>
      <c r="A697" s="1"/>
      <c r="B697" s="1"/>
      <c r="C697" s="18"/>
      <c r="D697" s="47"/>
      <c r="E697" s="18"/>
      <c r="F697" s="18"/>
      <c r="G697" s="18"/>
      <c r="H697" s="18"/>
      <c r="I697" s="25"/>
      <c r="J697" s="18"/>
      <c r="K697" s="18"/>
      <c r="L697" s="18"/>
      <c r="M697" s="39"/>
      <c r="N697" s="18"/>
      <c r="O697" s="18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>
      <c r="A698" s="1"/>
      <c r="B698" s="1"/>
      <c r="C698" s="18"/>
      <c r="D698" s="47"/>
      <c r="E698" s="18"/>
      <c r="F698" s="18"/>
      <c r="G698" s="18"/>
      <c r="H698" s="18"/>
      <c r="I698" s="25"/>
      <c r="J698" s="18"/>
      <c r="K698" s="18"/>
      <c r="L698" s="18"/>
      <c r="M698" s="39"/>
      <c r="N698" s="18"/>
      <c r="O698" s="18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>
      <c r="A699" s="1"/>
      <c r="B699" s="1"/>
      <c r="C699" s="18"/>
      <c r="D699" s="47"/>
      <c r="E699" s="18"/>
      <c r="F699" s="18"/>
      <c r="G699" s="18"/>
      <c r="H699" s="18"/>
      <c r="I699" s="25"/>
      <c r="J699" s="18"/>
      <c r="K699" s="18"/>
      <c r="L699" s="18"/>
      <c r="M699" s="39"/>
      <c r="N699" s="18"/>
      <c r="O699" s="18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>
      <c r="A700" s="1"/>
      <c r="B700" s="1"/>
      <c r="C700" s="18"/>
      <c r="D700" s="47"/>
      <c r="E700" s="18"/>
      <c r="F700" s="18"/>
      <c r="G700" s="18"/>
      <c r="H700" s="18"/>
      <c r="I700" s="25"/>
      <c r="J700" s="18"/>
      <c r="K700" s="18"/>
      <c r="L700" s="18"/>
      <c r="M700" s="39"/>
      <c r="N700" s="18"/>
      <c r="O700" s="18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>
      <c r="A701" s="1"/>
      <c r="B701" s="1"/>
      <c r="C701" s="18"/>
      <c r="D701" s="47"/>
      <c r="E701" s="18"/>
      <c r="F701" s="18"/>
      <c r="G701" s="18"/>
      <c r="H701" s="18"/>
      <c r="I701" s="25"/>
      <c r="J701" s="18"/>
      <c r="K701" s="18"/>
      <c r="L701" s="18"/>
      <c r="M701" s="39"/>
      <c r="N701" s="18"/>
      <c r="O701" s="18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>
      <c r="A702" s="1"/>
      <c r="B702" s="1"/>
      <c r="C702" s="18"/>
      <c r="D702" s="47"/>
      <c r="E702" s="18"/>
      <c r="F702" s="18"/>
      <c r="G702" s="18"/>
      <c r="H702" s="18"/>
      <c r="I702" s="25"/>
      <c r="J702" s="18"/>
      <c r="K702" s="18"/>
      <c r="L702" s="18"/>
      <c r="M702" s="39"/>
      <c r="N702" s="18"/>
      <c r="O702" s="18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>
      <c r="A703" s="1"/>
      <c r="B703" s="1"/>
      <c r="C703" s="18"/>
      <c r="D703" s="47"/>
      <c r="E703" s="18"/>
      <c r="F703" s="18"/>
      <c r="G703" s="18"/>
      <c r="H703" s="18"/>
      <c r="I703" s="25"/>
      <c r="J703" s="18"/>
      <c r="K703" s="18"/>
      <c r="L703" s="18"/>
      <c r="M703" s="39"/>
      <c r="N703" s="18"/>
      <c r="O703" s="18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>
      <c r="A704" s="1"/>
      <c r="B704" s="1"/>
      <c r="C704" s="18"/>
      <c r="D704" s="47"/>
      <c r="E704" s="18"/>
      <c r="F704" s="18"/>
      <c r="G704" s="18"/>
      <c r="H704" s="18"/>
      <c r="I704" s="25"/>
      <c r="J704" s="18"/>
      <c r="K704" s="18"/>
      <c r="L704" s="18"/>
      <c r="M704" s="39"/>
      <c r="N704" s="18"/>
      <c r="O704" s="18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>
      <c r="A705" s="1"/>
      <c r="B705" s="1"/>
      <c r="C705" s="18"/>
      <c r="D705" s="47"/>
      <c r="E705" s="18"/>
      <c r="F705" s="18"/>
      <c r="G705" s="18"/>
      <c r="H705" s="18"/>
      <c r="I705" s="25"/>
      <c r="J705" s="18"/>
      <c r="K705" s="18"/>
      <c r="L705" s="18"/>
      <c r="M705" s="39"/>
      <c r="N705" s="18"/>
      <c r="O705" s="18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>
      <c r="A706" s="1"/>
      <c r="B706" s="1"/>
      <c r="C706" s="18"/>
      <c r="D706" s="47"/>
      <c r="E706" s="18"/>
      <c r="F706" s="18"/>
      <c r="G706" s="18"/>
      <c r="H706" s="18"/>
      <c r="I706" s="25"/>
      <c r="J706" s="18"/>
      <c r="K706" s="18"/>
      <c r="L706" s="18"/>
      <c r="M706" s="39"/>
      <c r="N706" s="18"/>
      <c r="O706" s="18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>
      <c r="A707" s="1"/>
      <c r="B707" s="1"/>
      <c r="C707" s="18"/>
      <c r="D707" s="47"/>
      <c r="E707" s="18"/>
      <c r="F707" s="18"/>
      <c r="G707" s="18"/>
      <c r="H707" s="18"/>
      <c r="I707" s="25"/>
      <c r="J707" s="18"/>
      <c r="K707" s="18"/>
      <c r="L707" s="18"/>
      <c r="M707" s="39"/>
      <c r="N707" s="18"/>
      <c r="O707" s="18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>
      <c r="A708" s="1"/>
      <c r="B708" s="1"/>
      <c r="C708" s="18"/>
      <c r="D708" s="47"/>
      <c r="E708" s="18"/>
      <c r="F708" s="18"/>
      <c r="G708" s="18"/>
      <c r="H708" s="18"/>
      <c r="I708" s="25"/>
      <c r="J708" s="18"/>
      <c r="K708" s="18"/>
      <c r="L708" s="18"/>
      <c r="M708" s="39"/>
      <c r="N708" s="18"/>
      <c r="O708" s="18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>
      <c r="A709" s="1"/>
      <c r="B709" s="1"/>
      <c r="C709" s="18"/>
      <c r="D709" s="47"/>
      <c r="E709" s="18"/>
      <c r="F709" s="18"/>
      <c r="G709" s="18"/>
      <c r="H709" s="18"/>
      <c r="I709" s="25"/>
      <c r="J709" s="18"/>
      <c r="K709" s="18"/>
      <c r="L709" s="18"/>
      <c r="M709" s="39"/>
      <c r="N709" s="18"/>
      <c r="O709" s="18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>
      <c r="A710" s="1"/>
      <c r="B710" s="1"/>
      <c r="C710" s="18"/>
      <c r="D710" s="47"/>
      <c r="E710" s="18"/>
      <c r="F710" s="18"/>
      <c r="G710" s="18"/>
      <c r="H710" s="18"/>
      <c r="I710" s="25"/>
      <c r="J710" s="18"/>
      <c r="K710" s="18"/>
      <c r="L710" s="18"/>
      <c r="M710" s="39"/>
      <c r="N710" s="18"/>
      <c r="O710" s="18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>
      <c r="A711" s="1"/>
      <c r="B711" s="1"/>
      <c r="C711" s="18"/>
      <c r="D711" s="47"/>
      <c r="E711" s="18"/>
      <c r="F711" s="18"/>
      <c r="G711" s="18"/>
      <c r="H711" s="18"/>
      <c r="I711" s="25"/>
      <c r="J711" s="18"/>
      <c r="K711" s="18"/>
      <c r="L711" s="18"/>
      <c r="M711" s="39"/>
      <c r="N711" s="18"/>
      <c r="O711" s="18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>
      <c r="A712" s="1"/>
      <c r="B712" s="1"/>
      <c r="C712" s="18"/>
      <c r="D712" s="47"/>
      <c r="E712" s="18"/>
      <c r="F712" s="18"/>
      <c r="G712" s="18"/>
      <c r="H712" s="18"/>
      <c r="I712" s="25"/>
      <c r="J712" s="18"/>
      <c r="K712" s="18"/>
      <c r="L712" s="18"/>
      <c r="M712" s="39"/>
      <c r="N712" s="18"/>
      <c r="O712" s="18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>
      <c r="A713" s="1"/>
      <c r="B713" s="1"/>
      <c r="C713" s="18"/>
      <c r="D713" s="47"/>
      <c r="E713" s="18"/>
      <c r="F713" s="18"/>
      <c r="G713" s="18"/>
      <c r="H713" s="18"/>
      <c r="I713" s="25"/>
      <c r="J713" s="18"/>
      <c r="K713" s="18"/>
      <c r="L713" s="18"/>
      <c r="M713" s="39"/>
      <c r="N713" s="18"/>
      <c r="O713" s="18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>
      <c r="A714" s="1"/>
      <c r="B714" s="1"/>
      <c r="C714" s="18"/>
      <c r="D714" s="47"/>
      <c r="E714" s="18"/>
      <c r="F714" s="18"/>
      <c r="G714" s="18"/>
      <c r="H714" s="18"/>
      <c r="I714" s="25"/>
      <c r="J714" s="18"/>
      <c r="K714" s="18"/>
      <c r="L714" s="18"/>
      <c r="M714" s="39"/>
      <c r="N714" s="18"/>
      <c r="O714" s="18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>
      <c r="A715" s="1"/>
      <c r="B715" s="1"/>
      <c r="C715" s="18"/>
      <c r="D715" s="47"/>
      <c r="E715" s="18"/>
      <c r="F715" s="18"/>
      <c r="G715" s="18"/>
      <c r="H715" s="18"/>
      <c r="I715" s="25"/>
      <c r="J715" s="18"/>
      <c r="K715" s="18"/>
      <c r="L715" s="18"/>
      <c r="M715" s="39"/>
      <c r="N715" s="18"/>
      <c r="O715" s="18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>
      <c r="A716" s="1"/>
      <c r="B716" s="1"/>
      <c r="C716" s="18"/>
      <c r="D716" s="47"/>
      <c r="E716" s="18"/>
      <c r="F716" s="18"/>
      <c r="G716" s="18"/>
      <c r="H716" s="18"/>
      <c r="I716" s="25"/>
      <c r="J716" s="18"/>
      <c r="K716" s="18"/>
      <c r="L716" s="18"/>
      <c r="M716" s="39"/>
      <c r="N716" s="18"/>
      <c r="O716" s="18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>
      <c r="A717" s="1"/>
      <c r="B717" s="1"/>
      <c r="C717" s="18"/>
      <c r="D717" s="47"/>
      <c r="E717" s="18"/>
      <c r="F717" s="18"/>
      <c r="G717" s="18"/>
      <c r="H717" s="18"/>
      <c r="I717" s="25"/>
      <c r="J717" s="18"/>
      <c r="K717" s="18"/>
      <c r="L717" s="18"/>
      <c r="M717" s="39"/>
      <c r="N717" s="18"/>
      <c r="O717" s="18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>
      <c r="A718" s="1"/>
      <c r="B718" s="1"/>
      <c r="C718" s="18"/>
      <c r="D718" s="47"/>
      <c r="E718" s="18"/>
      <c r="F718" s="18"/>
      <c r="G718" s="18"/>
      <c r="H718" s="18"/>
      <c r="I718" s="25"/>
      <c r="J718" s="18"/>
      <c r="K718" s="18"/>
      <c r="L718" s="18"/>
      <c r="M718" s="39"/>
      <c r="N718" s="18"/>
      <c r="O718" s="18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>
      <c r="A719" s="1"/>
      <c r="B719" s="1"/>
      <c r="C719" s="18"/>
      <c r="D719" s="47"/>
      <c r="E719" s="18"/>
      <c r="F719" s="18"/>
      <c r="G719" s="18"/>
      <c r="H719" s="18"/>
      <c r="I719" s="25"/>
      <c r="J719" s="18"/>
      <c r="K719" s="18"/>
      <c r="L719" s="18"/>
      <c r="M719" s="39"/>
      <c r="N719" s="18"/>
      <c r="O719" s="18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>
      <c r="A720" s="1"/>
      <c r="B720" s="1"/>
      <c r="C720" s="18"/>
      <c r="D720" s="47"/>
      <c r="E720" s="18"/>
      <c r="F720" s="18"/>
      <c r="G720" s="18"/>
      <c r="H720" s="18"/>
      <c r="I720" s="25"/>
      <c r="J720" s="18"/>
      <c r="K720" s="18"/>
      <c r="L720" s="18"/>
      <c r="M720" s="39"/>
      <c r="N720" s="18"/>
      <c r="O720" s="18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>
      <c r="A721" s="1"/>
      <c r="B721" s="1"/>
      <c r="C721" s="18"/>
      <c r="D721" s="47"/>
      <c r="E721" s="18"/>
      <c r="F721" s="18"/>
      <c r="G721" s="18"/>
      <c r="H721" s="18"/>
      <c r="I721" s="25"/>
      <c r="J721" s="18"/>
      <c r="K721" s="18"/>
      <c r="L721" s="18"/>
      <c r="M721" s="39"/>
      <c r="N721" s="18"/>
      <c r="O721" s="18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>
      <c r="A722" s="1"/>
      <c r="B722" s="1"/>
      <c r="C722" s="18"/>
      <c r="D722" s="47"/>
      <c r="E722" s="18"/>
      <c r="F722" s="18"/>
      <c r="G722" s="18"/>
      <c r="H722" s="18"/>
      <c r="I722" s="25"/>
      <c r="J722" s="18"/>
      <c r="K722" s="18"/>
      <c r="L722" s="18"/>
      <c r="M722" s="39"/>
      <c r="N722" s="18"/>
      <c r="O722" s="18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>
      <c r="A723" s="1"/>
      <c r="B723" s="1"/>
      <c r="C723" s="18"/>
      <c r="D723" s="47"/>
      <c r="E723" s="18"/>
      <c r="F723" s="18"/>
      <c r="G723" s="18"/>
      <c r="H723" s="18"/>
      <c r="I723" s="25"/>
      <c r="J723" s="18"/>
      <c r="K723" s="18"/>
      <c r="L723" s="18"/>
      <c r="M723" s="39"/>
      <c r="N723" s="18"/>
      <c r="O723" s="18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>
      <c r="A724" s="1"/>
      <c r="B724" s="1"/>
      <c r="C724" s="18"/>
      <c r="D724" s="47"/>
      <c r="E724" s="18"/>
      <c r="F724" s="18"/>
      <c r="G724" s="18"/>
      <c r="H724" s="18"/>
      <c r="I724" s="25"/>
      <c r="J724" s="18"/>
      <c r="K724" s="18"/>
      <c r="L724" s="18"/>
      <c r="M724" s="39"/>
      <c r="N724" s="18"/>
      <c r="O724" s="18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>
      <c r="A725" s="1"/>
      <c r="B725" s="1"/>
      <c r="C725" s="18"/>
      <c r="D725" s="47"/>
      <c r="E725" s="18"/>
      <c r="F725" s="18"/>
      <c r="G725" s="18"/>
      <c r="H725" s="18"/>
      <c r="I725" s="25"/>
      <c r="J725" s="18"/>
      <c r="K725" s="18"/>
      <c r="L725" s="18"/>
      <c r="M725" s="39"/>
      <c r="N725" s="18"/>
      <c r="O725" s="18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>
      <c r="A726" s="1"/>
      <c r="B726" s="1"/>
      <c r="C726" s="18"/>
      <c r="D726" s="47"/>
      <c r="E726" s="18"/>
      <c r="F726" s="18"/>
      <c r="G726" s="18"/>
      <c r="H726" s="18"/>
      <c r="I726" s="25"/>
      <c r="J726" s="18"/>
      <c r="K726" s="18"/>
      <c r="L726" s="18"/>
      <c r="M726" s="39"/>
      <c r="N726" s="18"/>
      <c r="O726" s="18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>
      <c r="A727" s="1"/>
      <c r="B727" s="1"/>
      <c r="C727" s="18"/>
      <c r="D727" s="47"/>
      <c r="E727" s="18"/>
      <c r="F727" s="18"/>
      <c r="G727" s="18"/>
      <c r="H727" s="18"/>
      <c r="I727" s="25"/>
      <c r="J727" s="18"/>
      <c r="K727" s="18"/>
      <c r="L727" s="18"/>
      <c r="M727" s="39"/>
      <c r="N727" s="18"/>
      <c r="O727" s="18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>
      <c r="A728" s="1"/>
      <c r="B728" s="1"/>
      <c r="C728" s="18"/>
      <c r="D728" s="47"/>
      <c r="E728" s="18"/>
      <c r="F728" s="18"/>
      <c r="G728" s="18"/>
      <c r="H728" s="18"/>
      <c r="I728" s="25"/>
      <c r="J728" s="18"/>
      <c r="K728" s="18"/>
      <c r="L728" s="18"/>
      <c r="M728" s="39"/>
      <c r="N728" s="18"/>
      <c r="O728" s="18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>
      <c r="A729" s="1"/>
      <c r="B729" s="1"/>
      <c r="C729" s="18"/>
      <c r="D729" s="47"/>
      <c r="E729" s="18"/>
      <c r="F729" s="18"/>
      <c r="G729" s="18"/>
      <c r="H729" s="18"/>
      <c r="I729" s="25"/>
      <c r="J729" s="18"/>
      <c r="K729" s="18"/>
      <c r="L729" s="18"/>
      <c r="M729" s="39"/>
      <c r="N729" s="18"/>
      <c r="O729" s="18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>
      <c r="A730" s="1"/>
      <c r="B730" s="1"/>
      <c r="C730" s="18"/>
      <c r="D730" s="47"/>
      <c r="E730" s="18"/>
      <c r="F730" s="18"/>
      <c r="G730" s="18"/>
      <c r="H730" s="18"/>
      <c r="I730" s="25"/>
      <c r="J730" s="18"/>
      <c r="K730" s="18"/>
      <c r="L730" s="18"/>
      <c r="M730" s="39"/>
      <c r="N730" s="18"/>
      <c r="O730" s="18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>
      <c r="A731" s="1"/>
      <c r="B731" s="1"/>
      <c r="C731" s="18"/>
      <c r="D731" s="47"/>
      <c r="E731" s="18"/>
      <c r="F731" s="18"/>
      <c r="G731" s="18"/>
      <c r="H731" s="18"/>
      <c r="I731" s="25"/>
      <c r="J731" s="18"/>
      <c r="K731" s="18"/>
      <c r="L731" s="18"/>
      <c r="M731" s="39"/>
      <c r="N731" s="18"/>
      <c r="O731" s="18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>
      <c r="A732" s="1"/>
      <c r="B732" s="1"/>
      <c r="C732" s="18"/>
      <c r="D732" s="47"/>
      <c r="E732" s="18"/>
      <c r="F732" s="18"/>
      <c r="G732" s="18"/>
      <c r="H732" s="18"/>
      <c r="I732" s="25"/>
      <c r="J732" s="18"/>
      <c r="K732" s="18"/>
      <c r="L732" s="18"/>
      <c r="M732" s="39"/>
      <c r="N732" s="18"/>
      <c r="O732" s="18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>
      <c r="A733" s="1"/>
      <c r="B733" s="1"/>
      <c r="C733" s="18"/>
      <c r="D733" s="47"/>
      <c r="E733" s="18"/>
      <c r="F733" s="18"/>
      <c r="G733" s="18"/>
      <c r="H733" s="18"/>
      <c r="I733" s="25"/>
      <c r="J733" s="18"/>
      <c r="K733" s="18"/>
      <c r="L733" s="18"/>
      <c r="M733" s="39"/>
      <c r="N733" s="18"/>
      <c r="O733" s="18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>
      <c r="A734" s="1"/>
      <c r="B734" s="1"/>
      <c r="C734" s="18"/>
      <c r="D734" s="47"/>
      <c r="E734" s="18"/>
      <c r="F734" s="18"/>
      <c r="G734" s="18"/>
      <c r="H734" s="18"/>
      <c r="I734" s="25"/>
      <c r="J734" s="18"/>
      <c r="K734" s="18"/>
      <c r="L734" s="18"/>
      <c r="M734" s="39"/>
      <c r="N734" s="18"/>
      <c r="O734" s="18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>
      <c r="A735" s="1"/>
      <c r="B735" s="1"/>
      <c r="C735" s="18"/>
      <c r="D735" s="47"/>
      <c r="E735" s="18"/>
      <c r="F735" s="18"/>
      <c r="G735" s="18"/>
      <c r="H735" s="18"/>
      <c r="I735" s="25"/>
      <c r="J735" s="18"/>
      <c r="K735" s="18"/>
      <c r="L735" s="18"/>
      <c r="M735" s="39"/>
      <c r="N735" s="18"/>
      <c r="O735" s="18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>
      <c r="A736" s="1"/>
      <c r="B736" s="1"/>
      <c r="C736" s="18"/>
      <c r="D736" s="47"/>
      <c r="E736" s="18"/>
      <c r="F736" s="18"/>
      <c r="G736" s="18"/>
      <c r="H736" s="18"/>
      <c r="I736" s="25"/>
      <c r="J736" s="18"/>
      <c r="K736" s="18"/>
      <c r="L736" s="18"/>
      <c r="M736" s="39"/>
      <c r="N736" s="18"/>
      <c r="O736" s="18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>
      <c r="A737" s="1"/>
      <c r="B737" s="1"/>
      <c r="C737" s="18"/>
      <c r="D737" s="47"/>
      <c r="E737" s="18"/>
      <c r="F737" s="18"/>
      <c r="G737" s="18"/>
      <c r="H737" s="18"/>
      <c r="I737" s="25"/>
      <c r="J737" s="18"/>
      <c r="K737" s="18"/>
      <c r="L737" s="18"/>
      <c r="M737" s="39"/>
      <c r="N737" s="18"/>
      <c r="O737" s="18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>
      <c r="A738" s="1"/>
      <c r="B738" s="1"/>
      <c r="C738" s="18"/>
      <c r="D738" s="47"/>
      <c r="E738" s="18"/>
      <c r="F738" s="18"/>
      <c r="G738" s="18"/>
      <c r="H738" s="18"/>
      <c r="I738" s="25"/>
      <c r="J738" s="18"/>
      <c r="K738" s="18"/>
      <c r="L738" s="18"/>
      <c r="M738" s="39"/>
      <c r="N738" s="18"/>
      <c r="O738" s="18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>
      <c r="A739" s="1"/>
      <c r="B739" s="1"/>
      <c r="C739" s="18"/>
      <c r="D739" s="47"/>
      <c r="E739" s="18"/>
      <c r="F739" s="18"/>
      <c r="G739" s="18"/>
      <c r="H739" s="18"/>
      <c r="I739" s="25"/>
      <c r="J739" s="18"/>
      <c r="K739" s="18"/>
      <c r="L739" s="18"/>
      <c r="M739" s="39"/>
      <c r="N739" s="18"/>
      <c r="O739" s="18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>
      <c r="A740" s="1"/>
      <c r="B740" s="1"/>
      <c r="C740" s="18"/>
      <c r="D740" s="47"/>
      <c r="E740" s="18"/>
      <c r="F740" s="18"/>
      <c r="G740" s="18"/>
      <c r="H740" s="18"/>
      <c r="I740" s="25"/>
      <c r="J740" s="18"/>
      <c r="K740" s="18"/>
      <c r="L740" s="18"/>
      <c r="M740" s="39"/>
      <c r="N740" s="18"/>
      <c r="O740" s="18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>
      <c r="A741" s="1"/>
      <c r="B741" s="1"/>
      <c r="C741" s="18"/>
      <c r="D741" s="47"/>
      <c r="E741" s="18"/>
      <c r="F741" s="18"/>
      <c r="G741" s="18"/>
      <c r="H741" s="18"/>
      <c r="I741" s="25"/>
      <c r="J741" s="18"/>
      <c r="K741" s="18"/>
      <c r="L741" s="18"/>
      <c r="M741" s="39"/>
      <c r="N741" s="18"/>
      <c r="O741" s="18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>
      <c r="A742" s="1"/>
      <c r="B742" s="1"/>
      <c r="C742" s="18"/>
      <c r="D742" s="47"/>
      <c r="E742" s="18"/>
      <c r="F742" s="18"/>
      <c r="G742" s="18"/>
      <c r="H742" s="18"/>
      <c r="I742" s="25"/>
      <c r="J742" s="18"/>
      <c r="K742" s="18"/>
      <c r="L742" s="18"/>
      <c r="M742" s="39"/>
      <c r="N742" s="18"/>
      <c r="O742" s="18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>
      <c r="A743" s="1"/>
      <c r="B743" s="1"/>
      <c r="C743" s="18"/>
      <c r="D743" s="47"/>
      <c r="E743" s="18"/>
      <c r="F743" s="18"/>
      <c r="G743" s="18"/>
      <c r="H743" s="18"/>
      <c r="I743" s="25"/>
      <c r="J743" s="18"/>
      <c r="K743" s="18"/>
      <c r="L743" s="18"/>
      <c r="M743" s="39"/>
      <c r="N743" s="18"/>
      <c r="O743" s="18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>
      <c r="A744" s="1"/>
      <c r="B744" s="1"/>
      <c r="C744" s="18"/>
      <c r="D744" s="47"/>
      <c r="E744" s="18"/>
      <c r="F744" s="18"/>
      <c r="G744" s="18"/>
      <c r="H744" s="18"/>
      <c r="I744" s="25"/>
      <c r="J744" s="18"/>
      <c r="K744" s="18"/>
      <c r="L744" s="18"/>
      <c r="M744" s="39"/>
      <c r="N744" s="18"/>
      <c r="O744" s="18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>
      <c r="A745" s="1"/>
      <c r="B745" s="1"/>
      <c r="C745" s="18"/>
      <c r="D745" s="47"/>
      <c r="E745" s="18"/>
      <c r="F745" s="18"/>
      <c r="G745" s="18"/>
      <c r="H745" s="18"/>
      <c r="I745" s="25"/>
      <c r="J745" s="18"/>
      <c r="K745" s="18"/>
      <c r="L745" s="18"/>
      <c r="M745" s="39"/>
      <c r="N745" s="18"/>
      <c r="O745" s="18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>
      <c r="A746" s="1"/>
      <c r="B746" s="1"/>
      <c r="C746" s="18"/>
      <c r="D746" s="47"/>
      <c r="E746" s="18"/>
      <c r="F746" s="18"/>
      <c r="G746" s="18"/>
      <c r="H746" s="18"/>
      <c r="I746" s="25"/>
      <c r="J746" s="18"/>
      <c r="K746" s="18"/>
      <c r="L746" s="18"/>
      <c r="M746" s="39"/>
      <c r="N746" s="18"/>
      <c r="O746" s="18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>
      <c r="A747" s="1"/>
      <c r="B747" s="1"/>
      <c r="C747" s="18"/>
      <c r="D747" s="47"/>
      <c r="E747" s="18"/>
      <c r="F747" s="18"/>
      <c r="G747" s="18"/>
      <c r="H747" s="18"/>
      <c r="I747" s="25"/>
      <c r="J747" s="18"/>
      <c r="K747" s="18"/>
      <c r="L747" s="18"/>
      <c r="M747" s="39"/>
      <c r="N747" s="18"/>
      <c r="O747" s="18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>
      <c r="A748" s="1"/>
      <c r="B748" s="1"/>
      <c r="C748" s="18"/>
      <c r="D748" s="47"/>
      <c r="E748" s="18"/>
      <c r="F748" s="18"/>
      <c r="G748" s="18"/>
      <c r="H748" s="18"/>
      <c r="I748" s="25"/>
      <c r="J748" s="18"/>
      <c r="K748" s="18"/>
      <c r="L748" s="18"/>
      <c r="M748" s="39"/>
      <c r="N748" s="18"/>
      <c r="O748" s="18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>
      <c r="A749" s="1"/>
      <c r="B749" s="1"/>
      <c r="C749" s="18"/>
      <c r="D749" s="47"/>
      <c r="E749" s="18"/>
      <c r="F749" s="18"/>
      <c r="G749" s="18"/>
      <c r="H749" s="18"/>
      <c r="I749" s="25"/>
      <c r="J749" s="18"/>
      <c r="K749" s="18"/>
      <c r="L749" s="18"/>
      <c r="M749" s="39"/>
      <c r="N749" s="18"/>
      <c r="O749" s="18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>
      <c r="A750" s="1"/>
      <c r="B750" s="1"/>
      <c r="C750" s="18"/>
      <c r="D750" s="47"/>
      <c r="E750" s="18"/>
      <c r="F750" s="18"/>
      <c r="G750" s="18"/>
      <c r="H750" s="18"/>
      <c r="I750" s="25"/>
      <c r="J750" s="18"/>
      <c r="K750" s="18"/>
      <c r="L750" s="18"/>
      <c r="M750" s="39"/>
      <c r="N750" s="18"/>
      <c r="O750" s="18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>
      <c r="A751" s="1"/>
      <c r="B751" s="1"/>
      <c r="C751" s="18"/>
      <c r="D751" s="47"/>
      <c r="E751" s="18"/>
      <c r="F751" s="18"/>
      <c r="G751" s="18"/>
      <c r="H751" s="18"/>
      <c r="I751" s="25"/>
      <c r="J751" s="18"/>
      <c r="K751" s="18"/>
      <c r="L751" s="18"/>
      <c r="M751" s="39"/>
      <c r="N751" s="18"/>
      <c r="O751" s="18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>
      <c r="A752" s="1"/>
      <c r="B752" s="1"/>
      <c r="C752" s="18"/>
      <c r="D752" s="47"/>
      <c r="E752" s="18"/>
      <c r="F752" s="18"/>
      <c r="G752" s="18"/>
      <c r="H752" s="18"/>
      <c r="I752" s="25"/>
      <c r="J752" s="18"/>
      <c r="K752" s="18"/>
      <c r="L752" s="18"/>
      <c r="M752" s="39"/>
      <c r="N752" s="18"/>
      <c r="O752" s="18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>
      <c r="A753" s="1"/>
      <c r="B753" s="1"/>
      <c r="C753" s="18"/>
      <c r="D753" s="47"/>
      <c r="E753" s="18"/>
      <c r="F753" s="18"/>
      <c r="G753" s="18"/>
      <c r="H753" s="18"/>
      <c r="I753" s="25"/>
      <c r="J753" s="18"/>
      <c r="K753" s="18"/>
      <c r="L753" s="18"/>
      <c r="M753" s="39"/>
      <c r="N753" s="18"/>
      <c r="O753" s="18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>
      <c r="A754" s="1"/>
      <c r="B754" s="1"/>
      <c r="C754" s="18"/>
      <c r="D754" s="47"/>
      <c r="E754" s="18"/>
      <c r="F754" s="18"/>
      <c r="G754" s="18"/>
      <c r="H754" s="18"/>
      <c r="I754" s="25"/>
      <c r="J754" s="18"/>
      <c r="K754" s="18"/>
      <c r="L754" s="18"/>
      <c r="M754" s="39"/>
      <c r="N754" s="18"/>
      <c r="O754" s="18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>
      <c r="A755" s="1"/>
      <c r="B755" s="1"/>
      <c r="C755" s="18"/>
      <c r="D755" s="47"/>
      <c r="E755" s="18"/>
      <c r="F755" s="18"/>
      <c r="G755" s="18"/>
      <c r="H755" s="18"/>
      <c r="I755" s="25"/>
      <c r="J755" s="18"/>
      <c r="K755" s="18"/>
      <c r="L755" s="18"/>
      <c r="M755" s="39"/>
      <c r="N755" s="18"/>
      <c r="O755" s="18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>
      <c r="A756" s="1"/>
      <c r="B756" s="1"/>
      <c r="C756" s="18"/>
      <c r="D756" s="47"/>
      <c r="E756" s="18"/>
      <c r="F756" s="18"/>
      <c r="G756" s="18"/>
      <c r="H756" s="18"/>
      <c r="I756" s="25"/>
      <c r="J756" s="18"/>
      <c r="K756" s="18"/>
      <c r="L756" s="18"/>
      <c r="M756" s="39"/>
      <c r="N756" s="18"/>
      <c r="O756" s="18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>
      <c r="A757" s="1"/>
      <c r="B757" s="1"/>
      <c r="C757" s="18"/>
      <c r="D757" s="47"/>
      <c r="E757" s="18"/>
      <c r="F757" s="18"/>
      <c r="G757" s="18"/>
      <c r="H757" s="18"/>
      <c r="I757" s="25"/>
      <c r="J757" s="18"/>
      <c r="K757" s="18"/>
      <c r="L757" s="18"/>
      <c r="M757" s="39"/>
      <c r="N757" s="18"/>
      <c r="O757" s="18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>
      <c r="A758" s="1"/>
      <c r="B758" s="1"/>
      <c r="C758" s="18"/>
      <c r="D758" s="47"/>
      <c r="E758" s="18"/>
      <c r="F758" s="18"/>
      <c r="G758" s="18"/>
      <c r="H758" s="18"/>
      <c r="I758" s="25"/>
      <c r="J758" s="18"/>
      <c r="K758" s="18"/>
      <c r="L758" s="18"/>
      <c r="M758" s="39"/>
      <c r="N758" s="18"/>
      <c r="O758" s="18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>
      <c r="A759" s="1"/>
      <c r="B759" s="1"/>
      <c r="C759" s="18"/>
      <c r="D759" s="47"/>
      <c r="E759" s="18"/>
      <c r="F759" s="18"/>
      <c r="G759" s="18"/>
      <c r="H759" s="18"/>
      <c r="I759" s="25"/>
      <c r="J759" s="18"/>
      <c r="K759" s="18"/>
      <c r="L759" s="18"/>
      <c r="M759" s="39"/>
      <c r="N759" s="18"/>
      <c r="O759" s="18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>
      <c r="A760" s="1"/>
      <c r="B760" s="1"/>
      <c r="C760" s="18"/>
      <c r="D760" s="47"/>
      <c r="E760" s="18"/>
      <c r="F760" s="18"/>
      <c r="G760" s="18"/>
      <c r="H760" s="18"/>
      <c r="I760" s="25"/>
      <c r="J760" s="18"/>
      <c r="K760" s="18"/>
      <c r="L760" s="18"/>
      <c r="M760" s="39"/>
      <c r="N760" s="18"/>
      <c r="O760" s="18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>
      <c r="A761" s="1"/>
      <c r="B761" s="1"/>
      <c r="C761" s="18"/>
      <c r="D761" s="47"/>
      <c r="E761" s="18"/>
      <c r="F761" s="18"/>
      <c r="G761" s="18"/>
      <c r="H761" s="18"/>
      <c r="I761" s="25"/>
      <c r="J761" s="18"/>
      <c r="K761" s="18"/>
      <c r="L761" s="18"/>
      <c r="M761" s="39"/>
      <c r="N761" s="18"/>
      <c r="O761" s="18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>
      <c r="A762" s="1"/>
      <c r="B762" s="1"/>
      <c r="C762" s="18"/>
      <c r="D762" s="47"/>
      <c r="E762" s="18"/>
      <c r="F762" s="18"/>
      <c r="G762" s="18"/>
      <c r="H762" s="18"/>
      <c r="I762" s="25"/>
      <c r="J762" s="18"/>
      <c r="K762" s="18"/>
      <c r="L762" s="18"/>
      <c r="M762" s="39"/>
      <c r="N762" s="18"/>
      <c r="O762" s="18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>
      <c r="A763" s="1"/>
      <c r="B763" s="1"/>
      <c r="C763" s="18"/>
      <c r="D763" s="47"/>
      <c r="E763" s="18"/>
      <c r="F763" s="18"/>
      <c r="G763" s="18"/>
      <c r="H763" s="18"/>
      <c r="I763" s="25"/>
      <c r="J763" s="18"/>
      <c r="K763" s="18"/>
      <c r="L763" s="18"/>
      <c r="M763" s="39"/>
      <c r="N763" s="18"/>
      <c r="O763" s="18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>
      <c r="A764" s="1"/>
      <c r="B764" s="1"/>
      <c r="C764" s="18"/>
      <c r="D764" s="47"/>
      <c r="E764" s="18"/>
      <c r="F764" s="18"/>
      <c r="G764" s="18"/>
      <c r="H764" s="18"/>
      <c r="I764" s="25"/>
      <c r="J764" s="18"/>
      <c r="K764" s="18"/>
      <c r="L764" s="18"/>
      <c r="M764" s="39"/>
      <c r="N764" s="18"/>
      <c r="O764" s="18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>
      <c r="A765" s="1"/>
      <c r="B765" s="1"/>
      <c r="C765" s="18"/>
      <c r="D765" s="47"/>
      <c r="E765" s="18"/>
      <c r="F765" s="18"/>
      <c r="G765" s="18"/>
      <c r="H765" s="18"/>
      <c r="I765" s="25"/>
      <c r="J765" s="18"/>
      <c r="K765" s="18"/>
      <c r="L765" s="18"/>
      <c r="M765" s="39"/>
      <c r="N765" s="18"/>
      <c r="O765" s="18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>
      <c r="A766" s="1"/>
      <c r="B766" s="1"/>
      <c r="C766" s="18"/>
      <c r="D766" s="47"/>
      <c r="E766" s="18"/>
      <c r="F766" s="18"/>
      <c r="G766" s="18"/>
      <c r="H766" s="18"/>
      <c r="I766" s="25"/>
      <c r="J766" s="18"/>
      <c r="K766" s="18"/>
      <c r="L766" s="18"/>
      <c r="M766" s="39"/>
      <c r="N766" s="18"/>
      <c r="O766" s="18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>
      <c r="A767" s="1"/>
      <c r="B767" s="1"/>
      <c r="C767" s="18"/>
      <c r="D767" s="47"/>
      <c r="E767" s="18"/>
      <c r="F767" s="18"/>
      <c r="G767" s="18"/>
      <c r="H767" s="18"/>
      <c r="I767" s="25"/>
      <c r="J767" s="18"/>
      <c r="K767" s="18"/>
      <c r="L767" s="18"/>
      <c r="M767" s="39"/>
      <c r="N767" s="18"/>
      <c r="O767" s="18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>
      <c r="A768" s="1"/>
      <c r="B768" s="1"/>
      <c r="C768" s="18"/>
      <c r="D768" s="47"/>
      <c r="E768" s="18"/>
      <c r="F768" s="18"/>
      <c r="G768" s="18"/>
      <c r="H768" s="18"/>
      <c r="I768" s="25"/>
      <c r="J768" s="18"/>
      <c r="K768" s="18"/>
      <c r="L768" s="18"/>
      <c r="M768" s="39"/>
      <c r="N768" s="18"/>
      <c r="O768" s="18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>
      <c r="A769" s="1"/>
      <c r="B769" s="1"/>
      <c r="C769" s="18"/>
      <c r="D769" s="47"/>
      <c r="E769" s="18"/>
      <c r="F769" s="18"/>
      <c r="G769" s="18"/>
      <c r="H769" s="18"/>
      <c r="I769" s="25"/>
      <c r="J769" s="18"/>
      <c r="K769" s="18"/>
      <c r="L769" s="18"/>
      <c r="M769" s="39"/>
      <c r="N769" s="18"/>
      <c r="O769" s="18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>
      <c r="A770" s="1"/>
      <c r="B770" s="1"/>
      <c r="C770" s="18"/>
      <c r="D770" s="47"/>
      <c r="E770" s="18"/>
      <c r="F770" s="18"/>
      <c r="G770" s="18"/>
      <c r="H770" s="18"/>
      <c r="I770" s="25"/>
      <c r="J770" s="18"/>
      <c r="K770" s="18"/>
      <c r="L770" s="18"/>
      <c r="M770" s="39"/>
      <c r="N770" s="18"/>
      <c r="O770" s="18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>
      <c r="A771" s="1"/>
      <c r="B771" s="1"/>
      <c r="C771" s="18"/>
      <c r="D771" s="47"/>
      <c r="E771" s="18"/>
      <c r="F771" s="18"/>
      <c r="G771" s="18"/>
      <c r="H771" s="18"/>
      <c r="I771" s="25"/>
      <c r="J771" s="18"/>
      <c r="K771" s="18"/>
      <c r="L771" s="18"/>
      <c r="M771" s="39"/>
      <c r="N771" s="18"/>
      <c r="O771" s="18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>
      <c r="A772" s="1"/>
      <c r="B772" s="1"/>
      <c r="C772" s="18"/>
      <c r="D772" s="47"/>
      <c r="E772" s="18"/>
      <c r="F772" s="18"/>
      <c r="G772" s="18"/>
      <c r="H772" s="18"/>
      <c r="I772" s="25"/>
      <c r="J772" s="18"/>
      <c r="K772" s="18"/>
      <c r="L772" s="18"/>
      <c r="M772" s="39"/>
      <c r="N772" s="18"/>
      <c r="O772" s="18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>
      <c r="A773" s="1"/>
      <c r="B773" s="1"/>
      <c r="C773" s="18"/>
      <c r="D773" s="47"/>
      <c r="E773" s="18"/>
      <c r="F773" s="18"/>
      <c r="G773" s="18"/>
      <c r="H773" s="18"/>
      <c r="I773" s="25"/>
      <c r="J773" s="18"/>
      <c r="K773" s="18"/>
      <c r="L773" s="18"/>
      <c r="M773" s="39"/>
      <c r="N773" s="18"/>
      <c r="O773" s="18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>
      <c r="A774" s="1"/>
      <c r="B774" s="1"/>
      <c r="C774" s="18"/>
      <c r="D774" s="47"/>
      <c r="E774" s="18"/>
      <c r="F774" s="18"/>
      <c r="G774" s="18"/>
      <c r="H774" s="18"/>
      <c r="I774" s="25"/>
      <c r="J774" s="18"/>
      <c r="K774" s="18"/>
      <c r="L774" s="18"/>
      <c r="M774" s="39"/>
      <c r="N774" s="18"/>
      <c r="O774" s="18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>
      <c r="A775" s="1"/>
      <c r="B775" s="1"/>
      <c r="C775" s="18"/>
      <c r="D775" s="47"/>
      <c r="E775" s="18"/>
      <c r="F775" s="18"/>
      <c r="G775" s="18"/>
      <c r="H775" s="18"/>
      <c r="I775" s="25"/>
      <c r="J775" s="18"/>
      <c r="K775" s="18"/>
      <c r="L775" s="18"/>
      <c r="M775" s="39"/>
      <c r="N775" s="18"/>
      <c r="O775" s="18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>
      <c r="A776" s="1"/>
      <c r="B776" s="1"/>
      <c r="C776" s="18"/>
      <c r="D776" s="47"/>
      <c r="E776" s="18"/>
      <c r="F776" s="18"/>
      <c r="G776" s="18"/>
      <c r="H776" s="18"/>
      <c r="I776" s="25"/>
      <c r="J776" s="18"/>
      <c r="K776" s="18"/>
      <c r="L776" s="18"/>
      <c r="M776" s="39"/>
      <c r="N776" s="18"/>
      <c r="O776" s="18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>
      <c r="A777" s="1"/>
      <c r="B777" s="1"/>
      <c r="C777" s="18"/>
      <c r="D777" s="47"/>
      <c r="E777" s="18"/>
      <c r="F777" s="18"/>
      <c r="G777" s="18"/>
      <c r="H777" s="18"/>
      <c r="I777" s="25"/>
      <c r="J777" s="18"/>
      <c r="K777" s="18"/>
      <c r="L777" s="18"/>
      <c r="M777" s="39"/>
      <c r="N777" s="18"/>
      <c r="O777" s="18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>
      <c r="A778" s="1"/>
      <c r="B778" s="1"/>
      <c r="C778" s="18"/>
      <c r="D778" s="47"/>
      <c r="E778" s="18"/>
      <c r="F778" s="18"/>
      <c r="G778" s="18"/>
      <c r="H778" s="18"/>
      <c r="I778" s="25"/>
      <c r="J778" s="18"/>
      <c r="K778" s="18"/>
      <c r="L778" s="18"/>
      <c r="M778" s="39"/>
      <c r="N778" s="18"/>
      <c r="O778" s="18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>
      <c r="A779" s="1"/>
      <c r="B779" s="1"/>
      <c r="C779" s="18"/>
      <c r="D779" s="47"/>
      <c r="E779" s="18"/>
      <c r="F779" s="18"/>
      <c r="G779" s="18"/>
      <c r="H779" s="18"/>
      <c r="I779" s="25"/>
      <c r="J779" s="18"/>
      <c r="K779" s="18"/>
      <c r="L779" s="18"/>
      <c r="M779" s="39"/>
      <c r="N779" s="18"/>
      <c r="O779" s="18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>
      <c r="A780" s="1"/>
      <c r="B780" s="1"/>
      <c r="C780" s="18"/>
      <c r="D780" s="47"/>
      <c r="E780" s="18"/>
      <c r="F780" s="18"/>
      <c r="G780" s="18"/>
      <c r="H780" s="18"/>
      <c r="I780" s="25"/>
      <c r="J780" s="18"/>
      <c r="K780" s="18"/>
      <c r="L780" s="18"/>
      <c r="M780" s="39"/>
      <c r="N780" s="18"/>
      <c r="O780" s="18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>
      <c r="A781" s="1"/>
      <c r="B781" s="1"/>
      <c r="C781" s="18"/>
      <c r="D781" s="47"/>
      <c r="E781" s="18"/>
      <c r="F781" s="18"/>
      <c r="G781" s="18"/>
      <c r="H781" s="18"/>
      <c r="I781" s="25"/>
      <c r="J781" s="18"/>
      <c r="K781" s="18"/>
      <c r="L781" s="18"/>
      <c r="M781" s="39"/>
      <c r="N781" s="18"/>
      <c r="O781" s="18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>
      <c r="A782" s="1"/>
      <c r="B782" s="1"/>
      <c r="C782" s="18"/>
      <c r="D782" s="47"/>
      <c r="E782" s="18"/>
      <c r="F782" s="18"/>
      <c r="G782" s="18"/>
      <c r="H782" s="18"/>
      <c r="I782" s="25"/>
      <c r="J782" s="18"/>
      <c r="K782" s="18"/>
      <c r="L782" s="18"/>
      <c r="M782" s="39"/>
      <c r="N782" s="18"/>
      <c r="O782" s="18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>
      <c r="A783" s="1"/>
      <c r="B783" s="1"/>
      <c r="C783" s="18"/>
      <c r="D783" s="47"/>
      <c r="E783" s="18"/>
      <c r="F783" s="18"/>
      <c r="G783" s="18"/>
      <c r="H783" s="18"/>
      <c r="I783" s="25"/>
      <c r="J783" s="18"/>
      <c r="K783" s="18"/>
      <c r="L783" s="18"/>
      <c r="M783" s="39"/>
      <c r="N783" s="18"/>
      <c r="O783" s="18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>
      <c r="A784" s="1"/>
      <c r="B784" s="1"/>
      <c r="C784" s="18"/>
      <c r="D784" s="47"/>
      <c r="E784" s="18"/>
      <c r="F784" s="18"/>
      <c r="G784" s="18"/>
      <c r="H784" s="18"/>
      <c r="I784" s="25"/>
      <c r="J784" s="18"/>
      <c r="K784" s="18"/>
      <c r="L784" s="18"/>
      <c r="M784" s="39"/>
      <c r="N784" s="18"/>
      <c r="O784" s="18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>
      <c r="A785" s="1"/>
      <c r="B785" s="1"/>
      <c r="C785" s="18"/>
      <c r="D785" s="47"/>
      <c r="E785" s="18"/>
      <c r="F785" s="18"/>
      <c r="G785" s="18"/>
      <c r="H785" s="18"/>
      <c r="I785" s="25"/>
      <c r="J785" s="18"/>
      <c r="K785" s="18"/>
      <c r="L785" s="18"/>
      <c r="M785" s="39"/>
      <c r="N785" s="18"/>
      <c r="O785" s="18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>
      <c r="A786" s="1"/>
      <c r="B786" s="1"/>
      <c r="C786" s="18"/>
      <c r="D786" s="47"/>
      <c r="E786" s="18"/>
      <c r="F786" s="18"/>
      <c r="G786" s="18"/>
      <c r="H786" s="18"/>
      <c r="I786" s="25"/>
      <c r="J786" s="18"/>
      <c r="K786" s="18"/>
      <c r="L786" s="18"/>
      <c r="M786" s="39"/>
      <c r="N786" s="18"/>
      <c r="O786" s="18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>
      <c r="A787" s="1"/>
      <c r="B787" s="1"/>
      <c r="C787" s="18"/>
      <c r="D787" s="47"/>
      <c r="E787" s="18"/>
      <c r="F787" s="18"/>
      <c r="G787" s="18"/>
      <c r="H787" s="18"/>
      <c r="I787" s="25"/>
      <c r="J787" s="18"/>
      <c r="K787" s="18"/>
      <c r="L787" s="18"/>
      <c r="M787" s="39"/>
      <c r="N787" s="18"/>
      <c r="O787" s="18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>
      <c r="A788" s="1"/>
      <c r="B788" s="1"/>
      <c r="C788" s="18"/>
      <c r="D788" s="47"/>
      <c r="E788" s="18"/>
      <c r="F788" s="18"/>
      <c r="G788" s="18"/>
      <c r="H788" s="18"/>
      <c r="I788" s="25"/>
      <c r="J788" s="18"/>
      <c r="K788" s="18"/>
      <c r="L788" s="18"/>
      <c r="M788" s="39"/>
      <c r="N788" s="18"/>
      <c r="O788" s="18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>
      <c r="A789" s="1"/>
      <c r="B789" s="1"/>
      <c r="C789" s="18"/>
      <c r="D789" s="47"/>
      <c r="E789" s="18"/>
      <c r="F789" s="18"/>
      <c r="G789" s="18"/>
      <c r="H789" s="18"/>
      <c r="I789" s="25"/>
      <c r="J789" s="18"/>
      <c r="K789" s="18"/>
      <c r="L789" s="18"/>
      <c r="M789" s="39"/>
      <c r="N789" s="18"/>
      <c r="O789" s="18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>
      <c r="A790" s="1"/>
      <c r="B790" s="1"/>
      <c r="C790" s="18"/>
      <c r="D790" s="47"/>
      <c r="E790" s="18"/>
      <c r="F790" s="18"/>
      <c r="G790" s="18"/>
      <c r="H790" s="18"/>
      <c r="I790" s="25"/>
      <c r="J790" s="18"/>
      <c r="K790" s="18"/>
      <c r="L790" s="18"/>
      <c r="M790" s="39"/>
      <c r="N790" s="18"/>
      <c r="O790" s="18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>
      <c r="A791" s="1"/>
      <c r="B791" s="1"/>
      <c r="C791" s="18"/>
      <c r="D791" s="47"/>
      <c r="E791" s="18"/>
      <c r="F791" s="18"/>
      <c r="G791" s="18"/>
      <c r="H791" s="18"/>
      <c r="I791" s="25"/>
      <c r="J791" s="18"/>
      <c r="K791" s="18"/>
      <c r="L791" s="18"/>
      <c r="M791" s="39"/>
      <c r="N791" s="18"/>
      <c r="O791" s="18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>
      <c r="A792" s="1"/>
      <c r="B792" s="1"/>
      <c r="C792" s="18"/>
      <c r="D792" s="47"/>
      <c r="E792" s="18"/>
      <c r="F792" s="18"/>
      <c r="G792" s="18"/>
      <c r="H792" s="18"/>
      <c r="I792" s="25"/>
      <c r="J792" s="18"/>
      <c r="K792" s="18"/>
      <c r="L792" s="18"/>
      <c r="M792" s="39"/>
      <c r="N792" s="18"/>
      <c r="O792" s="18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>
      <c r="A793" s="1"/>
      <c r="B793" s="1"/>
      <c r="C793" s="18"/>
      <c r="D793" s="47"/>
      <c r="E793" s="18"/>
      <c r="F793" s="18"/>
      <c r="G793" s="18"/>
      <c r="H793" s="18"/>
      <c r="I793" s="25"/>
      <c r="J793" s="18"/>
      <c r="K793" s="18"/>
      <c r="L793" s="18"/>
      <c r="M793" s="39"/>
      <c r="N793" s="18"/>
      <c r="O793" s="18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>
      <c r="A794" s="1"/>
      <c r="B794" s="1"/>
      <c r="C794" s="18"/>
      <c r="D794" s="47"/>
      <c r="E794" s="18"/>
      <c r="F794" s="18"/>
      <c r="G794" s="18"/>
      <c r="H794" s="18"/>
      <c r="I794" s="25"/>
      <c r="J794" s="18"/>
      <c r="K794" s="18"/>
      <c r="L794" s="18"/>
      <c r="M794" s="39"/>
      <c r="N794" s="18"/>
      <c r="O794" s="18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>
      <c r="A795" s="1"/>
      <c r="B795" s="1"/>
      <c r="C795" s="18"/>
      <c r="D795" s="47"/>
      <c r="E795" s="18"/>
      <c r="F795" s="18"/>
      <c r="G795" s="18"/>
      <c r="H795" s="18"/>
      <c r="I795" s="25"/>
      <c r="J795" s="18"/>
      <c r="K795" s="18"/>
      <c r="L795" s="18"/>
      <c r="M795" s="39"/>
      <c r="N795" s="18"/>
      <c r="O795" s="18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>
      <c r="A796" s="1"/>
      <c r="B796" s="1"/>
      <c r="C796" s="18"/>
      <c r="D796" s="47"/>
      <c r="E796" s="18"/>
      <c r="F796" s="18"/>
      <c r="G796" s="18"/>
      <c r="H796" s="18"/>
      <c r="I796" s="25"/>
      <c r="J796" s="18"/>
      <c r="K796" s="18"/>
      <c r="L796" s="18"/>
      <c r="M796" s="39"/>
      <c r="N796" s="18"/>
      <c r="O796" s="18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>
      <c r="A797" s="1"/>
      <c r="B797" s="1"/>
      <c r="C797" s="18"/>
      <c r="D797" s="47"/>
      <c r="E797" s="18"/>
      <c r="F797" s="18"/>
      <c r="G797" s="18"/>
      <c r="H797" s="18"/>
      <c r="I797" s="25"/>
      <c r="J797" s="18"/>
      <c r="K797" s="18"/>
      <c r="L797" s="18"/>
      <c r="M797" s="39"/>
      <c r="N797" s="18"/>
      <c r="O797" s="18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>
      <c r="A798" s="1"/>
      <c r="B798" s="1"/>
      <c r="C798" s="18"/>
      <c r="D798" s="47"/>
      <c r="E798" s="18"/>
      <c r="F798" s="18"/>
      <c r="G798" s="18"/>
      <c r="H798" s="18"/>
      <c r="I798" s="25"/>
      <c r="J798" s="18"/>
      <c r="K798" s="18"/>
      <c r="L798" s="18"/>
      <c r="M798" s="39"/>
      <c r="N798" s="18"/>
      <c r="O798" s="18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>
      <c r="A799" s="1"/>
      <c r="B799" s="1"/>
      <c r="C799" s="18"/>
      <c r="D799" s="47"/>
      <c r="E799" s="18"/>
      <c r="F799" s="18"/>
      <c r="G799" s="18"/>
      <c r="H799" s="18"/>
      <c r="I799" s="25"/>
      <c r="J799" s="18"/>
      <c r="K799" s="18"/>
      <c r="L799" s="18"/>
      <c r="M799" s="39"/>
      <c r="N799" s="18"/>
      <c r="O799" s="18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>
      <c r="A800" s="1"/>
      <c r="B800" s="1"/>
      <c r="C800" s="18"/>
      <c r="D800" s="47"/>
      <c r="E800" s="18"/>
      <c r="F800" s="18"/>
      <c r="G800" s="18"/>
      <c r="H800" s="18"/>
      <c r="I800" s="25"/>
      <c r="J800" s="18"/>
      <c r="K800" s="18"/>
      <c r="L800" s="18"/>
      <c r="M800" s="39"/>
      <c r="N800" s="18"/>
      <c r="O800" s="18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>
      <c r="A801" s="1"/>
      <c r="B801" s="1"/>
      <c r="C801" s="18"/>
      <c r="D801" s="47"/>
      <c r="E801" s="18"/>
      <c r="F801" s="18"/>
      <c r="G801" s="18"/>
      <c r="H801" s="18"/>
      <c r="I801" s="25"/>
      <c r="J801" s="18"/>
      <c r="K801" s="18"/>
      <c r="L801" s="18"/>
      <c r="M801" s="39"/>
      <c r="N801" s="18"/>
      <c r="O801" s="18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>
      <c r="A802" s="1"/>
      <c r="B802" s="1"/>
      <c r="C802" s="18"/>
      <c r="D802" s="47"/>
      <c r="E802" s="18"/>
      <c r="F802" s="18"/>
      <c r="G802" s="18"/>
      <c r="H802" s="18"/>
      <c r="I802" s="25"/>
      <c r="J802" s="18"/>
      <c r="K802" s="18"/>
      <c r="L802" s="18"/>
      <c r="M802" s="39"/>
      <c r="N802" s="18"/>
      <c r="O802" s="18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>
      <c r="A803" s="1"/>
      <c r="B803" s="1"/>
      <c r="C803" s="18"/>
      <c r="D803" s="47"/>
      <c r="E803" s="18"/>
      <c r="F803" s="18"/>
      <c r="G803" s="18"/>
      <c r="H803" s="18"/>
      <c r="I803" s="25"/>
      <c r="J803" s="18"/>
      <c r="K803" s="18"/>
      <c r="L803" s="18"/>
      <c r="M803" s="39"/>
      <c r="N803" s="18"/>
      <c r="O803" s="18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>
      <c r="A804" s="1"/>
      <c r="B804" s="1"/>
      <c r="C804" s="18"/>
      <c r="D804" s="47"/>
      <c r="E804" s="18"/>
      <c r="F804" s="18"/>
      <c r="G804" s="18"/>
      <c r="H804" s="18"/>
      <c r="I804" s="25"/>
      <c r="J804" s="18"/>
      <c r="K804" s="18"/>
      <c r="L804" s="18"/>
      <c r="M804" s="39"/>
      <c r="N804" s="18"/>
      <c r="O804" s="18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>
      <c r="A805" s="1"/>
      <c r="B805" s="1"/>
      <c r="C805" s="18"/>
      <c r="D805" s="47"/>
      <c r="E805" s="18"/>
      <c r="F805" s="18"/>
      <c r="G805" s="18"/>
      <c r="H805" s="18"/>
      <c r="I805" s="25"/>
      <c r="J805" s="18"/>
      <c r="K805" s="18"/>
      <c r="L805" s="18"/>
      <c r="M805" s="39"/>
      <c r="N805" s="18"/>
      <c r="O805" s="18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>
      <c r="A806" s="1"/>
      <c r="B806" s="1"/>
      <c r="C806" s="18"/>
      <c r="D806" s="47"/>
      <c r="E806" s="18"/>
      <c r="F806" s="18"/>
      <c r="G806" s="18"/>
      <c r="H806" s="18"/>
      <c r="I806" s="25"/>
      <c r="J806" s="18"/>
      <c r="K806" s="18"/>
      <c r="L806" s="18"/>
      <c r="M806" s="39"/>
      <c r="N806" s="18"/>
      <c r="O806" s="18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>
      <c r="A807" s="1"/>
      <c r="B807" s="1"/>
      <c r="C807" s="18"/>
      <c r="D807" s="47"/>
      <c r="E807" s="18"/>
      <c r="F807" s="18"/>
      <c r="G807" s="18"/>
      <c r="H807" s="18"/>
      <c r="I807" s="25"/>
      <c r="J807" s="18"/>
      <c r="K807" s="18"/>
      <c r="L807" s="18"/>
      <c r="M807" s="39"/>
      <c r="N807" s="18"/>
      <c r="O807" s="18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>
      <c r="A808" s="1"/>
      <c r="B808" s="1"/>
      <c r="C808" s="18"/>
      <c r="D808" s="47"/>
      <c r="E808" s="18"/>
      <c r="F808" s="18"/>
      <c r="G808" s="18"/>
      <c r="H808" s="18"/>
      <c r="I808" s="25"/>
      <c r="J808" s="18"/>
      <c r="K808" s="18"/>
      <c r="L808" s="18"/>
      <c r="M808" s="39"/>
      <c r="N808" s="18"/>
      <c r="O808" s="18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>
      <c r="A809" s="1"/>
      <c r="B809" s="1"/>
      <c r="C809" s="18"/>
      <c r="D809" s="47"/>
      <c r="E809" s="18"/>
      <c r="F809" s="18"/>
      <c r="G809" s="18"/>
      <c r="H809" s="18"/>
      <c r="I809" s="25"/>
      <c r="J809" s="18"/>
      <c r="K809" s="18"/>
      <c r="L809" s="18"/>
      <c r="M809" s="39"/>
      <c r="N809" s="18"/>
      <c r="O809" s="18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>
      <c r="A810" s="1"/>
      <c r="B810" s="1"/>
      <c r="C810" s="18"/>
      <c r="D810" s="47"/>
      <c r="E810" s="18"/>
      <c r="F810" s="18"/>
      <c r="G810" s="18"/>
      <c r="H810" s="18"/>
      <c r="I810" s="25"/>
      <c r="J810" s="18"/>
      <c r="K810" s="18"/>
      <c r="L810" s="18"/>
      <c r="M810" s="39"/>
      <c r="N810" s="18"/>
      <c r="O810" s="18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>
      <c r="A811" s="1"/>
      <c r="B811" s="1"/>
      <c r="C811" s="18"/>
      <c r="D811" s="47"/>
      <c r="E811" s="18"/>
      <c r="F811" s="18"/>
      <c r="G811" s="18"/>
      <c r="H811" s="18"/>
      <c r="I811" s="25"/>
      <c r="J811" s="18"/>
      <c r="K811" s="18"/>
      <c r="L811" s="18"/>
      <c r="M811" s="39"/>
      <c r="N811" s="18"/>
      <c r="O811" s="18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>
      <c r="A812" s="1"/>
      <c r="B812" s="1"/>
      <c r="C812" s="18"/>
      <c r="D812" s="47"/>
      <c r="E812" s="18"/>
      <c r="F812" s="18"/>
      <c r="G812" s="18"/>
      <c r="H812" s="18"/>
      <c r="I812" s="25"/>
      <c r="J812" s="18"/>
      <c r="K812" s="18"/>
      <c r="L812" s="18"/>
      <c r="M812" s="39"/>
      <c r="N812" s="18"/>
      <c r="O812" s="18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>
      <c r="A813" s="1"/>
      <c r="B813" s="1"/>
      <c r="C813" s="18"/>
      <c r="D813" s="47"/>
      <c r="E813" s="18"/>
      <c r="F813" s="18"/>
      <c r="G813" s="18"/>
      <c r="H813" s="18"/>
      <c r="I813" s="25"/>
      <c r="J813" s="18"/>
      <c r="K813" s="18"/>
      <c r="L813" s="18"/>
      <c r="M813" s="39"/>
      <c r="N813" s="18"/>
      <c r="O813" s="18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>
      <c r="A814" s="1"/>
      <c r="B814" s="1"/>
      <c r="C814" s="18"/>
      <c r="D814" s="47"/>
      <c r="E814" s="18"/>
      <c r="F814" s="18"/>
      <c r="G814" s="18"/>
      <c r="H814" s="18"/>
      <c r="I814" s="25"/>
      <c r="J814" s="18"/>
      <c r="K814" s="18"/>
      <c r="L814" s="18"/>
      <c r="M814" s="39"/>
      <c r="N814" s="18"/>
      <c r="O814" s="18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>
      <c r="A815" s="1"/>
      <c r="B815" s="1"/>
      <c r="C815" s="18"/>
      <c r="D815" s="47"/>
      <c r="E815" s="18"/>
      <c r="F815" s="18"/>
      <c r="G815" s="18"/>
      <c r="H815" s="18"/>
      <c r="I815" s="25"/>
      <c r="J815" s="18"/>
      <c r="K815" s="18"/>
      <c r="L815" s="18"/>
      <c r="M815" s="39"/>
      <c r="N815" s="18"/>
      <c r="O815" s="18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>
      <c r="A816" s="1"/>
      <c r="B816" s="1"/>
      <c r="C816" s="18"/>
      <c r="D816" s="47"/>
      <c r="E816" s="18"/>
      <c r="F816" s="18"/>
      <c r="G816" s="18"/>
      <c r="H816" s="18"/>
      <c r="I816" s="25"/>
      <c r="J816" s="18"/>
      <c r="K816" s="18"/>
      <c r="L816" s="18"/>
      <c r="M816" s="39"/>
      <c r="N816" s="18"/>
      <c r="O816" s="18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>
      <c r="A817" s="1"/>
      <c r="B817" s="1"/>
      <c r="C817" s="18"/>
      <c r="D817" s="47"/>
      <c r="E817" s="18"/>
      <c r="F817" s="18"/>
      <c r="G817" s="18"/>
      <c r="H817" s="18"/>
      <c r="I817" s="25"/>
      <c r="J817" s="18"/>
      <c r="K817" s="18"/>
      <c r="L817" s="18"/>
      <c r="M817" s="39"/>
      <c r="N817" s="18"/>
      <c r="O817" s="18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>
      <c r="A818" s="1"/>
      <c r="B818" s="1"/>
      <c r="C818" s="18"/>
      <c r="D818" s="47"/>
      <c r="E818" s="18"/>
      <c r="F818" s="18"/>
      <c r="G818" s="18"/>
      <c r="H818" s="18"/>
      <c r="I818" s="25"/>
      <c r="J818" s="18"/>
      <c r="K818" s="18"/>
      <c r="L818" s="18"/>
      <c r="M818" s="39"/>
      <c r="N818" s="18"/>
      <c r="O818" s="18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>
      <c r="A819" s="1"/>
      <c r="B819" s="1"/>
      <c r="C819" s="18"/>
      <c r="D819" s="47"/>
      <c r="E819" s="18"/>
      <c r="F819" s="18"/>
      <c r="G819" s="18"/>
      <c r="H819" s="18"/>
      <c r="I819" s="25"/>
      <c r="J819" s="18"/>
      <c r="K819" s="18"/>
      <c r="L819" s="18"/>
      <c r="M819" s="39"/>
      <c r="N819" s="18"/>
      <c r="O819" s="18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>
      <c r="A820" s="1"/>
      <c r="B820" s="1"/>
      <c r="C820" s="18"/>
      <c r="D820" s="47"/>
      <c r="E820" s="18"/>
      <c r="F820" s="18"/>
      <c r="G820" s="18"/>
      <c r="H820" s="18"/>
      <c r="I820" s="25"/>
      <c r="J820" s="18"/>
      <c r="K820" s="18"/>
      <c r="L820" s="18"/>
      <c r="M820" s="39"/>
      <c r="N820" s="18"/>
      <c r="O820" s="18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>
      <c r="A821" s="1"/>
      <c r="B821" s="1"/>
      <c r="C821" s="18"/>
      <c r="D821" s="47"/>
      <c r="E821" s="18"/>
      <c r="F821" s="18"/>
      <c r="G821" s="18"/>
      <c r="H821" s="18"/>
      <c r="I821" s="25"/>
      <c r="J821" s="18"/>
      <c r="K821" s="18"/>
      <c r="L821" s="18"/>
      <c r="M821" s="39"/>
      <c r="N821" s="18"/>
      <c r="O821" s="18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>
      <c r="A822" s="1"/>
      <c r="B822" s="1"/>
      <c r="C822" s="18"/>
      <c r="D822" s="47"/>
      <c r="E822" s="18"/>
      <c r="F822" s="18"/>
      <c r="G822" s="18"/>
      <c r="H822" s="18"/>
      <c r="I822" s="25"/>
      <c r="J822" s="18"/>
      <c r="K822" s="18"/>
      <c r="L822" s="18"/>
      <c r="M822" s="39"/>
      <c r="N822" s="18"/>
      <c r="O822" s="18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>
      <c r="A823" s="1"/>
      <c r="B823" s="1"/>
      <c r="C823" s="18"/>
      <c r="D823" s="47"/>
      <c r="E823" s="18"/>
      <c r="F823" s="18"/>
      <c r="G823" s="18"/>
      <c r="H823" s="18"/>
      <c r="I823" s="25"/>
      <c r="J823" s="18"/>
      <c r="K823" s="18"/>
      <c r="L823" s="18"/>
      <c r="M823" s="39"/>
      <c r="N823" s="18"/>
      <c r="O823" s="18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>
      <c r="A824" s="1"/>
      <c r="B824" s="1"/>
      <c r="C824" s="18"/>
      <c r="D824" s="47"/>
      <c r="E824" s="18"/>
      <c r="F824" s="18"/>
      <c r="G824" s="18"/>
      <c r="H824" s="18"/>
      <c r="I824" s="25"/>
      <c r="J824" s="18"/>
      <c r="K824" s="18"/>
      <c r="L824" s="18"/>
      <c r="M824" s="39"/>
      <c r="N824" s="18"/>
      <c r="O824" s="18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>
      <c r="A825" s="1"/>
      <c r="B825" s="1"/>
      <c r="C825" s="18"/>
      <c r="D825" s="47"/>
      <c r="E825" s="18"/>
      <c r="F825" s="18"/>
      <c r="G825" s="18"/>
      <c r="H825" s="18"/>
      <c r="I825" s="25"/>
      <c r="J825" s="18"/>
      <c r="K825" s="18"/>
      <c r="L825" s="18"/>
      <c r="M825" s="39"/>
      <c r="N825" s="18"/>
      <c r="O825" s="18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>
      <c r="A826" s="1"/>
      <c r="B826" s="1"/>
      <c r="C826" s="18"/>
      <c r="D826" s="47"/>
      <c r="E826" s="18"/>
      <c r="F826" s="18"/>
      <c r="G826" s="18"/>
      <c r="H826" s="18"/>
      <c r="I826" s="25"/>
      <c r="J826" s="18"/>
      <c r="K826" s="18"/>
      <c r="L826" s="18"/>
      <c r="M826" s="39"/>
      <c r="N826" s="18"/>
      <c r="O826" s="18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>
      <c r="A827" s="1"/>
      <c r="B827" s="1"/>
      <c r="C827" s="18"/>
      <c r="D827" s="47"/>
      <c r="E827" s="18"/>
      <c r="F827" s="18"/>
      <c r="G827" s="18"/>
      <c r="H827" s="18"/>
      <c r="I827" s="25"/>
      <c r="J827" s="18"/>
      <c r="K827" s="18"/>
      <c r="L827" s="18"/>
      <c r="M827" s="39"/>
      <c r="N827" s="18"/>
      <c r="O827" s="18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>
      <c r="A828" s="1"/>
      <c r="B828" s="1"/>
      <c r="C828" s="18"/>
      <c r="D828" s="47"/>
      <c r="E828" s="18"/>
      <c r="F828" s="18"/>
      <c r="G828" s="18"/>
      <c r="H828" s="18"/>
      <c r="I828" s="25"/>
      <c r="J828" s="18"/>
      <c r="K828" s="18"/>
      <c r="L828" s="18"/>
      <c r="M828" s="39"/>
      <c r="N828" s="18"/>
      <c r="O828" s="18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>
      <c r="A829" s="1"/>
      <c r="B829" s="1"/>
      <c r="C829" s="18"/>
      <c r="D829" s="47"/>
      <c r="E829" s="18"/>
      <c r="F829" s="18"/>
      <c r="G829" s="18"/>
      <c r="H829" s="18"/>
      <c r="I829" s="25"/>
      <c r="J829" s="18"/>
      <c r="K829" s="18"/>
      <c r="L829" s="18"/>
      <c r="M829" s="39"/>
      <c r="N829" s="18"/>
      <c r="O829" s="18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>
      <c r="A830" s="1"/>
      <c r="B830" s="1"/>
      <c r="C830" s="18"/>
      <c r="D830" s="47"/>
      <c r="E830" s="18"/>
      <c r="F830" s="18"/>
      <c r="G830" s="18"/>
      <c r="H830" s="18"/>
      <c r="I830" s="25"/>
      <c r="J830" s="18"/>
      <c r="K830" s="18"/>
      <c r="L830" s="18"/>
      <c r="M830" s="39"/>
      <c r="N830" s="18"/>
      <c r="O830" s="18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>
      <c r="A831" s="1"/>
      <c r="B831" s="1"/>
      <c r="C831" s="18"/>
      <c r="D831" s="47"/>
      <c r="E831" s="18"/>
      <c r="F831" s="18"/>
      <c r="G831" s="18"/>
      <c r="H831" s="18"/>
      <c r="I831" s="25"/>
      <c r="J831" s="18"/>
      <c r="K831" s="18"/>
      <c r="L831" s="18"/>
      <c r="M831" s="39"/>
      <c r="N831" s="18"/>
      <c r="O831" s="18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>
      <c r="A832" s="1"/>
      <c r="B832" s="1"/>
      <c r="C832" s="18"/>
      <c r="D832" s="47"/>
      <c r="E832" s="18"/>
      <c r="F832" s="18"/>
      <c r="G832" s="18"/>
      <c r="H832" s="18"/>
      <c r="I832" s="25"/>
      <c r="J832" s="18"/>
      <c r="K832" s="18"/>
      <c r="L832" s="18"/>
      <c r="M832" s="39"/>
      <c r="N832" s="18"/>
      <c r="O832" s="18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>
      <c r="A833" s="1"/>
      <c r="B833" s="1"/>
      <c r="C833" s="18"/>
      <c r="D833" s="47"/>
      <c r="E833" s="18"/>
      <c r="F833" s="18"/>
      <c r="G833" s="18"/>
      <c r="H833" s="18"/>
      <c r="I833" s="25"/>
      <c r="J833" s="18"/>
      <c r="K833" s="18"/>
      <c r="L833" s="18"/>
      <c r="M833" s="39"/>
      <c r="N833" s="18"/>
      <c r="O833" s="18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>
      <c r="A834" s="1"/>
      <c r="B834" s="1"/>
      <c r="C834" s="18"/>
      <c r="D834" s="47"/>
      <c r="E834" s="18"/>
      <c r="F834" s="18"/>
      <c r="G834" s="18"/>
      <c r="H834" s="18"/>
      <c r="I834" s="25"/>
      <c r="J834" s="18"/>
      <c r="K834" s="18"/>
      <c r="L834" s="18"/>
      <c r="M834" s="39"/>
      <c r="N834" s="18"/>
      <c r="O834" s="18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>
      <c r="A835" s="1"/>
      <c r="B835" s="1"/>
      <c r="C835" s="18"/>
      <c r="D835" s="47"/>
      <c r="E835" s="18"/>
      <c r="F835" s="18"/>
      <c r="G835" s="18"/>
      <c r="H835" s="18"/>
      <c r="I835" s="25"/>
      <c r="J835" s="18"/>
      <c r="K835" s="18"/>
      <c r="L835" s="18"/>
      <c r="M835" s="39"/>
      <c r="N835" s="18"/>
      <c r="O835" s="18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>
      <c r="A836" s="1"/>
      <c r="B836" s="1"/>
      <c r="C836" s="18"/>
      <c r="D836" s="47"/>
      <c r="E836" s="18"/>
      <c r="F836" s="18"/>
      <c r="G836" s="18"/>
      <c r="H836" s="18"/>
      <c r="I836" s="25"/>
      <c r="J836" s="18"/>
      <c r="K836" s="18"/>
      <c r="L836" s="18"/>
      <c r="M836" s="39"/>
      <c r="N836" s="18"/>
      <c r="O836" s="18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>
      <c r="A837" s="1"/>
      <c r="B837" s="1"/>
      <c r="C837" s="18"/>
      <c r="D837" s="47"/>
      <c r="E837" s="18"/>
      <c r="F837" s="18"/>
      <c r="G837" s="18"/>
      <c r="H837" s="18"/>
      <c r="I837" s="25"/>
      <c r="J837" s="18"/>
      <c r="K837" s="18"/>
      <c r="L837" s="18"/>
      <c r="M837" s="39"/>
      <c r="N837" s="18"/>
      <c r="O837" s="18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>
      <c r="A838" s="1"/>
      <c r="B838" s="1"/>
      <c r="C838" s="18"/>
      <c r="D838" s="47"/>
      <c r="E838" s="18"/>
      <c r="F838" s="18"/>
      <c r="G838" s="18"/>
      <c r="H838" s="18"/>
      <c r="I838" s="25"/>
      <c r="J838" s="18"/>
      <c r="K838" s="18"/>
      <c r="L838" s="18"/>
      <c r="M838" s="39"/>
      <c r="N838" s="18"/>
      <c r="O838" s="18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>
      <c r="A839" s="1"/>
      <c r="B839" s="1"/>
      <c r="C839" s="18"/>
      <c r="D839" s="47"/>
      <c r="E839" s="18"/>
      <c r="F839" s="18"/>
      <c r="G839" s="18"/>
      <c r="H839" s="18"/>
      <c r="I839" s="25"/>
      <c r="J839" s="18"/>
      <c r="K839" s="18"/>
      <c r="L839" s="18"/>
      <c r="M839" s="39"/>
      <c r="N839" s="18"/>
      <c r="O839" s="18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>
      <c r="A840" s="1"/>
      <c r="B840" s="1"/>
      <c r="C840" s="18"/>
      <c r="D840" s="47"/>
      <c r="E840" s="18"/>
      <c r="F840" s="18"/>
      <c r="G840" s="18"/>
      <c r="H840" s="18"/>
      <c r="I840" s="25"/>
      <c r="J840" s="18"/>
      <c r="K840" s="18"/>
      <c r="L840" s="18"/>
      <c r="M840" s="39"/>
      <c r="N840" s="18"/>
      <c r="O840" s="18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>
      <c r="A841" s="1"/>
      <c r="B841" s="1"/>
      <c r="C841" s="18"/>
      <c r="D841" s="47"/>
      <c r="E841" s="18"/>
      <c r="F841" s="18"/>
      <c r="G841" s="18"/>
      <c r="H841" s="18"/>
      <c r="I841" s="25"/>
      <c r="J841" s="18"/>
      <c r="K841" s="18"/>
      <c r="L841" s="18"/>
      <c r="M841" s="39"/>
      <c r="N841" s="18"/>
      <c r="O841" s="18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>
      <c r="A842" s="1"/>
      <c r="B842" s="1"/>
      <c r="C842" s="18"/>
      <c r="D842" s="47"/>
      <c r="E842" s="18"/>
      <c r="F842" s="18"/>
      <c r="G842" s="18"/>
      <c r="H842" s="18"/>
      <c r="I842" s="25"/>
      <c r="J842" s="18"/>
      <c r="K842" s="18"/>
      <c r="L842" s="18"/>
      <c r="M842" s="39"/>
      <c r="N842" s="18"/>
      <c r="O842" s="18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>
      <c r="A843" s="1"/>
      <c r="B843" s="1"/>
      <c r="C843" s="18"/>
      <c r="D843" s="47"/>
      <c r="E843" s="18"/>
      <c r="F843" s="18"/>
      <c r="G843" s="18"/>
      <c r="H843" s="18"/>
      <c r="I843" s="25"/>
      <c r="J843" s="18"/>
      <c r="K843" s="18"/>
      <c r="L843" s="18"/>
      <c r="M843" s="39"/>
      <c r="N843" s="18"/>
      <c r="O843" s="18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>
      <c r="A844" s="1"/>
      <c r="B844" s="1"/>
      <c r="C844" s="18"/>
      <c r="D844" s="47"/>
      <c r="E844" s="18"/>
      <c r="F844" s="18"/>
      <c r="G844" s="18"/>
      <c r="H844" s="18"/>
      <c r="I844" s="25"/>
      <c r="J844" s="18"/>
      <c r="K844" s="18"/>
      <c r="L844" s="18"/>
      <c r="M844" s="39"/>
      <c r="N844" s="18"/>
      <c r="O844" s="18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>
      <c r="A845" s="1"/>
      <c r="B845" s="1"/>
      <c r="C845" s="18"/>
      <c r="D845" s="47"/>
      <c r="E845" s="18"/>
      <c r="F845" s="18"/>
      <c r="G845" s="18"/>
      <c r="H845" s="18"/>
      <c r="I845" s="25"/>
      <c r="J845" s="18"/>
      <c r="K845" s="18"/>
      <c r="L845" s="18"/>
      <c r="M845" s="39"/>
      <c r="N845" s="18"/>
      <c r="O845" s="18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>
      <c r="A846" s="1"/>
      <c r="B846" s="1"/>
      <c r="C846" s="18"/>
      <c r="D846" s="47"/>
      <c r="E846" s="18"/>
      <c r="F846" s="18"/>
      <c r="G846" s="18"/>
      <c r="H846" s="18"/>
      <c r="I846" s="25"/>
      <c r="J846" s="18"/>
      <c r="K846" s="18"/>
      <c r="L846" s="18"/>
      <c r="M846" s="39"/>
      <c r="N846" s="18"/>
      <c r="O846" s="18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>
      <c r="A847" s="1"/>
      <c r="B847" s="1"/>
      <c r="C847" s="18"/>
      <c r="D847" s="47"/>
      <c r="E847" s="18"/>
      <c r="F847" s="18"/>
      <c r="G847" s="18"/>
      <c r="H847" s="18"/>
      <c r="I847" s="25"/>
      <c r="J847" s="18"/>
      <c r="K847" s="18"/>
      <c r="L847" s="18"/>
      <c r="M847" s="39"/>
      <c r="N847" s="18"/>
      <c r="O847" s="18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>
      <c r="A848" s="1"/>
      <c r="B848" s="1"/>
      <c r="C848" s="18"/>
      <c r="D848" s="47"/>
      <c r="E848" s="18"/>
      <c r="F848" s="18"/>
      <c r="G848" s="18"/>
      <c r="H848" s="18"/>
      <c r="I848" s="25"/>
      <c r="J848" s="18"/>
      <c r="K848" s="18"/>
      <c r="L848" s="18"/>
      <c r="M848" s="39"/>
      <c r="N848" s="18"/>
      <c r="O848" s="18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>
      <c r="A849" s="1"/>
      <c r="B849" s="1"/>
      <c r="C849" s="18"/>
      <c r="D849" s="47"/>
      <c r="E849" s="18"/>
      <c r="F849" s="18"/>
      <c r="G849" s="18"/>
      <c r="H849" s="18"/>
      <c r="I849" s="25"/>
      <c r="J849" s="18"/>
      <c r="K849" s="18"/>
      <c r="L849" s="18"/>
      <c r="M849" s="39"/>
      <c r="N849" s="18"/>
      <c r="O849" s="18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>
      <c r="A850" s="1"/>
      <c r="B850" s="1"/>
      <c r="C850" s="18"/>
      <c r="D850" s="47"/>
      <c r="E850" s="18"/>
      <c r="F850" s="18"/>
      <c r="G850" s="18"/>
      <c r="H850" s="18"/>
      <c r="I850" s="25"/>
      <c r="J850" s="18"/>
      <c r="K850" s="18"/>
      <c r="L850" s="18"/>
      <c r="M850" s="39"/>
      <c r="N850" s="18"/>
      <c r="O850" s="18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>
      <c r="A851" s="1"/>
      <c r="B851" s="1"/>
      <c r="C851" s="18"/>
      <c r="D851" s="47"/>
      <c r="E851" s="18"/>
      <c r="F851" s="18"/>
      <c r="G851" s="18"/>
      <c r="H851" s="18"/>
      <c r="I851" s="25"/>
      <c r="J851" s="18"/>
      <c r="K851" s="18"/>
      <c r="L851" s="18"/>
      <c r="M851" s="39"/>
      <c r="N851" s="18"/>
      <c r="O851" s="18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>
      <c r="A852" s="1"/>
      <c r="B852" s="1"/>
      <c r="C852" s="18"/>
      <c r="D852" s="47"/>
      <c r="E852" s="18"/>
      <c r="F852" s="18"/>
      <c r="G852" s="18"/>
      <c r="H852" s="18"/>
      <c r="I852" s="25"/>
      <c r="J852" s="18"/>
      <c r="K852" s="18"/>
      <c r="L852" s="18"/>
      <c r="M852" s="39"/>
      <c r="N852" s="18"/>
      <c r="O852" s="18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>
      <c r="A853" s="1"/>
      <c r="B853" s="1"/>
      <c r="C853" s="18"/>
      <c r="D853" s="47"/>
      <c r="E853" s="18"/>
      <c r="F853" s="18"/>
      <c r="G853" s="18"/>
      <c r="H853" s="18"/>
      <c r="I853" s="25"/>
      <c r="J853" s="18"/>
      <c r="K853" s="18"/>
      <c r="L853" s="18"/>
      <c r="M853" s="39"/>
      <c r="N853" s="18"/>
      <c r="O853" s="18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>
      <c r="A854" s="1"/>
      <c r="B854" s="1"/>
      <c r="C854" s="18"/>
      <c r="D854" s="47"/>
      <c r="E854" s="18"/>
      <c r="F854" s="18"/>
      <c r="G854" s="18"/>
      <c r="H854" s="18"/>
      <c r="I854" s="25"/>
      <c r="J854" s="18"/>
      <c r="K854" s="18"/>
      <c r="L854" s="18"/>
      <c r="M854" s="39"/>
      <c r="N854" s="18"/>
      <c r="O854" s="18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>
      <c r="A855" s="1"/>
      <c r="B855" s="1"/>
      <c r="C855" s="18"/>
      <c r="D855" s="47"/>
      <c r="E855" s="18"/>
      <c r="F855" s="18"/>
      <c r="G855" s="18"/>
      <c r="H855" s="18"/>
      <c r="I855" s="25"/>
      <c r="J855" s="18"/>
      <c r="K855" s="18"/>
      <c r="L855" s="18"/>
      <c r="M855" s="39"/>
      <c r="N855" s="18"/>
      <c r="O855" s="18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>
      <c r="A856" s="1"/>
      <c r="B856" s="1"/>
      <c r="C856" s="18"/>
      <c r="D856" s="47"/>
      <c r="E856" s="18"/>
      <c r="F856" s="18"/>
      <c r="G856" s="18"/>
      <c r="H856" s="18"/>
      <c r="I856" s="25"/>
      <c r="J856" s="18"/>
      <c r="K856" s="18"/>
      <c r="L856" s="18"/>
      <c r="M856" s="39"/>
      <c r="N856" s="18"/>
      <c r="O856" s="18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>
      <c r="A857" s="1"/>
      <c r="B857" s="1"/>
      <c r="C857" s="18"/>
      <c r="D857" s="47"/>
      <c r="E857" s="18"/>
      <c r="F857" s="18"/>
      <c r="G857" s="18"/>
      <c r="H857" s="18"/>
      <c r="I857" s="25"/>
      <c r="J857" s="18"/>
      <c r="K857" s="18"/>
      <c r="L857" s="18"/>
      <c r="M857" s="39"/>
      <c r="N857" s="18"/>
      <c r="O857" s="18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>
      <c r="A858" s="1"/>
      <c r="B858" s="1"/>
      <c r="C858" s="18"/>
      <c r="D858" s="47"/>
      <c r="E858" s="18"/>
      <c r="F858" s="18"/>
      <c r="G858" s="18"/>
      <c r="H858" s="18"/>
      <c r="I858" s="25"/>
      <c r="J858" s="18"/>
      <c r="K858" s="18"/>
      <c r="L858" s="18"/>
      <c r="M858" s="39"/>
      <c r="N858" s="18"/>
      <c r="O858" s="18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>
      <c r="A859" s="1"/>
      <c r="B859" s="1"/>
      <c r="C859" s="18"/>
      <c r="D859" s="47"/>
      <c r="E859" s="18"/>
      <c r="F859" s="18"/>
      <c r="G859" s="18"/>
      <c r="H859" s="18"/>
      <c r="I859" s="25"/>
      <c r="J859" s="18"/>
      <c r="K859" s="18"/>
      <c r="L859" s="18"/>
      <c r="M859" s="39"/>
      <c r="N859" s="18"/>
      <c r="O859" s="18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>
      <c r="A860" s="1"/>
      <c r="B860" s="1"/>
      <c r="C860" s="18"/>
      <c r="D860" s="47"/>
      <c r="E860" s="18"/>
      <c r="F860" s="18"/>
      <c r="G860" s="18"/>
      <c r="H860" s="18"/>
      <c r="I860" s="25"/>
      <c r="J860" s="18"/>
      <c r="K860" s="18"/>
      <c r="L860" s="18"/>
      <c r="M860" s="39"/>
      <c r="N860" s="18"/>
      <c r="O860" s="18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>
      <c r="A861" s="1"/>
      <c r="B861" s="1"/>
      <c r="C861" s="18"/>
      <c r="D861" s="47"/>
      <c r="E861" s="18"/>
      <c r="F861" s="18"/>
      <c r="G861" s="18"/>
      <c r="H861" s="18"/>
      <c r="I861" s="25"/>
      <c r="J861" s="18"/>
      <c r="K861" s="18"/>
      <c r="L861" s="18"/>
      <c r="M861" s="39"/>
      <c r="N861" s="18"/>
      <c r="O861" s="18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>
      <c r="A862" s="1"/>
      <c r="B862" s="1"/>
      <c r="C862" s="18"/>
      <c r="D862" s="47"/>
      <c r="E862" s="18"/>
      <c r="F862" s="18"/>
      <c r="G862" s="18"/>
      <c r="H862" s="18"/>
      <c r="I862" s="25"/>
      <c r="J862" s="18"/>
      <c r="K862" s="18"/>
      <c r="L862" s="18"/>
      <c r="M862" s="39"/>
      <c r="N862" s="18"/>
      <c r="O862" s="18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>
      <c r="A863" s="1"/>
      <c r="B863" s="1"/>
      <c r="C863" s="18"/>
      <c r="D863" s="47"/>
      <c r="E863" s="18"/>
      <c r="F863" s="18"/>
      <c r="G863" s="18"/>
      <c r="H863" s="18"/>
      <c r="I863" s="25"/>
      <c r="J863" s="18"/>
      <c r="K863" s="18"/>
      <c r="L863" s="18"/>
      <c r="M863" s="39"/>
      <c r="N863" s="18"/>
      <c r="O863" s="18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>
      <c r="A864" s="1"/>
      <c r="B864" s="1"/>
      <c r="C864" s="18"/>
      <c r="D864" s="47"/>
      <c r="E864" s="18"/>
      <c r="F864" s="18"/>
      <c r="G864" s="18"/>
      <c r="H864" s="18"/>
      <c r="I864" s="25"/>
      <c r="J864" s="18"/>
      <c r="K864" s="18"/>
      <c r="L864" s="18"/>
      <c r="M864" s="39"/>
      <c r="N864" s="18"/>
      <c r="O864" s="18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>
      <c r="A865" s="1"/>
      <c r="B865" s="1"/>
      <c r="C865" s="18"/>
      <c r="D865" s="47"/>
      <c r="E865" s="18"/>
      <c r="F865" s="18"/>
      <c r="G865" s="18"/>
      <c r="H865" s="18"/>
      <c r="I865" s="25"/>
      <c r="J865" s="18"/>
      <c r="K865" s="18"/>
      <c r="L865" s="18"/>
      <c r="M865" s="39"/>
      <c r="N865" s="18"/>
      <c r="O865" s="18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>
      <c r="A866" s="1"/>
      <c r="B866" s="1"/>
      <c r="C866" s="18"/>
      <c r="D866" s="47"/>
      <c r="E866" s="18"/>
      <c r="F866" s="18"/>
      <c r="G866" s="18"/>
      <c r="H866" s="18"/>
      <c r="I866" s="25"/>
      <c r="J866" s="18"/>
      <c r="K866" s="18"/>
      <c r="L866" s="18"/>
      <c r="M866" s="39"/>
      <c r="N866" s="18"/>
      <c r="O866" s="18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>
      <c r="A867" s="1"/>
      <c r="B867" s="1"/>
      <c r="C867" s="18"/>
      <c r="D867" s="47"/>
      <c r="E867" s="18"/>
      <c r="F867" s="18"/>
      <c r="G867" s="18"/>
      <c r="H867" s="18"/>
      <c r="I867" s="25"/>
      <c r="J867" s="18"/>
      <c r="K867" s="18"/>
      <c r="L867" s="18"/>
      <c r="M867" s="39"/>
      <c r="N867" s="18"/>
      <c r="O867" s="18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>
      <c r="A868" s="1"/>
      <c r="B868" s="1"/>
      <c r="C868" s="18"/>
      <c r="D868" s="47"/>
      <c r="E868" s="18"/>
      <c r="F868" s="18"/>
      <c r="G868" s="18"/>
      <c r="H868" s="18"/>
      <c r="I868" s="25"/>
      <c r="J868" s="18"/>
      <c r="K868" s="18"/>
      <c r="L868" s="18"/>
      <c r="M868" s="39"/>
      <c r="N868" s="18"/>
      <c r="O868" s="18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>
      <c r="A869" s="1"/>
      <c r="B869" s="1"/>
      <c r="C869" s="18"/>
      <c r="D869" s="47"/>
      <c r="E869" s="18"/>
      <c r="F869" s="18"/>
      <c r="G869" s="18"/>
      <c r="H869" s="18"/>
      <c r="I869" s="25"/>
      <c r="J869" s="18"/>
      <c r="K869" s="18"/>
      <c r="L869" s="18"/>
      <c r="M869" s="39"/>
      <c r="N869" s="18"/>
      <c r="O869" s="18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>
      <c r="A870" s="1"/>
      <c r="B870" s="1"/>
      <c r="C870" s="18"/>
      <c r="D870" s="47"/>
      <c r="E870" s="18"/>
      <c r="F870" s="18"/>
      <c r="G870" s="18"/>
      <c r="H870" s="18"/>
      <c r="I870" s="25"/>
      <c r="J870" s="18"/>
      <c r="K870" s="18"/>
      <c r="L870" s="18"/>
      <c r="M870" s="39"/>
      <c r="N870" s="18"/>
      <c r="O870" s="18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>
      <c r="A871" s="1"/>
      <c r="B871" s="1"/>
      <c r="C871" s="18"/>
      <c r="D871" s="47"/>
      <c r="E871" s="18"/>
      <c r="F871" s="18"/>
      <c r="G871" s="18"/>
      <c r="H871" s="18"/>
      <c r="I871" s="25"/>
      <c r="J871" s="18"/>
      <c r="K871" s="18"/>
      <c r="L871" s="18"/>
      <c r="M871" s="39"/>
      <c r="N871" s="18"/>
      <c r="O871" s="18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>
      <c r="A872" s="1"/>
      <c r="B872" s="1"/>
      <c r="C872" s="18"/>
      <c r="D872" s="47"/>
      <c r="E872" s="18"/>
      <c r="F872" s="18"/>
      <c r="G872" s="18"/>
      <c r="H872" s="18"/>
      <c r="I872" s="25"/>
      <c r="J872" s="18"/>
      <c r="K872" s="18"/>
      <c r="L872" s="18"/>
      <c r="M872" s="39"/>
      <c r="N872" s="18"/>
      <c r="O872" s="18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>
      <c r="A873" s="1"/>
      <c r="B873" s="1"/>
      <c r="C873" s="18"/>
      <c r="D873" s="47"/>
      <c r="E873" s="18"/>
      <c r="F873" s="18"/>
      <c r="G873" s="18"/>
      <c r="H873" s="18"/>
      <c r="I873" s="25"/>
      <c r="J873" s="18"/>
      <c r="K873" s="18"/>
      <c r="L873" s="18"/>
      <c r="M873" s="39"/>
      <c r="N873" s="18"/>
      <c r="O873" s="18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>
      <c r="A874" s="1"/>
      <c r="B874" s="1"/>
      <c r="C874" s="18"/>
      <c r="D874" s="47"/>
      <c r="E874" s="18"/>
      <c r="F874" s="18"/>
      <c r="G874" s="18"/>
      <c r="H874" s="18"/>
      <c r="I874" s="25"/>
      <c r="J874" s="18"/>
      <c r="K874" s="18"/>
      <c r="L874" s="18"/>
      <c r="M874" s="39"/>
      <c r="N874" s="18"/>
      <c r="O874" s="18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>
      <c r="A875" s="1"/>
      <c r="B875" s="1"/>
      <c r="C875" s="18"/>
      <c r="D875" s="47"/>
      <c r="E875" s="18"/>
      <c r="F875" s="18"/>
      <c r="G875" s="18"/>
      <c r="H875" s="18"/>
      <c r="I875" s="25"/>
      <c r="J875" s="18"/>
      <c r="K875" s="18"/>
      <c r="L875" s="18"/>
      <c r="M875" s="39"/>
      <c r="N875" s="18"/>
      <c r="O875" s="18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>
      <c r="A876" s="1"/>
      <c r="B876" s="1"/>
      <c r="C876" s="18"/>
      <c r="D876" s="47"/>
      <c r="E876" s="18"/>
      <c r="F876" s="18"/>
      <c r="G876" s="18"/>
      <c r="H876" s="18"/>
      <c r="I876" s="25"/>
      <c r="J876" s="18"/>
      <c r="K876" s="18"/>
      <c r="L876" s="18"/>
      <c r="M876" s="39"/>
      <c r="N876" s="18"/>
      <c r="O876" s="18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>
      <c r="A877" s="1"/>
      <c r="B877" s="1"/>
      <c r="C877" s="18"/>
      <c r="D877" s="47"/>
      <c r="E877" s="18"/>
      <c r="F877" s="18"/>
      <c r="G877" s="18"/>
      <c r="H877" s="18"/>
      <c r="I877" s="25"/>
      <c r="J877" s="18"/>
      <c r="K877" s="18"/>
      <c r="L877" s="18"/>
      <c r="M877" s="39"/>
      <c r="N877" s="18"/>
      <c r="O877" s="18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>
      <c r="A878" s="1"/>
      <c r="B878" s="1"/>
      <c r="C878" s="18"/>
      <c r="D878" s="47"/>
      <c r="E878" s="18"/>
      <c r="F878" s="18"/>
      <c r="G878" s="18"/>
      <c r="H878" s="18"/>
      <c r="I878" s="25"/>
      <c r="J878" s="18"/>
      <c r="K878" s="18"/>
      <c r="L878" s="18"/>
      <c r="M878" s="39"/>
      <c r="N878" s="18"/>
      <c r="O878" s="18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>
      <c r="A879" s="1"/>
      <c r="B879" s="1"/>
      <c r="C879" s="18"/>
      <c r="D879" s="47"/>
      <c r="E879" s="18"/>
      <c r="F879" s="18"/>
      <c r="G879" s="18"/>
      <c r="H879" s="18"/>
      <c r="I879" s="25"/>
      <c r="J879" s="18"/>
      <c r="K879" s="18"/>
      <c r="L879" s="18"/>
      <c r="M879" s="39"/>
      <c r="N879" s="18"/>
      <c r="O879" s="18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>
      <c r="A880" s="1"/>
      <c r="B880" s="1"/>
      <c r="C880" s="18"/>
      <c r="D880" s="47"/>
      <c r="E880" s="18"/>
      <c r="F880" s="18"/>
      <c r="G880" s="18"/>
      <c r="H880" s="18"/>
      <c r="I880" s="25"/>
      <c r="J880" s="18"/>
      <c r="K880" s="18"/>
      <c r="L880" s="18"/>
      <c r="M880" s="39"/>
      <c r="N880" s="18"/>
      <c r="O880" s="18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>
      <c r="A881" s="1"/>
      <c r="B881" s="1"/>
      <c r="C881" s="18"/>
      <c r="D881" s="47"/>
      <c r="E881" s="18"/>
      <c r="F881" s="18"/>
      <c r="G881" s="18"/>
      <c r="H881" s="18"/>
      <c r="I881" s="25"/>
      <c r="J881" s="18"/>
      <c r="K881" s="18"/>
      <c r="L881" s="18"/>
      <c r="M881" s="39"/>
      <c r="N881" s="18"/>
      <c r="O881" s="18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>
      <c r="A882" s="1"/>
      <c r="B882" s="1"/>
      <c r="C882" s="18"/>
      <c r="D882" s="47"/>
      <c r="E882" s="18"/>
      <c r="F882" s="18"/>
      <c r="G882" s="18"/>
      <c r="H882" s="18"/>
      <c r="I882" s="25"/>
      <c r="J882" s="18"/>
      <c r="K882" s="18"/>
      <c r="L882" s="18"/>
      <c r="M882" s="39"/>
      <c r="N882" s="18"/>
      <c r="O882" s="18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>
      <c r="A883" s="1"/>
      <c r="B883" s="1"/>
      <c r="C883" s="18"/>
      <c r="D883" s="47"/>
      <c r="E883" s="18"/>
      <c r="F883" s="18"/>
      <c r="G883" s="18"/>
      <c r="H883" s="18"/>
      <c r="I883" s="25"/>
      <c r="J883" s="18"/>
      <c r="K883" s="18"/>
      <c r="L883" s="18"/>
      <c r="M883" s="39"/>
      <c r="N883" s="18"/>
      <c r="O883" s="18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>
      <c r="A884" s="1"/>
      <c r="B884" s="1"/>
      <c r="C884" s="18"/>
      <c r="D884" s="47"/>
      <c r="E884" s="18"/>
      <c r="F884" s="18"/>
      <c r="G884" s="18"/>
      <c r="H884" s="18"/>
      <c r="I884" s="25"/>
      <c r="J884" s="18"/>
      <c r="K884" s="18"/>
      <c r="L884" s="18"/>
      <c r="M884" s="39"/>
      <c r="N884" s="18"/>
      <c r="O884" s="18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>
      <c r="A885" s="1"/>
      <c r="B885" s="1"/>
      <c r="C885" s="18"/>
      <c r="D885" s="47"/>
      <c r="E885" s="18"/>
      <c r="F885" s="18"/>
      <c r="G885" s="18"/>
      <c r="H885" s="18"/>
      <c r="I885" s="25"/>
      <c r="J885" s="18"/>
      <c r="K885" s="18"/>
      <c r="L885" s="18"/>
      <c r="M885" s="39"/>
      <c r="N885" s="18"/>
      <c r="O885" s="18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>
      <c r="A886" s="1"/>
      <c r="B886" s="1"/>
      <c r="C886" s="18"/>
      <c r="D886" s="47"/>
      <c r="E886" s="18"/>
      <c r="F886" s="18"/>
      <c r="G886" s="18"/>
      <c r="H886" s="18"/>
      <c r="I886" s="25"/>
      <c r="J886" s="18"/>
      <c r="K886" s="18"/>
      <c r="L886" s="18"/>
      <c r="M886" s="39"/>
      <c r="N886" s="18"/>
      <c r="O886" s="18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>
      <c r="A887" s="1"/>
      <c r="B887" s="1"/>
      <c r="C887" s="18"/>
      <c r="D887" s="47"/>
      <c r="E887" s="18"/>
      <c r="F887" s="18"/>
      <c r="G887" s="18"/>
      <c r="H887" s="18"/>
      <c r="I887" s="25"/>
      <c r="J887" s="18"/>
      <c r="K887" s="18"/>
      <c r="L887" s="18"/>
      <c r="M887" s="39"/>
      <c r="N887" s="18"/>
      <c r="O887" s="18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>
      <c r="A888" s="1"/>
      <c r="B888" s="1"/>
      <c r="C888" s="18"/>
      <c r="D888" s="47"/>
      <c r="E888" s="18"/>
      <c r="F888" s="18"/>
      <c r="G888" s="18"/>
      <c r="H888" s="18"/>
      <c r="I888" s="25"/>
      <c r="J888" s="18"/>
      <c r="K888" s="18"/>
      <c r="L888" s="18"/>
      <c r="M888" s="39"/>
      <c r="N888" s="18"/>
      <c r="O888" s="18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>
      <c r="A889" s="1"/>
      <c r="B889" s="1"/>
      <c r="C889" s="18"/>
      <c r="D889" s="47"/>
      <c r="E889" s="18"/>
      <c r="F889" s="18"/>
      <c r="G889" s="18"/>
      <c r="H889" s="18"/>
      <c r="I889" s="25"/>
      <c r="J889" s="18"/>
      <c r="K889" s="18"/>
      <c r="L889" s="18"/>
      <c r="M889" s="39"/>
      <c r="N889" s="18"/>
      <c r="O889" s="18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>
      <c r="A890" s="1"/>
      <c r="B890" s="1"/>
      <c r="C890" s="18"/>
      <c r="D890" s="47"/>
      <c r="E890" s="18"/>
      <c r="F890" s="18"/>
      <c r="G890" s="18"/>
      <c r="H890" s="18"/>
      <c r="I890" s="25"/>
      <c r="J890" s="18"/>
      <c r="K890" s="18"/>
      <c r="L890" s="18"/>
      <c r="M890" s="39"/>
      <c r="N890" s="18"/>
      <c r="O890" s="18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>
      <c r="A891" s="1"/>
      <c r="B891" s="1"/>
      <c r="C891" s="18"/>
      <c r="D891" s="47"/>
      <c r="E891" s="18"/>
      <c r="F891" s="18"/>
      <c r="G891" s="18"/>
      <c r="H891" s="18"/>
      <c r="I891" s="25"/>
      <c r="J891" s="18"/>
      <c r="K891" s="18"/>
      <c r="L891" s="18"/>
      <c r="M891" s="39"/>
      <c r="N891" s="18"/>
      <c r="O891" s="18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>
      <c r="A892" s="1"/>
      <c r="B892" s="1"/>
      <c r="C892" s="18"/>
      <c r="D892" s="47"/>
      <c r="E892" s="18"/>
      <c r="F892" s="18"/>
      <c r="G892" s="18"/>
      <c r="H892" s="18"/>
      <c r="I892" s="25"/>
      <c r="J892" s="18"/>
      <c r="K892" s="18"/>
      <c r="L892" s="18"/>
      <c r="M892" s="39"/>
      <c r="N892" s="18"/>
      <c r="O892" s="18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>
      <c r="A893" s="1"/>
      <c r="B893" s="1"/>
      <c r="C893" s="18"/>
      <c r="D893" s="47"/>
      <c r="E893" s="18"/>
      <c r="F893" s="18"/>
      <c r="G893" s="18"/>
      <c r="H893" s="18"/>
      <c r="I893" s="25"/>
      <c r="J893" s="18"/>
      <c r="K893" s="18"/>
      <c r="L893" s="18"/>
      <c r="M893" s="39"/>
      <c r="N893" s="18"/>
      <c r="O893" s="18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>
      <c r="A894" s="1"/>
      <c r="B894" s="1"/>
      <c r="C894" s="18"/>
      <c r="D894" s="47"/>
      <c r="E894" s="18"/>
      <c r="F894" s="18"/>
      <c r="G894" s="18"/>
      <c r="H894" s="18"/>
      <c r="I894" s="25"/>
      <c r="J894" s="18"/>
      <c r="K894" s="18"/>
      <c r="L894" s="18"/>
      <c r="M894" s="39"/>
      <c r="N894" s="18"/>
      <c r="O894" s="18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>
      <c r="A895" s="1"/>
      <c r="B895" s="1"/>
      <c r="C895" s="18"/>
      <c r="D895" s="47"/>
      <c r="E895" s="18"/>
      <c r="F895" s="18"/>
      <c r="G895" s="18"/>
      <c r="H895" s="18"/>
      <c r="I895" s="25"/>
      <c r="J895" s="18"/>
      <c r="K895" s="18"/>
      <c r="L895" s="18"/>
      <c r="M895" s="39"/>
      <c r="N895" s="18"/>
      <c r="O895" s="18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>
      <c r="A896" s="1"/>
      <c r="B896" s="1"/>
      <c r="C896" s="18"/>
      <c r="D896" s="47"/>
      <c r="E896" s="18"/>
      <c r="F896" s="18"/>
      <c r="G896" s="18"/>
      <c r="H896" s="18"/>
      <c r="I896" s="25"/>
      <c r="J896" s="18"/>
      <c r="K896" s="18"/>
      <c r="L896" s="18"/>
      <c r="M896" s="39"/>
      <c r="N896" s="18"/>
      <c r="O896" s="18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>
      <c r="A897" s="1"/>
      <c r="B897" s="1"/>
      <c r="C897" s="18"/>
      <c r="D897" s="47"/>
      <c r="E897" s="18"/>
      <c r="F897" s="18"/>
      <c r="G897" s="18"/>
      <c r="H897" s="18"/>
      <c r="I897" s="25"/>
      <c r="J897" s="18"/>
      <c r="K897" s="18"/>
      <c r="L897" s="18"/>
      <c r="M897" s="39"/>
      <c r="N897" s="18"/>
      <c r="O897" s="18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>
      <c r="A898" s="1"/>
      <c r="B898" s="1"/>
      <c r="C898" s="18"/>
      <c r="D898" s="47"/>
      <c r="E898" s="18"/>
      <c r="F898" s="18"/>
      <c r="G898" s="18"/>
      <c r="H898" s="18"/>
      <c r="I898" s="25"/>
      <c r="J898" s="18"/>
      <c r="K898" s="18"/>
      <c r="L898" s="18"/>
      <c r="M898" s="39"/>
      <c r="N898" s="18"/>
      <c r="O898" s="18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>
      <c r="A899" s="1"/>
      <c r="B899" s="1"/>
      <c r="C899" s="18"/>
      <c r="D899" s="47"/>
      <c r="E899" s="18"/>
      <c r="F899" s="18"/>
      <c r="G899" s="18"/>
      <c r="H899" s="18"/>
      <c r="I899" s="25"/>
      <c r="J899" s="18"/>
      <c r="K899" s="18"/>
      <c r="L899" s="18"/>
      <c r="M899" s="39"/>
      <c r="N899" s="18"/>
      <c r="O899" s="18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>
      <c r="A900" s="1"/>
      <c r="B900" s="1"/>
      <c r="C900" s="18"/>
      <c r="D900" s="47"/>
      <c r="E900" s="18"/>
      <c r="F900" s="18"/>
      <c r="G900" s="18"/>
      <c r="H900" s="18"/>
      <c r="I900" s="25"/>
      <c r="J900" s="18"/>
      <c r="K900" s="18"/>
      <c r="L900" s="18"/>
      <c r="M900" s="39"/>
      <c r="N900" s="18"/>
      <c r="O900" s="18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>
      <c r="A901" s="1"/>
      <c r="B901" s="1"/>
      <c r="C901" s="18"/>
      <c r="D901" s="47"/>
      <c r="E901" s="18"/>
      <c r="F901" s="18"/>
      <c r="G901" s="18"/>
      <c r="H901" s="18"/>
      <c r="I901" s="25"/>
      <c r="J901" s="18"/>
      <c r="K901" s="18"/>
      <c r="L901" s="18"/>
      <c r="M901" s="39"/>
      <c r="N901" s="18"/>
      <c r="O901" s="18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>
      <c r="A902" s="1"/>
      <c r="B902" s="1"/>
      <c r="C902" s="18"/>
      <c r="D902" s="47"/>
      <c r="E902" s="18"/>
      <c r="F902" s="18"/>
      <c r="G902" s="18"/>
      <c r="H902" s="18"/>
      <c r="I902" s="25"/>
      <c r="J902" s="18"/>
      <c r="K902" s="18"/>
      <c r="L902" s="18"/>
      <c r="M902" s="39"/>
      <c r="N902" s="18"/>
      <c r="O902" s="18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>
      <c r="A903" s="1"/>
      <c r="B903" s="1"/>
      <c r="C903" s="18"/>
      <c r="D903" s="47"/>
      <c r="E903" s="18"/>
      <c r="F903" s="18"/>
      <c r="G903" s="18"/>
      <c r="H903" s="18"/>
      <c r="I903" s="25"/>
      <c r="J903" s="18"/>
      <c r="K903" s="18"/>
      <c r="L903" s="18"/>
      <c r="M903" s="39"/>
      <c r="N903" s="18"/>
      <c r="O903" s="18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>
      <c r="A904" s="1"/>
      <c r="B904" s="1"/>
      <c r="C904" s="18"/>
      <c r="D904" s="47"/>
      <c r="E904" s="18"/>
      <c r="F904" s="18"/>
      <c r="G904" s="18"/>
      <c r="H904" s="18"/>
      <c r="I904" s="25"/>
      <c r="J904" s="18"/>
      <c r="K904" s="18"/>
      <c r="L904" s="18"/>
      <c r="M904" s="39"/>
      <c r="N904" s="18"/>
      <c r="O904" s="18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>
      <c r="A905" s="1"/>
      <c r="B905" s="1"/>
      <c r="C905" s="18"/>
      <c r="D905" s="47"/>
      <c r="E905" s="18"/>
      <c r="F905" s="18"/>
      <c r="G905" s="18"/>
      <c r="H905" s="18"/>
      <c r="I905" s="25"/>
      <c r="J905" s="18"/>
      <c r="K905" s="18"/>
      <c r="L905" s="18"/>
      <c r="M905" s="39"/>
      <c r="N905" s="18"/>
      <c r="O905" s="18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>
      <c r="A906" s="1"/>
      <c r="B906" s="1"/>
      <c r="C906" s="18"/>
      <c r="D906" s="47"/>
      <c r="E906" s="18"/>
      <c r="F906" s="18"/>
      <c r="G906" s="18"/>
      <c r="H906" s="18"/>
      <c r="I906" s="25"/>
      <c r="J906" s="18"/>
      <c r="K906" s="18"/>
      <c r="L906" s="18"/>
      <c r="M906" s="39"/>
      <c r="N906" s="18"/>
      <c r="O906" s="18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>
      <c r="A907" s="1"/>
      <c r="B907" s="1"/>
      <c r="C907" s="18"/>
      <c r="D907" s="47"/>
      <c r="E907" s="18"/>
      <c r="F907" s="18"/>
      <c r="G907" s="18"/>
      <c r="H907" s="18"/>
      <c r="I907" s="25"/>
      <c r="J907" s="18"/>
      <c r="K907" s="18"/>
      <c r="L907" s="18"/>
      <c r="M907" s="39"/>
      <c r="N907" s="18"/>
      <c r="O907" s="18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>
      <c r="A908" s="1"/>
      <c r="B908" s="1"/>
      <c r="C908" s="18"/>
      <c r="D908" s="47"/>
      <c r="E908" s="18"/>
      <c r="F908" s="18"/>
      <c r="G908" s="18"/>
      <c r="H908" s="18"/>
      <c r="I908" s="25"/>
      <c r="J908" s="18"/>
      <c r="K908" s="18"/>
      <c r="L908" s="18"/>
      <c r="M908" s="39"/>
      <c r="N908" s="18"/>
      <c r="O908" s="18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>
      <c r="A909" s="1"/>
      <c r="B909" s="1"/>
      <c r="C909" s="18"/>
      <c r="D909" s="47"/>
      <c r="E909" s="18"/>
      <c r="F909" s="18"/>
      <c r="G909" s="18"/>
      <c r="H909" s="18"/>
      <c r="I909" s="25"/>
      <c r="J909" s="18"/>
      <c r="K909" s="18"/>
      <c r="L909" s="18"/>
      <c r="M909" s="39"/>
      <c r="N909" s="18"/>
      <c r="O909" s="18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>
      <c r="A910" s="1"/>
      <c r="B910" s="1"/>
      <c r="C910" s="18"/>
      <c r="D910" s="47"/>
      <c r="E910" s="18"/>
      <c r="F910" s="18"/>
      <c r="G910" s="18"/>
      <c r="H910" s="18"/>
      <c r="I910" s="25"/>
      <c r="J910" s="18"/>
      <c r="K910" s="18"/>
      <c r="L910" s="18"/>
      <c r="M910" s="39"/>
      <c r="N910" s="18"/>
      <c r="O910" s="18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>
      <c r="A911" s="1"/>
      <c r="B911" s="1"/>
      <c r="C911" s="18"/>
      <c r="D911" s="47"/>
      <c r="E911" s="18"/>
      <c r="F911" s="18"/>
      <c r="G911" s="18"/>
      <c r="H911" s="18"/>
      <c r="I911" s="25"/>
      <c r="J911" s="18"/>
      <c r="K911" s="18"/>
      <c r="L911" s="18"/>
      <c r="M911" s="39"/>
      <c r="N911" s="18"/>
      <c r="O911" s="18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>
      <c r="A912" s="1"/>
      <c r="B912" s="1"/>
      <c r="C912" s="18"/>
      <c r="D912" s="47"/>
      <c r="E912" s="18"/>
      <c r="F912" s="18"/>
      <c r="G912" s="18"/>
      <c r="H912" s="18"/>
      <c r="I912" s="25"/>
      <c r="J912" s="18"/>
      <c r="K912" s="18"/>
      <c r="L912" s="18"/>
      <c r="M912" s="39"/>
      <c r="N912" s="18"/>
      <c r="O912" s="18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>
      <c r="A913" s="1"/>
      <c r="B913" s="1"/>
      <c r="C913" s="18"/>
      <c r="D913" s="47"/>
      <c r="E913" s="18"/>
      <c r="F913" s="18"/>
      <c r="G913" s="18"/>
      <c r="H913" s="18"/>
      <c r="I913" s="25"/>
      <c r="J913" s="18"/>
      <c r="K913" s="18"/>
      <c r="L913" s="18"/>
      <c r="M913" s="39"/>
      <c r="N913" s="18"/>
      <c r="O913" s="18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>
      <c r="A914" s="1"/>
      <c r="B914" s="1"/>
      <c r="C914" s="18"/>
      <c r="D914" s="47"/>
      <c r="E914" s="18"/>
      <c r="F914" s="18"/>
      <c r="G914" s="18"/>
      <c r="H914" s="18"/>
      <c r="I914" s="25"/>
      <c r="J914" s="18"/>
      <c r="K914" s="18"/>
      <c r="L914" s="18"/>
      <c r="M914" s="39"/>
      <c r="N914" s="18"/>
      <c r="O914" s="18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>
      <c r="A915" s="1"/>
      <c r="B915" s="1"/>
      <c r="C915" s="18"/>
      <c r="D915" s="47"/>
      <c r="E915" s="18"/>
      <c r="F915" s="18"/>
      <c r="G915" s="18"/>
      <c r="H915" s="18"/>
      <c r="I915" s="25"/>
      <c r="J915" s="18"/>
      <c r="K915" s="18"/>
      <c r="L915" s="18"/>
      <c r="M915" s="39"/>
      <c r="N915" s="18"/>
      <c r="O915" s="18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>
      <c r="A916" s="1"/>
      <c r="B916" s="1"/>
      <c r="C916" s="18"/>
      <c r="D916" s="47"/>
      <c r="E916" s="18"/>
      <c r="F916" s="18"/>
      <c r="G916" s="18"/>
      <c r="H916" s="18"/>
      <c r="I916" s="25"/>
      <c r="J916" s="18"/>
      <c r="K916" s="18"/>
      <c r="L916" s="18"/>
      <c r="M916" s="39"/>
      <c r="N916" s="18"/>
      <c r="O916" s="18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>
      <c r="A917" s="1"/>
      <c r="B917" s="1"/>
      <c r="C917" s="18"/>
      <c r="D917" s="47"/>
      <c r="E917" s="18"/>
      <c r="F917" s="18"/>
      <c r="G917" s="18"/>
      <c r="H917" s="18"/>
      <c r="I917" s="25"/>
      <c r="J917" s="18"/>
      <c r="K917" s="18"/>
      <c r="L917" s="18"/>
      <c r="M917" s="39"/>
      <c r="N917" s="18"/>
      <c r="O917" s="18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>
      <c r="A918" s="1"/>
      <c r="B918" s="1"/>
      <c r="C918" s="18"/>
      <c r="D918" s="47"/>
      <c r="E918" s="18"/>
      <c r="F918" s="18"/>
      <c r="G918" s="18"/>
      <c r="H918" s="18"/>
      <c r="I918" s="25"/>
      <c r="J918" s="18"/>
      <c r="K918" s="18"/>
      <c r="L918" s="18"/>
      <c r="M918" s="39"/>
      <c r="N918" s="18"/>
      <c r="O918" s="18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>
      <c r="A919" s="1"/>
      <c r="B919" s="1"/>
      <c r="C919" s="18"/>
      <c r="D919" s="47"/>
      <c r="E919" s="18"/>
      <c r="F919" s="18"/>
      <c r="G919" s="18"/>
      <c r="H919" s="18"/>
      <c r="I919" s="25"/>
      <c r="J919" s="18"/>
      <c r="K919" s="18"/>
      <c r="L919" s="18"/>
      <c r="M919" s="39"/>
      <c r="N919" s="18"/>
      <c r="O919" s="18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>
      <c r="A920" s="1"/>
      <c r="B920" s="1"/>
      <c r="C920" s="18"/>
      <c r="D920" s="47"/>
      <c r="E920" s="18"/>
      <c r="F920" s="18"/>
      <c r="G920" s="18"/>
      <c r="H920" s="18"/>
      <c r="I920" s="25"/>
      <c r="J920" s="18"/>
      <c r="K920" s="18"/>
      <c r="L920" s="18"/>
      <c r="M920" s="39"/>
      <c r="N920" s="18"/>
      <c r="O920" s="18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>
      <c r="A921" s="1"/>
      <c r="B921" s="1"/>
      <c r="C921" s="18"/>
      <c r="D921" s="47"/>
      <c r="E921" s="18"/>
      <c r="F921" s="18"/>
      <c r="G921" s="18"/>
      <c r="H921" s="18"/>
      <c r="I921" s="25"/>
      <c r="J921" s="18"/>
      <c r="K921" s="18"/>
      <c r="L921" s="18"/>
      <c r="M921" s="39"/>
      <c r="N921" s="18"/>
      <c r="O921" s="18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>
      <c r="A922" s="1"/>
      <c r="B922" s="1"/>
      <c r="C922" s="18"/>
      <c r="D922" s="47"/>
      <c r="E922" s="18"/>
      <c r="F922" s="18"/>
      <c r="G922" s="18"/>
      <c r="H922" s="18"/>
      <c r="I922" s="25"/>
      <c r="J922" s="18"/>
      <c r="K922" s="18"/>
      <c r="L922" s="18"/>
      <c r="M922" s="39"/>
      <c r="N922" s="18"/>
      <c r="O922" s="18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>
      <c r="A923" s="1"/>
      <c r="B923" s="1"/>
      <c r="C923" s="18"/>
      <c r="D923" s="47"/>
      <c r="E923" s="18"/>
      <c r="F923" s="18"/>
      <c r="G923" s="18"/>
      <c r="H923" s="18"/>
      <c r="I923" s="25"/>
      <c r="J923" s="18"/>
      <c r="K923" s="18"/>
      <c r="L923" s="18"/>
      <c r="M923" s="39"/>
      <c r="N923" s="18"/>
      <c r="O923" s="18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>
      <c r="A924" s="1"/>
      <c r="B924" s="1"/>
      <c r="C924" s="18"/>
      <c r="D924" s="47"/>
      <c r="E924" s="18"/>
      <c r="F924" s="18"/>
      <c r="G924" s="18"/>
      <c r="H924" s="18"/>
      <c r="I924" s="25"/>
      <c r="J924" s="18"/>
      <c r="K924" s="18"/>
      <c r="L924" s="18"/>
      <c r="M924" s="39"/>
      <c r="N924" s="18"/>
      <c r="O924" s="18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>
      <c r="A925" s="1"/>
      <c r="B925" s="1"/>
      <c r="C925" s="18"/>
      <c r="D925" s="47"/>
      <c r="E925" s="18"/>
      <c r="F925" s="18"/>
      <c r="G925" s="18"/>
      <c r="H925" s="18"/>
      <c r="I925" s="25"/>
      <c r="J925" s="18"/>
      <c r="K925" s="18"/>
      <c r="L925" s="18"/>
      <c r="M925" s="39"/>
      <c r="N925" s="18"/>
      <c r="O925" s="18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>
      <c r="A926" s="1"/>
      <c r="B926" s="1"/>
      <c r="C926" s="18"/>
      <c r="D926" s="47"/>
      <c r="E926" s="18"/>
      <c r="F926" s="18"/>
      <c r="G926" s="18"/>
      <c r="H926" s="18"/>
      <c r="I926" s="25"/>
      <c r="J926" s="18"/>
      <c r="K926" s="18"/>
      <c r="L926" s="18"/>
      <c r="M926" s="39"/>
      <c r="N926" s="18"/>
      <c r="O926" s="18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>
      <c r="A927" s="1"/>
      <c r="B927" s="1"/>
      <c r="C927" s="18"/>
      <c r="D927" s="47"/>
      <c r="E927" s="18"/>
      <c r="F927" s="18"/>
      <c r="G927" s="18"/>
      <c r="H927" s="18"/>
      <c r="I927" s="25"/>
      <c r="J927" s="18"/>
      <c r="K927" s="18"/>
      <c r="L927" s="18"/>
      <c r="M927" s="39"/>
      <c r="N927" s="18"/>
      <c r="O927" s="18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>
      <c r="A928" s="1"/>
      <c r="B928" s="1"/>
      <c r="C928" s="18"/>
      <c r="D928" s="47"/>
      <c r="E928" s="18"/>
      <c r="F928" s="18"/>
      <c r="G928" s="18"/>
      <c r="H928" s="18"/>
      <c r="I928" s="25"/>
      <c r="J928" s="18"/>
      <c r="K928" s="18"/>
      <c r="L928" s="18"/>
      <c r="M928" s="39"/>
      <c r="N928" s="18"/>
      <c r="O928" s="18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>
      <c r="A929" s="1"/>
      <c r="B929" s="1"/>
      <c r="C929" s="18"/>
      <c r="D929" s="47"/>
      <c r="E929" s="18"/>
      <c r="F929" s="18"/>
      <c r="G929" s="18"/>
      <c r="H929" s="18"/>
      <c r="I929" s="25"/>
      <c r="J929" s="18"/>
      <c r="K929" s="18"/>
      <c r="L929" s="18"/>
      <c r="M929" s="39"/>
      <c r="N929" s="18"/>
      <c r="O929" s="18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>
      <c r="A930" s="1"/>
      <c r="B930" s="1"/>
      <c r="C930" s="18"/>
      <c r="D930" s="47"/>
      <c r="E930" s="18"/>
      <c r="F930" s="18"/>
      <c r="G930" s="18"/>
      <c r="H930" s="18"/>
      <c r="I930" s="25"/>
      <c r="J930" s="18"/>
      <c r="K930" s="18"/>
      <c r="L930" s="18"/>
      <c r="M930" s="39"/>
      <c r="N930" s="18"/>
      <c r="O930" s="18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>
      <c r="A931" s="1"/>
      <c r="B931" s="1"/>
      <c r="C931" s="18"/>
      <c r="D931" s="47"/>
      <c r="E931" s="18"/>
      <c r="F931" s="18"/>
      <c r="G931" s="18"/>
      <c r="H931" s="18"/>
      <c r="I931" s="25"/>
      <c r="J931" s="18"/>
      <c r="K931" s="18"/>
      <c r="L931" s="18"/>
      <c r="M931" s="39"/>
      <c r="N931" s="18"/>
      <c r="O931" s="18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>
      <c r="A932" s="1"/>
      <c r="B932" s="1"/>
      <c r="C932" s="18"/>
      <c r="D932" s="47"/>
      <c r="E932" s="18"/>
      <c r="F932" s="18"/>
      <c r="G932" s="18"/>
      <c r="H932" s="18"/>
      <c r="I932" s="25"/>
      <c r="J932" s="18"/>
      <c r="K932" s="18"/>
      <c r="L932" s="18"/>
      <c r="M932" s="39"/>
      <c r="N932" s="18"/>
      <c r="O932" s="18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>
      <c r="A933" s="1"/>
      <c r="B933" s="1"/>
      <c r="C933" s="18"/>
      <c r="D933" s="47"/>
      <c r="E933" s="18"/>
      <c r="F933" s="18"/>
      <c r="G933" s="18"/>
      <c r="H933" s="18"/>
      <c r="I933" s="25"/>
      <c r="J933" s="18"/>
      <c r="K933" s="18"/>
      <c r="L933" s="18"/>
      <c r="M933" s="39"/>
      <c r="N933" s="18"/>
      <c r="O933" s="18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>
      <c r="A934" s="1"/>
      <c r="B934" s="1"/>
      <c r="C934" s="18"/>
      <c r="D934" s="47"/>
      <c r="E934" s="18"/>
      <c r="F934" s="18"/>
      <c r="G934" s="18"/>
      <c r="H934" s="18"/>
      <c r="I934" s="25"/>
      <c r="J934" s="18"/>
      <c r="K934" s="18"/>
      <c r="L934" s="18"/>
      <c r="M934" s="39"/>
      <c r="N934" s="18"/>
      <c r="O934" s="18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>
      <c r="A935" s="1"/>
      <c r="B935" s="1"/>
      <c r="C935" s="18"/>
      <c r="D935" s="47"/>
      <c r="E935" s="18"/>
      <c r="F935" s="18"/>
      <c r="G935" s="18"/>
      <c r="H935" s="18"/>
      <c r="I935" s="25"/>
      <c r="J935" s="18"/>
      <c r="K935" s="18"/>
      <c r="L935" s="18"/>
      <c r="M935" s="39"/>
      <c r="N935" s="18"/>
      <c r="O935" s="18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>
      <c r="A936" s="1"/>
      <c r="B936" s="1"/>
      <c r="C936" s="18"/>
      <c r="D936" s="47"/>
      <c r="E936" s="18"/>
      <c r="F936" s="18"/>
      <c r="G936" s="18"/>
      <c r="H936" s="18"/>
      <c r="I936" s="25"/>
      <c r="J936" s="18"/>
      <c r="K936" s="18"/>
      <c r="L936" s="18"/>
      <c r="M936" s="39"/>
      <c r="N936" s="18"/>
      <c r="O936" s="18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>
      <c r="A937" s="1"/>
      <c r="B937" s="1"/>
      <c r="C937" s="18"/>
      <c r="D937" s="47"/>
      <c r="E937" s="18"/>
      <c r="F937" s="18"/>
      <c r="G937" s="18"/>
      <c r="H937" s="18"/>
      <c r="I937" s="25"/>
      <c r="J937" s="18"/>
      <c r="K937" s="18"/>
      <c r="L937" s="18"/>
      <c r="M937" s="39"/>
      <c r="N937" s="18"/>
      <c r="O937" s="18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>
      <c r="A938" s="1"/>
      <c r="B938" s="1"/>
      <c r="C938" s="18"/>
      <c r="D938" s="47"/>
      <c r="E938" s="18"/>
      <c r="F938" s="18"/>
      <c r="G938" s="18"/>
      <c r="H938" s="18"/>
      <c r="I938" s="25"/>
      <c r="J938" s="18"/>
      <c r="K938" s="18"/>
      <c r="L938" s="18"/>
      <c r="M938" s="39"/>
      <c r="N938" s="18"/>
      <c r="O938" s="18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>
      <c r="A939" s="1"/>
      <c r="B939" s="1"/>
      <c r="C939" s="18"/>
      <c r="D939" s="47"/>
      <c r="E939" s="18"/>
      <c r="F939" s="18"/>
      <c r="G939" s="18"/>
      <c r="H939" s="18"/>
      <c r="I939" s="25"/>
      <c r="J939" s="18"/>
      <c r="K939" s="18"/>
      <c r="L939" s="18"/>
      <c r="M939" s="39"/>
      <c r="N939" s="18"/>
      <c r="O939" s="18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>
      <c r="A940" s="1"/>
      <c r="B940" s="1"/>
      <c r="C940" s="18"/>
      <c r="D940" s="47"/>
      <c r="E940" s="18"/>
      <c r="F940" s="18"/>
      <c r="G940" s="18"/>
      <c r="H940" s="18"/>
      <c r="I940" s="25"/>
      <c r="J940" s="18"/>
      <c r="K940" s="18"/>
      <c r="L940" s="18"/>
      <c r="M940" s="39"/>
      <c r="N940" s="18"/>
      <c r="O940" s="18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>
      <c r="A941" s="1"/>
      <c r="B941" s="1"/>
      <c r="C941" s="18"/>
      <c r="D941" s="47"/>
      <c r="E941" s="18"/>
      <c r="F941" s="18"/>
      <c r="G941" s="18"/>
      <c r="H941" s="18"/>
      <c r="I941" s="25"/>
      <c r="J941" s="18"/>
      <c r="K941" s="18"/>
      <c r="L941" s="18"/>
      <c r="M941" s="39"/>
      <c r="N941" s="18"/>
      <c r="O941" s="18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>
      <c r="A942" s="1"/>
      <c r="B942" s="1"/>
      <c r="C942" s="18"/>
      <c r="D942" s="47"/>
      <c r="E942" s="18"/>
      <c r="F942" s="18"/>
      <c r="G942" s="18"/>
      <c r="H942" s="18"/>
      <c r="I942" s="25"/>
      <c r="J942" s="18"/>
      <c r="K942" s="18"/>
      <c r="L942" s="18"/>
      <c r="M942" s="39"/>
      <c r="N942" s="18"/>
      <c r="O942" s="18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>
      <c r="A943" s="1"/>
      <c r="B943" s="1"/>
      <c r="C943" s="18"/>
      <c r="D943" s="47"/>
      <c r="E943" s="18"/>
      <c r="F943" s="18"/>
      <c r="G943" s="18"/>
      <c r="H943" s="18"/>
      <c r="I943" s="25"/>
      <c r="J943" s="18"/>
      <c r="K943" s="18"/>
      <c r="L943" s="18"/>
      <c r="M943" s="39"/>
      <c r="N943" s="18"/>
      <c r="O943" s="18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>
      <c r="A944" s="1"/>
      <c r="B944" s="1"/>
      <c r="C944" s="18"/>
      <c r="D944" s="47"/>
      <c r="E944" s="18"/>
      <c r="F944" s="18"/>
      <c r="G944" s="18"/>
      <c r="H944" s="18"/>
      <c r="I944" s="25"/>
      <c r="J944" s="18"/>
      <c r="K944" s="18"/>
      <c r="L944" s="18"/>
      <c r="M944" s="39"/>
      <c r="N944" s="18"/>
      <c r="O944" s="18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>
      <c r="A945" s="1"/>
      <c r="B945" s="1"/>
      <c r="C945" s="18"/>
      <c r="D945" s="47"/>
      <c r="E945" s="18"/>
      <c r="F945" s="18"/>
      <c r="G945" s="18"/>
      <c r="H945" s="18"/>
      <c r="I945" s="25"/>
      <c r="J945" s="18"/>
      <c r="K945" s="18"/>
      <c r="L945" s="18"/>
      <c r="M945" s="39"/>
      <c r="N945" s="18"/>
      <c r="O945" s="18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>
      <c r="A946" s="1"/>
      <c r="B946" s="1"/>
      <c r="C946" s="18"/>
      <c r="D946" s="47"/>
      <c r="E946" s="18"/>
      <c r="F946" s="18"/>
      <c r="G946" s="18"/>
      <c r="H946" s="18"/>
      <c r="I946" s="25"/>
      <c r="J946" s="18"/>
      <c r="K946" s="18"/>
      <c r="L946" s="18"/>
      <c r="M946" s="39"/>
      <c r="N946" s="18"/>
      <c r="O946" s="18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>
      <c r="A947" s="1"/>
      <c r="B947" s="1"/>
      <c r="C947" s="18"/>
      <c r="D947" s="47"/>
      <c r="E947" s="18"/>
      <c r="F947" s="18"/>
      <c r="G947" s="18"/>
      <c r="H947" s="18"/>
      <c r="I947" s="25"/>
      <c r="J947" s="18"/>
      <c r="K947" s="18"/>
      <c r="L947" s="18"/>
      <c r="M947" s="39"/>
      <c r="N947" s="18"/>
      <c r="O947" s="18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>
      <c r="A948" s="1"/>
      <c r="B948" s="1"/>
      <c r="C948" s="18"/>
      <c r="D948" s="47"/>
      <c r="E948" s="18"/>
      <c r="F948" s="18"/>
      <c r="G948" s="18"/>
      <c r="H948" s="18"/>
      <c r="I948" s="25"/>
      <c r="J948" s="18"/>
      <c r="K948" s="18"/>
      <c r="L948" s="18"/>
      <c r="M948" s="39"/>
      <c r="N948" s="18"/>
      <c r="O948" s="18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>
      <c r="A949" s="1"/>
      <c r="B949" s="1"/>
      <c r="C949" s="18"/>
      <c r="D949" s="47"/>
      <c r="E949" s="18"/>
      <c r="F949" s="18"/>
      <c r="G949" s="18"/>
      <c r="H949" s="18"/>
      <c r="I949" s="25"/>
      <c r="J949" s="18"/>
      <c r="K949" s="18"/>
      <c r="L949" s="18"/>
      <c r="M949" s="39"/>
      <c r="N949" s="18"/>
      <c r="O949" s="18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>
      <c r="A950" s="1"/>
      <c r="B950" s="1"/>
      <c r="C950" s="18"/>
      <c r="D950" s="47"/>
      <c r="E950" s="18"/>
      <c r="F950" s="18"/>
      <c r="G950" s="18"/>
      <c r="H950" s="18"/>
      <c r="I950" s="25"/>
      <c r="J950" s="18"/>
      <c r="K950" s="18"/>
      <c r="L950" s="18"/>
      <c r="M950" s="39"/>
      <c r="N950" s="18"/>
      <c r="O950" s="18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>
      <c r="A951" s="1"/>
      <c r="B951" s="1"/>
      <c r="C951" s="18"/>
      <c r="D951" s="47"/>
      <c r="E951" s="18"/>
      <c r="F951" s="18"/>
      <c r="G951" s="18"/>
      <c r="H951" s="18"/>
      <c r="I951" s="25"/>
      <c r="J951" s="18"/>
      <c r="K951" s="18"/>
      <c r="L951" s="18"/>
      <c r="M951" s="39"/>
      <c r="N951" s="18"/>
      <c r="O951" s="18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>
      <c r="A952" s="1"/>
      <c r="B952" s="1"/>
      <c r="C952" s="18"/>
      <c r="D952" s="47"/>
      <c r="E952" s="18"/>
      <c r="F952" s="18"/>
      <c r="G952" s="18"/>
      <c r="H952" s="18"/>
      <c r="I952" s="25"/>
      <c r="J952" s="18"/>
      <c r="K952" s="18"/>
      <c r="L952" s="18"/>
      <c r="M952" s="39"/>
      <c r="N952" s="18"/>
      <c r="O952" s="18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>
      <c r="A953" s="1"/>
      <c r="B953" s="1"/>
      <c r="C953" s="18"/>
      <c r="D953" s="47"/>
      <c r="E953" s="18"/>
      <c r="F953" s="18"/>
      <c r="G953" s="18"/>
      <c r="H953" s="18"/>
      <c r="I953" s="25"/>
      <c r="J953" s="18"/>
      <c r="K953" s="18"/>
      <c r="L953" s="18"/>
      <c r="M953" s="39"/>
      <c r="N953" s="18"/>
      <c r="O953" s="18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>
      <c r="A954" s="1"/>
      <c r="B954" s="1"/>
      <c r="C954" s="18"/>
      <c r="D954" s="47"/>
      <c r="E954" s="18"/>
      <c r="F954" s="18"/>
      <c r="G954" s="18"/>
      <c r="H954" s="18"/>
      <c r="I954" s="25"/>
      <c r="J954" s="18"/>
      <c r="K954" s="18"/>
      <c r="L954" s="18"/>
      <c r="M954" s="39"/>
      <c r="N954" s="18"/>
      <c r="O954" s="18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>
      <c r="A955" s="1"/>
      <c r="B955" s="1"/>
      <c r="C955" s="18"/>
      <c r="D955" s="47"/>
      <c r="E955" s="18"/>
      <c r="F955" s="18"/>
      <c r="G955" s="18"/>
      <c r="H955" s="18"/>
      <c r="I955" s="25"/>
      <c r="J955" s="18"/>
      <c r="K955" s="18"/>
      <c r="L955" s="18"/>
      <c r="M955" s="39"/>
      <c r="N955" s="18"/>
      <c r="O955" s="18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>
      <c r="A956" s="1"/>
      <c r="B956" s="1"/>
      <c r="C956" s="18"/>
      <c r="D956" s="47"/>
      <c r="E956" s="18"/>
      <c r="F956" s="18"/>
      <c r="G956" s="18"/>
      <c r="H956" s="18"/>
      <c r="I956" s="25"/>
      <c r="J956" s="18"/>
      <c r="K956" s="18"/>
      <c r="L956" s="18"/>
      <c r="M956" s="39"/>
      <c r="N956" s="18"/>
      <c r="O956" s="18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>
      <c r="A957" s="1"/>
      <c r="B957" s="1"/>
      <c r="C957" s="18"/>
      <c r="D957" s="47"/>
      <c r="E957" s="18"/>
      <c r="F957" s="18"/>
      <c r="G957" s="18"/>
      <c r="H957" s="18"/>
      <c r="I957" s="25"/>
      <c r="J957" s="18"/>
      <c r="K957" s="18"/>
      <c r="L957" s="18"/>
      <c r="M957" s="39"/>
      <c r="N957" s="18"/>
      <c r="O957" s="18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>
      <c r="A958" s="1"/>
      <c r="B958" s="1"/>
      <c r="C958" s="18"/>
      <c r="D958" s="47"/>
      <c r="E958" s="18"/>
      <c r="F958" s="18"/>
      <c r="G958" s="18"/>
      <c r="H958" s="18"/>
      <c r="I958" s="25"/>
      <c r="J958" s="18"/>
      <c r="K958" s="18"/>
      <c r="L958" s="18"/>
      <c r="M958" s="39"/>
      <c r="N958" s="18"/>
      <c r="O958" s="18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>
      <c r="A959" s="1"/>
      <c r="B959" s="1"/>
      <c r="C959" s="18"/>
      <c r="D959" s="47"/>
      <c r="E959" s="18"/>
      <c r="F959" s="18"/>
      <c r="G959" s="18"/>
      <c r="H959" s="18"/>
      <c r="I959" s="25"/>
      <c r="J959" s="18"/>
      <c r="K959" s="18"/>
      <c r="L959" s="18"/>
      <c r="M959" s="39"/>
      <c r="N959" s="18"/>
      <c r="O959" s="18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>
      <c r="A960" s="1"/>
      <c r="B960" s="1"/>
      <c r="C960" s="18"/>
      <c r="D960" s="47"/>
      <c r="E960" s="18"/>
      <c r="F960" s="18"/>
      <c r="G960" s="18"/>
      <c r="H960" s="18"/>
      <c r="I960" s="25"/>
      <c r="J960" s="18"/>
      <c r="K960" s="18"/>
      <c r="L960" s="18"/>
      <c r="M960" s="39"/>
      <c r="N960" s="18"/>
      <c r="O960" s="18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>
      <c r="A961" s="1"/>
      <c r="B961" s="1"/>
      <c r="C961" s="18"/>
      <c r="D961" s="47"/>
      <c r="E961" s="18"/>
      <c r="F961" s="18"/>
      <c r="G961" s="18"/>
      <c r="H961" s="18"/>
      <c r="I961" s="25"/>
      <c r="J961" s="18"/>
      <c r="K961" s="18"/>
      <c r="L961" s="18"/>
      <c r="M961" s="39"/>
      <c r="N961" s="18"/>
      <c r="O961" s="18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>
      <c r="A962" s="1"/>
      <c r="B962" s="1"/>
      <c r="C962" s="18"/>
      <c r="D962" s="47"/>
      <c r="E962" s="18"/>
      <c r="F962" s="18"/>
      <c r="G962" s="18"/>
      <c r="H962" s="18"/>
      <c r="I962" s="25"/>
      <c r="J962" s="18"/>
      <c r="K962" s="18"/>
      <c r="L962" s="18"/>
      <c r="M962" s="39"/>
      <c r="N962" s="18"/>
      <c r="O962" s="18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>
      <c r="A963" s="1"/>
      <c r="B963" s="1"/>
      <c r="C963" s="18"/>
      <c r="D963" s="47"/>
      <c r="E963" s="18"/>
      <c r="F963" s="18"/>
      <c r="G963" s="18"/>
      <c r="H963" s="18"/>
      <c r="I963" s="25"/>
      <c r="J963" s="18"/>
      <c r="K963" s="18"/>
      <c r="L963" s="18"/>
      <c r="M963" s="39"/>
      <c r="N963" s="18"/>
      <c r="O963" s="18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>
      <c r="A964" s="1"/>
      <c r="B964" s="1"/>
      <c r="C964" s="18"/>
      <c r="D964" s="47"/>
      <c r="E964" s="18"/>
      <c r="F964" s="18"/>
      <c r="G964" s="18"/>
      <c r="H964" s="18"/>
      <c r="I964" s="25"/>
      <c r="J964" s="18"/>
      <c r="K964" s="18"/>
      <c r="L964" s="18"/>
      <c r="M964" s="39"/>
      <c r="N964" s="18"/>
      <c r="O964" s="18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>
      <c r="A965" s="1"/>
      <c r="B965" s="1"/>
      <c r="C965" s="18"/>
      <c r="D965" s="47"/>
      <c r="E965" s="18"/>
      <c r="F965" s="18"/>
      <c r="G965" s="18"/>
      <c r="H965" s="18"/>
      <c r="I965" s="25"/>
      <c r="J965" s="18"/>
      <c r="K965" s="18"/>
      <c r="L965" s="18"/>
      <c r="M965" s="39"/>
      <c r="N965" s="18"/>
      <c r="O965" s="18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>
      <c r="A966" s="1"/>
      <c r="B966" s="1"/>
      <c r="C966" s="18"/>
      <c r="D966" s="47"/>
      <c r="E966" s="18"/>
      <c r="F966" s="18"/>
      <c r="G966" s="18"/>
      <c r="H966" s="18"/>
      <c r="I966" s="25"/>
      <c r="J966" s="18"/>
      <c r="K966" s="18"/>
      <c r="L966" s="18"/>
      <c r="M966" s="39"/>
      <c r="N966" s="18"/>
      <c r="O966" s="18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>
      <c r="A967" s="1"/>
      <c r="B967" s="1"/>
      <c r="C967" s="18"/>
      <c r="D967" s="47"/>
      <c r="E967" s="18"/>
      <c r="F967" s="18"/>
      <c r="G967" s="18"/>
      <c r="H967" s="18"/>
      <c r="I967" s="25"/>
      <c r="J967" s="18"/>
      <c r="K967" s="18"/>
      <c r="L967" s="18"/>
      <c r="M967" s="39"/>
      <c r="N967" s="18"/>
      <c r="O967" s="18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>
      <c r="A968" s="1"/>
      <c r="B968" s="1"/>
      <c r="C968" s="18"/>
      <c r="D968" s="47"/>
      <c r="E968" s="18"/>
      <c r="F968" s="18"/>
      <c r="G968" s="18"/>
      <c r="H968" s="18"/>
      <c r="I968" s="25"/>
      <c r="J968" s="18"/>
      <c r="K968" s="18"/>
      <c r="L968" s="18"/>
      <c r="M968" s="39"/>
      <c r="N968" s="18"/>
      <c r="O968" s="18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>
      <c r="A969" s="1"/>
      <c r="B969" s="1"/>
      <c r="C969" s="18"/>
      <c r="D969" s="47"/>
      <c r="E969" s="18"/>
      <c r="F969" s="18"/>
      <c r="G969" s="18"/>
      <c r="H969" s="18"/>
      <c r="I969" s="25"/>
      <c r="J969" s="18"/>
      <c r="K969" s="18"/>
      <c r="L969" s="18"/>
      <c r="M969" s="39"/>
      <c r="N969" s="18"/>
      <c r="O969" s="18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>
      <c r="A970" s="1"/>
      <c r="B970" s="1"/>
      <c r="C970" s="18"/>
      <c r="D970" s="47"/>
      <c r="E970" s="18"/>
      <c r="F970" s="18"/>
      <c r="G970" s="18"/>
      <c r="H970" s="18"/>
      <c r="I970" s="25"/>
      <c r="J970" s="18"/>
      <c r="K970" s="18"/>
      <c r="L970" s="18"/>
      <c r="M970" s="39"/>
      <c r="N970" s="18"/>
      <c r="O970" s="18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>
      <c r="A971" s="1"/>
      <c r="B971" s="1"/>
      <c r="C971" s="18"/>
      <c r="D971" s="47"/>
      <c r="E971" s="18"/>
      <c r="F971" s="18"/>
      <c r="G971" s="18"/>
      <c r="H971" s="18"/>
      <c r="I971" s="25"/>
      <c r="J971" s="18"/>
      <c r="K971" s="18"/>
      <c r="L971" s="18"/>
      <c r="M971" s="39"/>
      <c r="N971" s="18"/>
      <c r="O971" s="18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>
      <c r="A972" s="1"/>
      <c r="B972" s="1"/>
      <c r="C972" s="18"/>
      <c r="D972" s="47"/>
      <c r="E972" s="18"/>
      <c r="F972" s="18"/>
      <c r="G972" s="18"/>
      <c r="H972" s="18"/>
      <c r="I972" s="25"/>
      <c r="J972" s="18"/>
      <c r="K972" s="18"/>
      <c r="L972" s="18"/>
      <c r="M972" s="39"/>
      <c r="N972" s="18"/>
      <c r="O972" s="18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>
      <c r="A973" s="1"/>
      <c r="B973" s="1"/>
      <c r="C973" s="18"/>
      <c r="D973" s="47"/>
      <c r="E973" s="18"/>
      <c r="F973" s="18"/>
      <c r="G973" s="18"/>
      <c r="H973" s="18"/>
      <c r="I973" s="25"/>
      <c r="J973" s="18"/>
      <c r="K973" s="18"/>
      <c r="L973" s="18"/>
      <c r="M973" s="39"/>
      <c r="N973" s="18"/>
      <c r="O973" s="18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>
      <c r="A974" s="1"/>
      <c r="B974" s="1"/>
      <c r="C974" s="18"/>
      <c r="D974" s="47"/>
      <c r="E974" s="18"/>
      <c r="F974" s="18"/>
      <c r="G974" s="18"/>
      <c r="H974" s="18"/>
      <c r="I974" s="25"/>
      <c r="J974" s="18"/>
      <c r="K974" s="18"/>
      <c r="L974" s="18"/>
      <c r="M974" s="39"/>
      <c r="N974" s="18"/>
      <c r="O974" s="18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>
      <c r="A975" s="1"/>
      <c r="B975" s="1"/>
      <c r="C975" s="18"/>
      <c r="D975" s="47"/>
      <c r="E975" s="18"/>
      <c r="F975" s="18"/>
      <c r="G975" s="18"/>
      <c r="H975" s="18"/>
      <c r="I975" s="25"/>
      <c r="J975" s="18"/>
      <c r="K975" s="18"/>
      <c r="L975" s="18"/>
      <c r="M975" s="39"/>
      <c r="N975" s="18"/>
      <c r="O975" s="18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>
      <c r="A976" s="1"/>
      <c r="B976" s="1"/>
      <c r="C976" s="18"/>
      <c r="D976" s="47"/>
      <c r="E976" s="18"/>
      <c r="F976" s="18"/>
      <c r="G976" s="18"/>
      <c r="H976" s="18"/>
      <c r="I976" s="25"/>
      <c r="J976" s="18"/>
      <c r="K976" s="18"/>
      <c r="L976" s="18"/>
      <c r="M976" s="39"/>
      <c r="N976" s="18"/>
      <c r="O976" s="18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>
      <c r="A977" s="1"/>
      <c r="B977" s="1"/>
      <c r="C977" s="18"/>
      <c r="D977" s="47"/>
      <c r="E977" s="18"/>
      <c r="F977" s="18"/>
      <c r="G977" s="18"/>
      <c r="H977" s="18"/>
      <c r="I977" s="25"/>
      <c r="J977" s="18"/>
      <c r="K977" s="18"/>
      <c r="L977" s="18"/>
      <c r="M977" s="39"/>
      <c r="N977" s="18"/>
      <c r="O977" s="18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>
      <c r="A978" s="1"/>
      <c r="B978" s="1"/>
      <c r="C978" s="18"/>
      <c r="D978" s="47"/>
      <c r="E978" s="18"/>
      <c r="F978" s="18"/>
      <c r="G978" s="18"/>
      <c r="H978" s="18"/>
      <c r="I978" s="25"/>
      <c r="J978" s="18"/>
      <c r="K978" s="18"/>
      <c r="L978" s="18"/>
      <c r="M978" s="39"/>
      <c r="N978" s="18"/>
      <c r="O978" s="18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>
      <c r="A979" s="1"/>
      <c r="B979" s="1"/>
      <c r="C979" s="18"/>
      <c r="D979" s="47"/>
      <c r="E979" s="18"/>
      <c r="F979" s="18"/>
      <c r="G979" s="18"/>
      <c r="H979" s="18"/>
      <c r="I979" s="25"/>
      <c r="J979" s="18"/>
      <c r="K979" s="18"/>
      <c r="L979" s="18"/>
      <c r="M979" s="39"/>
      <c r="N979" s="18"/>
      <c r="O979" s="18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>
      <c r="A980" s="1"/>
      <c r="B980" s="1"/>
      <c r="C980" s="18"/>
      <c r="D980" s="47"/>
      <c r="E980" s="18"/>
      <c r="F980" s="18"/>
      <c r="G980" s="18"/>
      <c r="H980" s="18"/>
      <c r="I980" s="25"/>
      <c r="J980" s="18"/>
      <c r="K980" s="18"/>
      <c r="L980" s="18"/>
      <c r="M980" s="39"/>
      <c r="N980" s="18"/>
      <c r="O980" s="18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>
      <c r="A981" s="1"/>
      <c r="B981" s="1"/>
      <c r="C981" s="18"/>
      <c r="D981" s="47"/>
      <c r="E981" s="18"/>
      <c r="F981" s="18"/>
      <c r="G981" s="18"/>
      <c r="H981" s="18"/>
      <c r="I981" s="25"/>
      <c r="J981" s="18"/>
      <c r="K981" s="18"/>
      <c r="L981" s="18"/>
      <c r="M981" s="39"/>
      <c r="N981" s="18"/>
      <c r="O981" s="18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>
      <c r="A982" s="1"/>
      <c r="B982" s="1"/>
      <c r="C982" s="18"/>
      <c r="D982" s="47"/>
      <c r="E982" s="18"/>
      <c r="F982" s="18"/>
      <c r="G982" s="18"/>
      <c r="H982" s="18"/>
      <c r="I982" s="25"/>
      <c r="J982" s="18"/>
      <c r="K982" s="18"/>
      <c r="L982" s="18"/>
      <c r="M982" s="39"/>
      <c r="N982" s="18"/>
      <c r="O982" s="18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>
      <c r="A983" s="1"/>
      <c r="B983" s="1"/>
      <c r="C983" s="18"/>
      <c r="D983" s="47"/>
      <c r="E983" s="18"/>
      <c r="F983" s="18"/>
      <c r="G983" s="18"/>
      <c r="H983" s="18"/>
      <c r="I983" s="25"/>
      <c r="J983" s="18"/>
      <c r="K983" s="18"/>
      <c r="L983" s="18"/>
      <c r="M983" s="39"/>
      <c r="N983" s="18"/>
      <c r="O983" s="18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>
      <c r="A984" s="1"/>
      <c r="B984" s="1"/>
      <c r="C984" s="18"/>
      <c r="D984" s="47"/>
      <c r="E984" s="18"/>
      <c r="F984" s="18"/>
      <c r="G984" s="18"/>
      <c r="H984" s="18"/>
      <c r="I984" s="25"/>
      <c r="J984" s="18"/>
      <c r="K984" s="18"/>
      <c r="L984" s="18"/>
      <c r="M984" s="39"/>
      <c r="N984" s="18"/>
      <c r="O984" s="18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>
      <c r="A985" s="1"/>
      <c r="B985" s="1"/>
      <c r="C985" s="18"/>
      <c r="D985" s="47"/>
      <c r="E985" s="18"/>
      <c r="F985" s="18"/>
      <c r="G985" s="18"/>
      <c r="H985" s="18"/>
      <c r="I985" s="25"/>
      <c r="J985" s="18"/>
      <c r="K985" s="18"/>
      <c r="L985" s="18"/>
      <c r="M985" s="39"/>
      <c r="N985" s="18"/>
      <c r="O985" s="18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>
      <c r="A986" s="1"/>
      <c r="B986" s="1"/>
      <c r="C986" s="18"/>
      <c r="D986" s="47"/>
      <c r="E986" s="18"/>
      <c r="F986" s="18"/>
      <c r="G986" s="18"/>
      <c r="H986" s="18"/>
      <c r="I986" s="25"/>
      <c r="J986" s="18"/>
      <c r="K986" s="18"/>
      <c r="L986" s="18"/>
      <c r="M986" s="39"/>
      <c r="N986" s="18"/>
      <c r="O986" s="18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>
      <c r="A987" s="1"/>
      <c r="B987" s="1"/>
      <c r="C987" s="18"/>
      <c r="D987" s="47"/>
      <c r="E987" s="18"/>
      <c r="F987" s="18"/>
      <c r="G987" s="18"/>
      <c r="H987" s="18"/>
      <c r="I987" s="25"/>
      <c r="J987" s="18"/>
      <c r="K987" s="18"/>
      <c r="L987" s="18"/>
      <c r="M987" s="39"/>
      <c r="N987" s="18"/>
      <c r="O987" s="18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>
      <c r="A988" s="1"/>
      <c r="B988" s="1"/>
      <c r="C988" s="18"/>
      <c r="D988" s="47"/>
      <c r="E988" s="18"/>
      <c r="F988" s="18"/>
      <c r="G988" s="18"/>
      <c r="H988" s="18"/>
      <c r="I988" s="25"/>
      <c r="J988" s="18"/>
      <c r="K988" s="18"/>
      <c r="L988" s="18"/>
      <c r="M988" s="39"/>
      <c r="N988" s="18"/>
      <c r="O988" s="18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>
      <c r="A989" s="1"/>
      <c r="B989" s="1"/>
      <c r="C989" s="18"/>
      <c r="D989" s="47"/>
      <c r="E989" s="18"/>
      <c r="F989" s="18"/>
      <c r="G989" s="18"/>
      <c r="H989" s="18"/>
      <c r="I989" s="25"/>
      <c r="J989" s="18"/>
      <c r="K989" s="18"/>
      <c r="L989" s="18"/>
      <c r="M989" s="39"/>
      <c r="N989" s="18"/>
      <c r="O989" s="18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>
      <c r="A990" s="1"/>
      <c r="B990" s="1"/>
      <c r="C990" s="18"/>
      <c r="D990" s="47"/>
      <c r="E990" s="18"/>
      <c r="F990" s="18"/>
      <c r="G990" s="18"/>
      <c r="H990" s="18"/>
      <c r="I990" s="25"/>
      <c r="J990" s="18"/>
      <c r="K990" s="18"/>
      <c r="L990" s="18"/>
      <c r="M990" s="39"/>
      <c r="N990" s="18"/>
      <c r="O990" s="18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>
      <c r="A991" s="1"/>
      <c r="B991" s="1"/>
      <c r="C991" s="18"/>
      <c r="D991" s="47"/>
      <c r="E991" s="18"/>
      <c r="F991" s="18"/>
      <c r="G991" s="18"/>
      <c r="H991" s="18"/>
      <c r="I991" s="25"/>
      <c r="J991" s="18"/>
      <c r="K991" s="18"/>
      <c r="L991" s="18"/>
      <c r="M991" s="39"/>
      <c r="N991" s="18"/>
      <c r="O991" s="18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>
      <c r="A992" s="1"/>
      <c r="B992" s="1"/>
      <c r="C992" s="18"/>
      <c r="D992" s="47"/>
      <c r="E992" s="18"/>
      <c r="F992" s="18"/>
      <c r="G992" s="18"/>
      <c r="H992" s="18"/>
      <c r="I992" s="25"/>
      <c r="J992" s="18"/>
      <c r="K992" s="18"/>
      <c r="L992" s="18"/>
      <c r="M992" s="39"/>
      <c r="N992" s="18"/>
      <c r="O992" s="18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>
      <c r="A993" s="1"/>
      <c r="B993" s="1"/>
      <c r="C993" s="18"/>
      <c r="D993" s="47"/>
      <c r="E993" s="18"/>
      <c r="F993" s="18"/>
      <c r="G993" s="18"/>
      <c r="H993" s="18"/>
      <c r="I993" s="25"/>
      <c r="J993" s="18"/>
      <c r="K993" s="18"/>
      <c r="L993" s="18"/>
      <c r="M993" s="39"/>
      <c r="N993" s="18"/>
      <c r="O993" s="18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>
      <c r="A994" s="1"/>
      <c r="B994" s="1"/>
      <c r="C994" s="18"/>
      <c r="D994" s="47"/>
      <c r="E994" s="18"/>
      <c r="F994" s="18"/>
      <c r="G994" s="18"/>
      <c r="H994" s="18"/>
      <c r="I994" s="25"/>
      <c r="J994" s="18"/>
      <c r="K994" s="18"/>
      <c r="L994" s="18"/>
      <c r="M994" s="39"/>
      <c r="N994" s="18"/>
      <c r="O994" s="18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>
      <c r="A995" s="1"/>
      <c r="B995" s="1"/>
      <c r="C995" s="18"/>
      <c r="D995" s="47"/>
      <c r="E995" s="18"/>
      <c r="F995" s="18"/>
      <c r="G995" s="18"/>
      <c r="H995" s="18"/>
      <c r="I995" s="25"/>
      <c r="J995" s="18"/>
      <c r="K995" s="18"/>
      <c r="L995" s="18"/>
      <c r="M995" s="39"/>
      <c r="N995" s="18"/>
      <c r="O995" s="18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>
      <c r="A996" s="1"/>
      <c r="B996" s="1"/>
      <c r="C996" s="18"/>
      <c r="D996" s="47"/>
      <c r="E996" s="18"/>
      <c r="F996" s="18"/>
      <c r="G996" s="18"/>
      <c r="H996" s="18"/>
      <c r="I996" s="25"/>
      <c r="J996" s="18"/>
      <c r="K996" s="18"/>
      <c r="L996" s="18"/>
      <c r="M996" s="39"/>
      <c r="N996" s="18"/>
      <c r="O996" s="18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</sheetData>
  <conditionalFormatting sqref="F1:F996">
    <cfRule type="containsText" dxfId="0" priority="1" operator="containsText" text="Propulsion">
      <formula>NOT(ISERROR(SEARCH(("Propulsion"),(F1))))</formula>
    </cfRule>
  </conditionalFormatting>
  <conditionalFormatting sqref="F1:F996">
    <cfRule type="containsText" dxfId="1" priority="2" operator="containsText" text="Avionics">
      <formula>NOT(ISERROR(SEARCH(("Avionics"),(F1))))</formula>
    </cfRule>
  </conditionalFormatting>
  <conditionalFormatting sqref="F1:F996">
    <cfRule type="containsText" dxfId="2" priority="3" operator="containsText" text="Structures">
      <formula>NOT(ISERROR(SEARCH(("Structures"),(F1))))</formula>
    </cfRule>
  </conditionalFormatting>
  <conditionalFormatting sqref="F1:F996">
    <cfRule type="containsText" dxfId="3" priority="4" operator="containsText" text="Systems">
      <formula>NOT(ISERROR(SEARCH(("Systems"),(F1))))</formula>
    </cfRule>
  </conditionalFormatting>
  <hyperlinks>
    <hyperlink r:id="rId1" ref="N3"/>
    <hyperlink r:id="rId2" ref="N4"/>
    <hyperlink r:id="rId3" ref="N5"/>
    <hyperlink r:id="rId4" ref="N6"/>
    <hyperlink r:id="rId5" ref="N8"/>
    <hyperlink r:id="rId6" ref="N9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0"/>
    <col customWidth="1" hidden="1" min="2" max="2" width="8.0"/>
    <col customWidth="1" min="3" max="3" width="17.29"/>
    <col customWidth="1" min="4" max="4" width="11.29"/>
    <col customWidth="1" min="5" max="5" width="23.57"/>
    <col customWidth="1" min="6" max="6" width="15.14"/>
    <col customWidth="1" min="7" max="7" width="16.71"/>
    <col customWidth="1" min="8" max="8" width="15.71"/>
    <col customWidth="1" min="9" max="9" width="16.14"/>
    <col customWidth="1" min="10" max="10" width="14.14"/>
    <col customWidth="1" min="11" max="11" width="8.29"/>
    <col customWidth="1" min="12" max="12" width="18.57"/>
    <col customWidth="1" min="13" max="13" width="15.86"/>
    <col customWidth="1" min="14" max="14" width="11.14"/>
  </cols>
  <sheetData>
    <row r="1">
      <c r="A1" s="1"/>
      <c r="B1" s="2">
        <v>14000.0</v>
      </c>
      <c r="C1" s="3" t="s">
        <v>0</v>
      </c>
      <c r="D1" s="4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5" t="s">
        <v>6</v>
      </c>
      <c r="J1" s="3" t="s">
        <v>7</v>
      </c>
      <c r="K1" s="3" t="s">
        <v>8</v>
      </c>
      <c r="L1" s="6" t="s">
        <v>9</v>
      </c>
      <c r="M1" s="6" t="s">
        <v>10</v>
      </c>
      <c r="N1" s="6" t="s">
        <v>11</v>
      </c>
      <c r="O1" s="3" t="s">
        <v>12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ht="17.25" customHeight="1">
      <c r="A2" s="7"/>
      <c r="B2" s="8" t="s">
        <v>13</v>
      </c>
      <c r="C2" s="9">
        <f t="shared" ref="C2:C3" si="1">B2+$B$1</f>
        <v>14001</v>
      </c>
      <c r="D2" s="10" t="s">
        <v>14</v>
      </c>
      <c r="E2" s="11" t="s">
        <v>44</v>
      </c>
      <c r="F2" s="2" t="s">
        <v>25</v>
      </c>
      <c r="G2" s="2" t="s">
        <v>26</v>
      </c>
      <c r="H2" s="2" t="s">
        <v>18</v>
      </c>
      <c r="I2" s="12" t="s">
        <v>374</v>
      </c>
      <c r="J2" s="2" t="s">
        <v>375</v>
      </c>
      <c r="K2" s="52" t="s">
        <v>21</v>
      </c>
      <c r="L2" s="14" t="s">
        <v>376</v>
      </c>
      <c r="M2" s="16">
        <v>43306.0</v>
      </c>
      <c r="N2" s="17" t="s">
        <v>377</v>
      </c>
      <c r="O2" s="2" t="s">
        <v>32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>
      <c r="A3" s="7"/>
      <c r="B3" s="8" t="s">
        <v>34</v>
      </c>
      <c r="C3" s="9">
        <f t="shared" si="1"/>
        <v>14002</v>
      </c>
      <c r="D3" s="10" t="s">
        <v>82</v>
      </c>
      <c r="E3" s="11" t="s">
        <v>378</v>
      </c>
      <c r="F3" s="2" t="s">
        <v>25</v>
      </c>
      <c r="G3" s="2" t="s">
        <v>26</v>
      </c>
      <c r="H3" s="2" t="s">
        <v>18</v>
      </c>
      <c r="I3" s="83" t="s">
        <v>379</v>
      </c>
      <c r="J3" s="12" t="s">
        <v>118</v>
      </c>
      <c r="K3" s="52" t="s">
        <v>21</v>
      </c>
      <c r="L3" s="14" t="s">
        <v>29</v>
      </c>
      <c r="M3" s="14" t="s">
        <v>339</v>
      </c>
      <c r="N3" s="17" t="s">
        <v>380</v>
      </c>
      <c r="O3" s="2" t="s">
        <v>381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>
      <c r="A4" s="7"/>
      <c r="B4" s="8"/>
      <c r="C4" s="84">
        <v>14002.0</v>
      </c>
      <c r="D4" s="10" t="s">
        <v>382</v>
      </c>
      <c r="E4" s="11" t="s">
        <v>378</v>
      </c>
      <c r="F4" s="85" t="s">
        <v>25</v>
      </c>
      <c r="G4" s="2" t="s">
        <v>26</v>
      </c>
      <c r="H4" s="2" t="s">
        <v>18</v>
      </c>
      <c r="I4" s="83" t="s">
        <v>383</v>
      </c>
      <c r="J4" s="12" t="s">
        <v>118</v>
      </c>
      <c r="K4" s="86" t="s">
        <v>21</v>
      </c>
      <c r="L4" s="14" t="s">
        <v>384</v>
      </c>
      <c r="M4" s="87">
        <v>43497.0</v>
      </c>
      <c r="N4" s="17" t="s">
        <v>385</v>
      </c>
      <c r="O4" s="2" t="s">
        <v>381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>
      <c r="A5" s="7"/>
      <c r="B5" s="8" t="s">
        <v>40</v>
      </c>
      <c r="C5" s="9">
        <f>B5+$B$1</f>
        <v>14003</v>
      </c>
      <c r="D5" s="10" t="s">
        <v>90</v>
      </c>
      <c r="E5" s="11" t="s">
        <v>386</v>
      </c>
      <c r="F5" s="2" t="s">
        <v>25</v>
      </c>
      <c r="G5" s="88" t="s">
        <v>26</v>
      </c>
      <c r="H5" s="88" t="s">
        <v>18</v>
      </c>
      <c r="I5" s="83" t="s">
        <v>387</v>
      </c>
      <c r="J5" s="88" t="s">
        <v>118</v>
      </c>
      <c r="K5" s="52" t="s">
        <v>21</v>
      </c>
      <c r="L5" s="88" t="s">
        <v>29</v>
      </c>
      <c r="M5" s="89">
        <v>43374.0</v>
      </c>
      <c r="N5" s="90" t="s">
        <v>388</v>
      </c>
      <c r="O5" s="88" t="s">
        <v>381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>
      <c r="A6" s="7"/>
      <c r="B6" s="8"/>
      <c r="C6" s="91" t="s">
        <v>389</v>
      </c>
      <c r="D6" s="10" t="s">
        <v>382</v>
      </c>
      <c r="E6" s="11" t="s">
        <v>386</v>
      </c>
      <c r="F6" s="85" t="s">
        <v>25</v>
      </c>
      <c r="G6" s="88" t="s">
        <v>26</v>
      </c>
      <c r="H6" s="88" t="s">
        <v>18</v>
      </c>
      <c r="I6" s="83" t="s">
        <v>390</v>
      </c>
      <c r="J6" s="88" t="s">
        <v>118</v>
      </c>
      <c r="K6" s="86" t="s">
        <v>21</v>
      </c>
      <c r="L6" s="88" t="s">
        <v>384</v>
      </c>
      <c r="M6" s="89">
        <v>43497.0</v>
      </c>
      <c r="N6" s="90" t="s">
        <v>391</v>
      </c>
      <c r="O6" s="88" t="s">
        <v>381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>
      <c r="A7" s="7"/>
      <c r="B7" s="8" t="s">
        <v>41</v>
      </c>
      <c r="C7" s="9">
        <f>B7+$B$1</f>
        <v>14004</v>
      </c>
      <c r="D7" s="10" t="s">
        <v>82</v>
      </c>
      <c r="E7" s="11" t="s">
        <v>392</v>
      </c>
      <c r="F7" s="2" t="s">
        <v>25</v>
      </c>
      <c r="G7" s="2" t="s">
        <v>26</v>
      </c>
      <c r="H7" s="2" t="s">
        <v>18</v>
      </c>
      <c r="I7" s="83" t="s">
        <v>379</v>
      </c>
      <c r="J7" s="12" t="s">
        <v>118</v>
      </c>
      <c r="K7" s="52" t="s">
        <v>21</v>
      </c>
      <c r="L7" s="14" t="s">
        <v>29</v>
      </c>
      <c r="M7" s="14" t="s">
        <v>339</v>
      </c>
      <c r="N7" s="17" t="s">
        <v>393</v>
      </c>
      <c r="O7" s="2" t="s">
        <v>381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>
      <c r="A8" s="7"/>
      <c r="B8" s="8"/>
      <c r="C8" s="84">
        <v>14004.0</v>
      </c>
      <c r="D8" s="10" t="s">
        <v>394</v>
      </c>
      <c r="E8" s="11" t="s">
        <v>395</v>
      </c>
      <c r="F8" s="85" t="s">
        <v>25</v>
      </c>
      <c r="G8" s="2" t="s">
        <v>26</v>
      </c>
      <c r="H8" s="2" t="s">
        <v>18</v>
      </c>
      <c r="I8" s="83" t="s">
        <v>396</v>
      </c>
      <c r="J8" s="12" t="s">
        <v>118</v>
      </c>
      <c r="K8" s="86" t="s">
        <v>21</v>
      </c>
      <c r="L8" s="14" t="s">
        <v>29</v>
      </c>
      <c r="M8" s="87">
        <v>43497.0</v>
      </c>
      <c r="N8" s="17" t="s">
        <v>397</v>
      </c>
      <c r="O8" s="2" t="s">
        <v>381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>
      <c r="A9" s="7"/>
      <c r="B9" s="8" t="s">
        <v>42</v>
      </c>
      <c r="C9" s="9">
        <f t="shared" ref="C9:C251" si="2">B9+$B$1</f>
        <v>14005</v>
      </c>
      <c r="D9" s="10" t="s">
        <v>90</v>
      </c>
      <c r="E9" s="11" t="s">
        <v>398</v>
      </c>
      <c r="F9" s="2" t="s">
        <v>25</v>
      </c>
      <c r="G9" s="2" t="s">
        <v>26</v>
      </c>
      <c r="H9" s="2" t="s">
        <v>18</v>
      </c>
      <c r="I9" s="12" t="s">
        <v>399</v>
      </c>
      <c r="J9" s="2" t="s">
        <v>118</v>
      </c>
      <c r="K9" s="52" t="s">
        <v>21</v>
      </c>
      <c r="L9" s="14" t="s">
        <v>29</v>
      </c>
      <c r="M9" s="14" t="s">
        <v>339</v>
      </c>
      <c r="N9" s="17" t="s">
        <v>400</v>
      </c>
      <c r="O9" s="2" t="s">
        <v>32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>
      <c r="A10" s="7"/>
      <c r="B10" s="8" t="s">
        <v>46</v>
      </c>
      <c r="C10" s="9">
        <f t="shared" si="2"/>
        <v>14006</v>
      </c>
      <c r="D10" s="10" t="s">
        <v>90</v>
      </c>
      <c r="E10" s="11" t="s">
        <v>401</v>
      </c>
      <c r="F10" s="2" t="s">
        <v>25</v>
      </c>
      <c r="G10" s="2" t="s">
        <v>26</v>
      </c>
      <c r="H10" s="2" t="s">
        <v>18</v>
      </c>
      <c r="I10" s="12" t="s">
        <v>402</v>
      </c>
      <c r="J10" s="2" t="s">
        <v>118</v>
      </c>
      <c r="K10" s="52" t="s">
        <v>21</v>
      </c>
      <c r="L10" s="14" t="s">
        <v>29</v>
      </c>
      <c r="M10" s="14" t="s">
        <v>339</v>
      </c>
      <c r="N10" s="17" t="s">
        <v>403</v>
      </c>
      <c r="O10" s="2" t="s">
        <v>32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>
      <c r="A11" s="7"/>
      <c r="B11" s="8" t="s">
        <v>49</v>
      </c>
      <c r="C11" s="9">
        <f t="shared" si="2"/>
        <v>14007</v>
      </c>
      <c r="D11" s="10" t="s">
        <v>14</v>
      </c>
      <c r="E11" s="11" t="s">
        <v>404</v>
      </c>
      <c r="F11" s="2" t="s">
        <v>25</v>
      </c>
      <c r="G11" s="2" t="s">
        <v>26</v>
      </c>
      <c r="H11" s="2" t="s">
        <v>18</v>
      </c>
      <c r="I11" s="12" t="s">
        <v>405</v>
      </c>
      <c r="J11" s="2" t="s">
        <v>118</v>
      </c>
      <c r="K11" s="52" t="s">
        <v>21</v>
      </c>
      <c r="L11" s="14" t="s">
        <v>406</v>
      </c>
      <c r="M11" s="92">
        <v>43466.0</v>
      </c>
      <c r="N11" s="17" t="s">
        <v>407</v>
      </c>
      <c r="O11" s="2" t="s">
        <v>32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>
      <c r="A12" s="7"/>
      <c r="B12" s="8" t="s">
        <v>50</v>
      </c>
      <c r="C12" s="9">
        <f t="shared" si="2"/>
        <v>14008</v>
      </c>
      <c r="D12" s="10" t="s">
        <v>14</v>
      </c>
      <c r="E12" s="11" t="s">
        <v>408</v>
      </c>
      <c r="F12" s="2" t="s">
        <v>25</v>
      </c>
      <c r="G12" s="2" t="s">
        <v>26</v>
      </c>
      <c r="H12" s="2" t="s">
        <v>18</v>
      </c>
      <c r="I12" s="12" t="s">
        <v>409</v>
      </c>
      <c r="J12" s="2" t="s">
        <v>118</v>
      </c>
      <c r="K12" s="52" t="s">
        <v>21</v>
      </c>
      <c r="L12" s="14" t="s">
        <v>29</v>
      </c>
      <c r="M12" s="92">
        <v>43313.0</v>
      </c>
      <c r="N12" s="17" t="s">
        <v>410</v>
      </c>
      <c r="O12" s="2" t="s">
        <v>32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>
      <c r="A13" s="7"/>
      <c r="B13" s="8" t="s">
        <v>53</v>
      </c>
      <c r="C13" s="9">
        <f t="shared" si="2"/>
        <v>14009</v>
      </c>
      <c r="D13" s="10" t="s">
        <v>394</v>
      </c>
      <c r="E13" s="11" t="s">
        <v>411</v>
      </c>
      <c r="F13" s="2" t="s">
        <v>25</v>
      </c>
      <c r="G13" s="2" t="s">
        <v>26</v>
      </c>
      <c r="H13" s="2" t="s">
        <v>18</v>
      </c>
      <c r="I13" s="12" t="s">
        <v>412</v>
      </c>
      <c r="J13" s="93" t="s">
        <v>118</v>
      </c>
      <c r="K13" s="52" t="s">
        <v>21</v>
      </c>
      <c r="L13" s="14" t="s">
        <v>413</v>
      </c>
      <c r="M13" s="19">
        <v>43466.0</v>
      </c>
      <c r="N13" s="20" t="s">
        <v>414</v>
      </c>
      <c r="O13" s="2" t="s">
        <v>32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>
      <c r="A14" s="7"/>
      <c r="B14" s="8" t="s">
        <v>56</v>
      </c>
      <c r="C14" s="9">
        <f t="shared" si="2"/>
        <v>14010</v>
      </c>
      <c r="D14" s="10" t="s">
        <v>415</v>
      </c>
      <c r="E14" s="11" t="s">
        <v>416</v>
      </c>
      <c r="F14" s="2" t="s">
        <v>25</v>
      </c>
      <c r="G14" s="2" t="s">
        <v>26</v>
      </c>
      <c r="H14" s="2" t="s">
        <v>18</v>
      </c>
      <c r="I14" s="12" t="s">
        <v>417</v>
      </c>
      <c r="J14" s="2" t="s">
        <v>375</v>
      </c>
      <c r="K14" s="52" t="s">
        <v>21</v>
      </c>
      <c r="L14" s="14" t="s">
        <v>418</v>
      </c>
      <c r="M14" s="16">
        <v>43386.0</v>
      </c>
      <c r="N14" s="17" t="s">
        <v>419</v>
      </c>
      <c r="O14" s="2" t="s">
        <v>32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>
      <c r="A15" s="7"/>
      <c r="B15" s="8" t="s">
        <v>57</v>
      </c>
      <c r="C15" s="9">
        <f t="shared" si="2"/>
        <v>14011</v>
      </c>
      <c r="D15" s="10" t="s">
        <v>382</v>
      </c>
      <c r="E15" s="23" t="s">
        <v>420</v>
      </c>
      <c r="F15" s="2" t="s">
        <v>25</v>
      </c>
      <c r="G15" s="2" t="s">
        <v>26</v>
      </c>
      <c r="H15" s="2" t="s">
        <v>18</v>
      </c>
      <c r="I15" s="52" t="s">
        <v>421</v>
      </c>
      <c r="J15" s="2" t="s">
        <v>422</v>
      </c>
      <c r="K15" s="52" t="s">
        <v>21</v>
      </c>
      <c r="L15" s="14" t="s">
        <v>54</v>
      </c>
      <c r="M15" s="92">
        <v>43374.0</v>
      </c>
      <c r="N15" s="94" t="s">
        <v>423</v>
      </c>
      <c r="O15" s="2" t="s">
        <v>32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>
      <c r="A16" s="7"/>
      <c r="B16" s="8" t="s">
        <v>61</v>
      </c>
      <c r="C16" s="9">
        <f t="shared" si="2"/>
        <v>14012</v>
      </c>
      <c r="D16" s="10" t="s">
        <v>424</v>
      </c>
      <c r="E16" s="11" t="s">
        <v>425</v>
      </c>
      <c r="F16" s="2" t="s">
        <v>25</v>
      </c>
      <c r="G16" s="2" t="s">
        <v>26</v>
      </c>
      <c r="H16" s="2" t="s">
        <v>18</v>
      </c>
      <c r="I16" s="12" t="s">
        <v>426</v>
      </c>
      <c r="J16" s="2" t="s">
        <v>118</v>
      </c>
      <c r="K16" s="52" t="s">
        <v>21</v>
      </c>
      <c r="L16" s="2" t="s">
        <v>29</v>
      </c>
      <c r="M16" s="2" t="s">
        <v>339</v>
      </c>
      <c r="N16" s="95" t="s">
        <v>427</v>
      </c>
      <c r="O16" s="2" t="s">
        <v>32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>
      <c r="A17" s="7"/>
      <c r="B17" s="8" t="s">
        <v>64</v>
      </c>
      <c r="C17" s="9">
        <f t="shared" si="2"/>
        <v>14013</v>
      </c>
      <c r="D17" s="10" t="s">
        <v>90</v>
      </c>
      <c r="E17" s="11" t="s">
        <v>428</v>
      </c>
      <c r="F17" s="2" t="s">
        <v>25</v>
      </c>
      <c r="G17" s="2" t="s">
        <v>26</v>
      </c>
      <c r="H17" s="2" t="s">
        <v>18</v>
      </c>
      <c r="I17" s="12" t="s">
        <v>429</v>
      </c>
      <c r="J17" s="2" t="s">
        <v>118</v>
      </c>
      <c r="K17" s="2" t="s">
        <v>21</v>
      </c>
      <c r="L17" s="2" t="s">
        <v>418</v>
      </c>
      <c r="M17" s="96">
        <v>43374.0</v>
      </c>
      <c r="N17" s="17" t="s">
        <v>430</v>
      </c>
      <c r="O17" s="2" t="s">
        <v>32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>
      <c r="A18" s="7"/>
      <c r="B18" s="8" t="s">
        <v>65</v>
      </c>
      <c r="C18" s="9">
        <f t="shared" si="2"/>
        <v>14014</v>
      </c>
      <c r="D18" s="10" t="s">
        <v>35</v>
      </c>
      <c r="E18" s="11" t="s">
        <v>431</v>
      </c>
      <c r="F18" s="2" t="s">
        <v>25</v>
      </c>
      <c r="G18" s="2" t="s">
        <v>26</v>
      </c>
      <c r="H18" s="2" t="s">
        <v>18</v>
      </c>
      <c r="I18" s="12" t="s">
        <v>432</v>
      </c>
      <c r="J18" s="2" t="s">
        <v>118</v>
      </c>
      <c r="K18" s="2" t="s">
        <v>21</v>
      </c>
      <c r="L18" s="2" t="s">
        <v>418</v>
      </c>
      <c r="M18" s="96">
        <v>43375.0</v>
      </c>
      <c r="N18" s="17" t="s">
        <v>433</v>
      </c>
      <c r="O18" s="2" t="s">
        <v>32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>
      <c r="A19" s="7"/>
      <c r="B19" s="8" t="s">
        <v>71</v>
      </c>
      <c r="C19" s="9">
        <f t="shared" si="2"/>
        <v>14015</v>
      </c>
      <c r="D19" s="10" t="s">
        <v>14</v>
      </c>
      <c r="E19" s="11" t="s">
        <v>434</v>
      </c>
      <c r="F19" s="2" t="s">
        <v>25</v>
      </c>
      <c r="G19" s="2" t="s">
        <v>26</v>
      </c>
      <c r="H19" s="2" t="s">
        <v>18</v>
      </c>
      <c r="I19" s="12" t="s">
        <v>432</v>
      </c>
      <c r="J19" s="2" t="s">
        <v>435</v>
      </c>
      <c r="K19" s="2" t="s">
        <v>21</v>
      </c>
      <c r="L19" s="86" t="s">
        <v>86</v>
      </c>
      <c r="M19" s="96">
        <v>43376.0</v>
      </c>
      <c r="N19" s="17" t="s">
        <v>436</v>
      </c>
      <c r="O19" s="2" t="s">
        <v>32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>
      <c r="A20" s="7"/>
      <c r="B20" s="8" t="s">
        <v>72</v>
      </c>
      <c r="C20" s="9">
        <f t="shared" si="2"/>
        <v>14016</v>
      </c>
      <c r="D20" s="10" t="s">
        <v>14</v>
      </c>
      <c r="E20" s="11" t="s">
        <v>437</v>
      </c>
      <c r="F20" s="2" t="s">
        <v>25</v>
      </c>
      <c r="G20" s="2" t="s">
        <v>26</v>
      </c>
      <c r="H20" s="2" t="s">
        <v>18</v>
      </c>
      <c r="I20" s="12" t="s">
        <v>438</v>
      </c>
      <c r="J20" s="2" t="s">
        <v>439</v>
      </c>
      <c r="K20" s="2" t="s">
        <v>21</v>
      </c>
      <c r="L20" s="86" t="s">
        <v>86</v>
      </c>
      <c r="M20" s="96">
        <v>43377.0</v>
      </c>
      <c r="N20" s="17" t="s">
        <v>440</v>
      </c>
      <c r="O20" s="2" t="s">
        <v>32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>
      <c r="A21" s="7"/>
      <c r="B21" s="8" t="s">
        <v>73</v>
      </c>
      <c r="C21" s="9">
        <f t="shared" si="2"/>
        <v>14017</v>
      </c>
      <c r="D21" s="10" t="s">
        <v>14</v>
      </c>
      <c r="E21" s="11" t="s">
        <v>441</v>
      </c>
      <c r="F21" s="2" t="s">
        <v>25</v>
      </c>
      <c r="G21" s="2" t="s">
        <v>26</v>
      </c>
      <c r="H21" s="2" t="s">
        <v>18</v>
      </c>
      <c r="I21" s="12" t="s">
        <v>442</v>
      </c>
      <c r="J21" s="2" t="s">
        <v>118</v>
      </c>
      <c r="K21" s="2" t="s">
        <v>443</v>
      </c>
      <c r="L21" s="86" t="s">
        <v>86</v>
      </c>
      <c r="M21" s="96">
        <v>43378.0</v>
      </c>
      <c r="N21" s="17" t="s">
        <v>444</v>
      </c>
      <c r="O21" s="2" t="s">
        <v>32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>
      <c r="A22" s="7"/>
      <c r="B22" s="8" t="s">
        <v>75</v>
      </c>
      <c r="C22" s="9">
        <f t="shared" si="2"/>
        <v>14018</v>
      </c>
      <c r="D22" s="10" t="s">
        <v>43</v>
      </c>
      <c r="E22" s="11" t="s">
        <v>445</v>
      </c>
      <c r="F22" s="2" t="s">
        <v>25</v>
      </c>
      <c r="G22" s="2" t="s">
        <v>446</v>
      </c>
      <c r="H22" s="2" t="s">
        <v>18</v>
      </c>
      <c r="I22" s="12" t="s">
        <v>447</v>
      </c>
      <c r="J22" s="2" t="s">
        <v>448</v>
      </c>
      <c r="K22" s="2" t="s">
        <v>21</v>
      </c>
      <c r="L22" s="2" t="s">
        <v>54</v>
      </c>
      <c r="M22" s="21">
        <v>43395.0</v>
      </c>
      <c r="N22" s="17" t="s">
        <v>449</v>
      </c>
      <c r="O22" s="2" t="s">
        <v>32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>
      <c r="A23" s="7"/>
      <c r="B23" s="8" t="s">
        <v>79</v>
      </c>
      <c r="C23" s="9">
        <f t="shared" si="2"/>
        <v>14019</v>
      </c>
      <c r="D23" s="10" t="s">
        <v>14</v>
      </c>
      <c r="E23" s="11" t="s">
        <v>450</v>
      </c>
      <c r="F23" s="2" t="s">
        <v>25</v>
      </c>
      <c r="G23" s="2" t="s">
        <v>446</v>
      </c>
      <c r="H23" s="2" t="s">
        <v>18</v>
      </c>
      <c r="I23" s="97" t="s">
        <v>451</v>
      </c>
      <c r="J23" s="2" t="s">
        <v>452</v>
      </c>
      <c r="K23" s="2" t="s">
        <v>21</v>
      </c>
      <c r="L23" s="2" t="s">
        <v>38</v>
      </c>
      <c r="M23" s="21">
        <v>43374.0</v>
      </c>
      <c r="N23" s="17" t="s">
        <v>453</v>
      </c>
      <c r="O23" s="2" t="s">
        <v>454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>
      <c r="A24" s="7"/>
      <c r="B24" s="8" t="s">
        <v>80</v>
      </c>
      <c r="C24" s="9">
        <f t="shared" si="2"/>
        <v>14020</v>
      </c>
      <c r="D24" s="10" t="s">
        <v>14</v>
      </c>
      <c r="E24" s="23" t="s">
        <v>455</v>
      </c>
      <c r="F24" s="2" t="s">
        <v>25</v>
      </c>
      <c r="G24" s="2" t="s">
        <v>446</v>
      </c>
      <c r="H24" s="2" t="s">
        <v>18</v>
      </c>
      <c r="I24" s="12" t="s">
        <v>456</v>
      </c>
      <c r="J24" s="2" t="s">
        <v>452</v>
      </c>
      <c r="K24" s="2" t="s">
        <v>21</v>
      </c>
      <c r="L24" s="86" t="s">
        <v>86</v>
      </c>
      <c r="M24" s="98">
        <v>43477.0</v>
      </c>
      <c r="N24" s="95" t="str">
        <f>HYPERLINK("https://drive.google.com/open?id=1wQ6QNGc3aF6TLr0OV7clUUrt8Y7wsu_O","https://drive.google.com/open?id=1wQ6QNGc3aF6TLr0OV7clUUrt8Y7wsu_O")</f>
        <v>https://drive.google.com/open?id=1wQ6QNGc3aF6TLr0OV7clUUrt8Y7wsu_O</v>
      </c>
      <c r="O24" s="2" t="s">
        <v>454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>
      <c r="A25" s="7"/>
      <c r="B25" s="8" t="s">
        <v>81</v>
      </c>
      <c r="C25" s="9">
        <f t="shared" si="2"/>
        <v>14021</v>
      </c>
      <c r="D25" s="10" t="s">
        <v>35</v>
      </c>
      <c r="E25" s="23" t="s">
        <v>457</v>
      </c>
      <c r="F25" s="2" t="s">
        <v>25</v>
      </c>
      <c r="G25" s="2" t="s">
        <v>446</v>
      </c>
      <c r="H25" s="2" t="s">
        <v>18</v>
      </c>
      <c r="I25" s="12" t="s">
        <v>458</v>
      </c>
      <c r="J25" s="2" t="s">
        <v>452</v>
      </c>
      <c r="K25" s="2" t="s">
        <v>21</v>
      </c>
      <c r="L25" s="86" t="s">
        <v>86</v>
      </c>
      <c r="M25" s="21">
        <v>43484.0</v>
      </c>
      <c r="N25" s="17" t="s">
        <v>459</v>
      </c>
      <c r="O25" s="2" t="s">
        <v>454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>
      <c r="A26" s="7"/>
      <c r="B26" s="8" t="s">
        <v>88</v>
      </c>
      <c r="C26" s="9">
        <f t="shared" si="2"/>
        <v>14022</v>
      </c>
      <c r="D26" s="10" t="s">
        <v>90</v>
      </c>
      <c r="E26" s="23" t="s">
        <v>460</v>
      </c>
      <c r="F26" s="2" t="s">
        <v>25</v>
      </c>
      <c r="G26" s="2" t="s">
        <v>446</v>
      </c>
      <c r="H26" s="2" t="s">
        <v>18</v>
      </c>
      <c r="I26" s="12"/>
      <c r="J26" s="2" t="s">
        <v>461</v>
      </c>
      <c r="K26" s="2" t="s">
        <v>21</v>
      </c>
      <c r="L26" s="2" t="s">
        <v>54</v>
      </c>
      <c r="M26" s="21"/>
      <c r="N26" s="17" t="s">
        <v>462</v>
      </c>
      <c r="O26" s="2" t="s">
        <v>96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>
      <c r="A27" s="7"/>
      <c r="B27" s="8" t="s">
        <v>89</v>
      </c>
      <c r="C27" s="9">
        <f t="shared" si="2"/>
        <v>14023</v>
      </c>
      <c r="D27" s="10" t="s">
        <v>14</v>
      </c>
      <c r="E27" s="23" t="s">
        <v>463</v>
      </c>
      <c r="F27" s="2" t="s">
        <v>25</v>
      </c>
      <c r="G27" s="2" t="s">
        <v>446</v>
      </c>
      <c r="H27" s="2" t="s">
        <v>18</v>
      </c>
      <c r="I27" s="12" t="s">
        <v>464</v>
      </c>
      <c r="J27" s="2" t="s">
        <v>465</v>
      </c>
      <c r="K27" s="2" t="s">
        <v>21</v>
      </c>
      <c r="L27" s="2" t="s">
        <v>406</v>
      </c>
      <c r="M27" s="21">
        <v>43487.0</v>
      </c>
      <c r="N27" s="17" t="s">
        <v>466</v>
      </c>
      <c r="O27" s="2" t="s">
        <v>96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>
      <c r="A28" s="7"/>
      <c r="B28" s="8" t="s">
        <v>93</v>
      </c>
      <c r="C28" s="9">
        <f t="shared" si="2"/>
        <v>14024</v>
      </c>
      <c r="D28" s="10" t="s">
        <v>14</v>
      </c>
      <c r="E28" s="23" t="s">
        <v>467</v>
      </c>
      <c r="F28" s="2" t="s">
        <v>25</v>
      </c>
      <c r="G28" s="2" t="s">
        <v>446</v>
      </c>
      <c r="H28" s="2" t="s">
        <v>18</v>
      </c>
      <c r="I28" s="12"/>
      <c r="J28" s="2" t="s">
        <v>468</v>
      </c>
      <c r="K28" s="2" t="s">
        <v>21</v>
      </c>
      <c r="L28" s="2" t="s">
        <v>406</v>
      </c>
      <c r="M28" s="21">
        <v>43487.0</v>
      </c>
      <c r="N28" s="99" t="s">
        <v>469</v>
      </c>
      <c r="O28" s="2" t="s">
        <v>96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>
      <c r="A29" s="7"/>
      <c r="B29" s="8" t="s">
        <v>94</v>
      </c>
      <c r="C29" s="9">
        <f t="shared" si="2"/>
        <v>14025</v>
      </c>
      <c r="D29" s="10" t="s">
        <v>14</v>
      </c>
      <c r="E29" s="23" t="s">
        <v>470</v>
      </c>
      <c r="F29" s="2" t="s">
        <v>25</v>
      </c>
      <c r="G29" s="2" t="s">
        <v>446</v>
      </c>
      <c r="H29" s="2" t="s">
        <v>18</v>
      </c>
      <c r="I29" s="12"/>
      <c r="M29" s="21"/>
      <c r="N29" s="24"/>
      <c r="O29" s="18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>
      <c r="A30" s="7"/>
      <c r="B30" s="8" t="s">
        <v>95</v>
      </c>
      <c r="C30" s="9">
        <f t="shared" si="2"/>
        <v>14026</v>
      </c>
      <c r="D30" s="10" t="s">
        <v>415</v>
      </c>
      <c r="E30" s="11" t="s">
        <v>471</v>
      </c>
      <c r="F30" s="2" t="s">
        <v>25</v>
      </c>
      <c r="G30" s="2" t="s">
        <v>446</v>
      </c>
      <c r="H30" s="2" t="s">
        <v>18</v>
      </c>
      <c r="I30" s="12" t="s">
        <v>472</v>
      </c>
      <c r="J30" s="2" t="s">
        <v>461</v>
      </c>
      <c r="K30" s="2" t="s">
        <v>21</v>
      </c>
      <c r="L30" s="86" t="s">
        <v>86</v>
      </c>
      <c r="M30" s="26">
        <v>43491.0</v>
      </c>
      <c r="N30" s="95" t="s">
        <v>473</v>
      </c>
      <c r="O30" s="2" t="s">
        <v>96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>
      <c r="A31" s="7"/>
      <c r="B31" s="8" t="s">
        <v>97</v>
      </c>
      <c r="C31" s="9">
        <f t="shared" si="2"/>
        <v>14029</v>
      </c>
      <c r="D31" s="10" t="s">
        <v>90</v>
      </c>
      <c r="E31" s="11" t="s">
        <v>474</v>
      </c>
      <c r="F31" s="2" t="s">
        <v>25</v>
      </c>
      <c r="G31" s="2" t="s">
        <v>446</v>
      </c>
      <c r="H31" s="2" t="s">
        <v>18</v>
      </c>
      <c r="I31" s="12" t="s">
        <v>475</v>
      </c>
      <c r="J31" s="2" t="s">
        <v>461</v>
      </c>
      <c r="K31" s="2" t="s">
        <v>21</v>
      </c>
      <c r="L31" s="86" t="s">
        <v>86</v>
      </c>
      <c r="M31" s="26">
        <v>43491.0</v>
      </c>
      <c r="N31" s="95" t="s">
        <v>476</v>
      </c>
      <c r="O31" s="2" t="s">
        <v>96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>
      <c r="A32" s="7"/>
      <c r="B32" s="8" t="s">
        <v>102</v>
      </c>
      <c r="C32" s="9">
        <f t="shared" si="2"/>
        <v>14030</v>
      </c>
      <c r="D32" s="10" t="s">
        <v>35</v>
      </c>
      <c r="E32" s="11" t="s">
        <v>477</v>
      </c>
      <c r="F32" s="2" t="s">
        <v>25</v>
      </c>
      <c r="G32" s="2" t="s">
        <v>446</v>
      </c>
      <c r="H32" s="2" t="s">
        <v>18</v>
      </c>
      <c r="I32" s="12" t="s">
        <v>478</v>
      </c>
      <c r="J32" s="2" t="s">
        <v>461</v>
      </c>
      <c r="K32" s="2" t="s">
        <v>21</v>
      </c>
      <c r="L32" s="86" t="s">
        <v>86</v>
      </c>
      <c r="M32" s="26">
        <v>43491.0</v>
      </c>
      <c r="N32" s="95" t="s">
        <v>479</v>
      </c>
      <c r="O32" s="2" t="s">
        <v>96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>
      <c r="A33" s="7"/>
      <c r="B33" s="8" t="s">
        <v>103</v>
      </c>
      <c r="C33" s="9">
        <f t="shared" si="2"/>
        <v>14031</v>
      </c>
      <c r="D33" s="10" t="s">
        <v>14</v>
      </c>
      <c r="E33" s="11" t="s">
        <v>480</v>
      </c>
      <c r="F33" s="2" t="s">
        <v>25</v>
      </c>
      <c r="G33" s="2" t="s">
        <v>446</v>
      </c>
      <c r="H33" s="2" t="s">
        <v>18</v>
      </c>
      <c r="I33" s="12" t="s">
        <v>481</v>
      </c>
      <c r="J33" s="2" t="s">
        <v>465</v>
      </c>
      <c r="K33" s="2" t="s">
        <v>21</v>
      </c>
      <c r="L33" s="2" t="s">
        <v>77</v>
      </c>
      <c r="M33" s="26">
        <v>43500.0</v>
      </c>
      <c r="N33" s="17" t="s">
        <v>482</v>
      </c>
      <c r="O33" s="2" t="s">
        <v>96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>
      <c r="A34" s="7"/>
      <c r="B34" s="8" t="s">
        <v>104</v>
      </c>
      <c r="C34" s="9">
        <f t="shared" si="2"/>
        <v>14032</v>
      </c>
      <c r="D34" s="10" t="s">
        <v>14</v>
      </c>
      <c r="E34" s="11" t="s">
        <v>483</v>
      </c>
      <c r="F34" s="2" t="s">
        <v>25</v>
      </c>
      <c r="G34" s="2" t="s">
        <v>446</v>
      </c>
      <c r="H34" s="2" t="s">
        <v>18</v>
      </c>
      <c r="I34" s="12" t="s">
        <v>484</v>
      </c>
      <c r="J34" s="2" t="s">
        <v>485</v>
      </c>
      <c r="K34" s="2" t="s">
        <v>21</v>
      </c>
      <c r="L34" s="2" t="s">
        <v>54</v>
      </c>
      <c r="M34" s="26">
        <v>43496.0</v>
      </c>
      <c r="N34" s="17" t="s">
        <v>486</v>
      </c>
      <c r="O34" s="2" t="s">
        <v>96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>
      <c r="A35" s="7"/>
      <c r="B35" s="8" t="s">
        <v>105</v>
      </c>
      <c r="C35" s="9">
        <f t="shared" si="2"/>
        <v>14033</v>
      </c>
      <c r="D35" s="10" t="s">
        <v>14</v>
      </c>
      <c r="E35" s="11" t="s">
        <v>487</v>
      </c>
      <c r="F35" s="2" t="s">
        <v>25</v>
      </c>
      <c r="G35" s="2" t="s">
        <v>446</v>
      </c>
      <c r="H35" s="88" t="s">
        <v>18</v>
      </c>
      <c r="I35" s="12" t="s">
        <v>488</v>
      </c>
      <c r="J35" s="2" t="s">
        <v>485</v>
      </c>
      <c r="K35" s="2" t="s">
        <v>21</v>
      </c>
      <c r="L35" s="2" t="s">
        <v>54</v>
      </c>
      <c r="M35" s="26">
        <v>43496.0</v>
      </c>
      <c r="N35" s="17" t="s">
        <v>486</v>
      </c>
      <c r="O35" s="2" t="s">
        <v>96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>
      <c r="A36" s="7"/>
      <c r="B36" s="8" t="s">
        <v>106</v>
      </c>
      <c r="C36" s="9">
        <f t="shared" si="2"/>
        <v>14034</v>
      </c>
      <c r="D36" s="10" t="s">
        <v>14</v>
      </c>
      <c r="E36" s="11" t="s">
        <v>489</v>
      </c>
      <c r="F36" s="2" t="s">
        <v>25</v>
      </c>
      <c r="G36" s="2" t="s">
        <v>446</v>
      </c>
      <c r="H36" s="2" t="s">
        <v>18</v>
      </c>
      <c r="I36" s="12" t="s">
        <v>490</v>
      </c>
      <c r="J36" s="2" t="s">
        <v>485</v>
      </c>
      <c r="K36" s="2" t="s">
        <v>21</v>
      </c>
      <c r="L36" s="2" t="s">
        <v>54</v>
      </c>
      <c r="M36" s="26">
        <v>43496.0</v>
      </c>
      <c r="N36" s="17" t="s">
        <v>486</v>
      </c>
      <c r="O36" s="2" t="s">
        <v>96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>
      <c r="A37" s="7"/>
      <c r="B37" s="8" t="s">
        <v>107</v>
      </c>
      <c r="C37" s="9">
        <f t="shared" si="2"/>
        <v>14035</v>
      </c>
      <c r="D37" s="10" t="s">
        <v>14</v>
      </c>
      <c r="E37" s="11" t="s">
        <v>491</v>
      </c>
      <c r="F37" s="2" t="s">
        <v>25</v>
      </c>
      <c r="G37" s="2" t="s">
        <v>446</v>
      </c>
      <c r="H37" s="2" t="s">
        <v>18</v>
      </c>
      <c r="I37" s="12" t="s">
        <v>492</v>
      </c>
      <c r="J37" s="2" t="s">
        <v>461</v>
      </c>
      <c r="K37" s="2" t="s">
        <v>21</v>
      </c>
      <c r="L37" s="2" t="s">
        <v>86</v>
      </c>
      <c r="M37" s="26">
        <v>43498.0</v>
      </c>
      <c r="N37" s="17" t="s">
        <v>493</v>
      </c>
      <c r="O37" s="2" t="s">
        <v>96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>
      <c r="A38" s="7"/>
      <c r="B38" s="8" t="s">
        <v>110</v>
      </c>
      <c r="C38" s="9">
        <f t="shared" si="2"/>
        <v>14036</v>
      </c>
      <c r="D38" s="10" t="s">
        <v>14</v>
      </c>
      <c r="E38" s="11" t="s">
        <v>494</v>
      </c>
      <c r="F38" s="2" t="s">
        <v>25</v>
      </c>
      <c r="G38" s="2" t="s">
        <v>446</v>
      </c>
      <c r="H38" s="2" t="s">
        <v>18</v>
      </c>
      <c r="I38" s="12" t="s">
        <v>492</v>
      </c>
      <c r="J38" s="2" t="s">
        <v>461</v>
      </c>
      <c r="K38" s="2" t="s">
        <v>21</v>
      </c>
      <c r="L38" s="2" t="s">
        <v>86</v>
      </c>
      <c r="M38" s="26">
        <v>43498.0</v>
      </c>
      <c r="N38" s="17" t="s">
        <v>495</v>
      </c>
      <c r="O38" s="2" t="s">
        <v>96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>
      <c r="A39" s="7"/>
      <c r="B39" s="8" t="s">
        <v>113</v>
      </c>
      <c r="C39" s="9">
        <f t="shared" si="2"/>
        <v>14037</v>
      </c>
      <c r="D39" s="10" t="s">
        <v>14</v>
      </c>
      <c r="E39" s="11" t="s">
        <v>496</v>
      </c>
      <c r="F39" s="2" t="s">
        <v>25</v>
      </c>
      <c r="G39" s="2" t="s">
        <v>446</v>
      </c>
      <c r="H39" s="2" t="s">
        <v>18</v>
      </c>
      <c r="I39" s="12" t="s">
        <v>497</v>
      </c>
      <c r="J39" s="2" t="s">
        <v>461</v>
      </c>
      <c r="K39" s="2" t="s">
        <v>21</v>
      </c>
      <c r="L39" s="2" t="s">
        <v>86</v>
      </c>
      <c r="M39" s="26">
        <v>43498.0</v>
      </c>
      <c r="N39" s="17" t="s">
        <v>498</v>
      </c>
      <c r="O39" s="2" t="s">
        <v>96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>
      <c r="A40" s="7"/>
      <c r="B40" s="8" t="s">
        <v>114</v>
      </c>
      <c r="C40" s="9">
        <f t="shared" si="2"/>
        <v>14038</v>
      </c>
      <c r="D40" s="10" t="s">
        <v>14</v>
      </c>
      <c r="E40" s="11" t="s">
        <v>499</v>
      </c>
      <c r="F40" s="2" t="s">
        <v>25</v>
      </c>
      <c r="G40" s="2" t="s">
        <v>446</v>
      </c>
      <c r="H40" s="2" t="s">
        <v>18</v>
      </c>
      <c r="I40" s="12" t="s">
        <v>497</v>
      </c>
      <c r="J40" s="2" t="s">
        <v>461</v>
      </c>
      <c r="K40" s="2" t="s">
        <v>21</v>
      </c>
      <c r="L40" s="2" t="s">
        <v>86</v>
      </c>
      <c r="M40" s="26">
        <v>43498.0</v>
      </c>
      <c r="N40" s="17" t="s">
        <v>500</v>
      </c>
      <c r="O40" s="2" t="s">
        <v>96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>
      <c r="A41" s="7"/>
      <c r="B41" s="8" t="s">
        <v>116</v>
      </c>
      <c r="C41" s="9">
        <f t="shared" si="2"/>
        <v>14039</v>
      </c>
      <c r="D41" s="10" t="s">
        <v>14</v>
      </c>
      <c r="E41" s="11" t="s">
        <v>501</v>
      </c>
      <c r="F41" s="2" t="s">
        <v>25</v>
      </c>
      <c r="G41" s="2" t="s">
        <v>446</v>
      </c>
      <c r="H41" s="2" t="s">
        <v>18</v>
      </c>
      <c r="I41" s="12" t="s">
        <v>502</v>
      </c>
      <c r="J41" s="2" t="s">
        <v>465</v>
      </c>
      <c r="K41" s="2" t="s">
        <v>21</v>
      </c>
      <c r="L41" s="2" t="s">
        <v>77</v>
      </c>
      <c r="M41" s="26">
        <v>43500.0</v>
      </c>
      <c r="N41" s="17" t="s">
        <v>503</v>
      </c>
      <c r="O41" s="2" t="s">
        <v>96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>
      <c r="A42" s="7"/>
      <c r="B42" s="8" t="s">
        <v>123</v>
      </c>
      <c r="C42" s="9">
        <f t="shared" si="2"/>
        <v>14040</v>
      </c>
      <c r="D42" s="10" t="s">
        <v>43</v>
      </c>
      <c r="E42" s="11" t="s">
        <v>504</v>
      </c>
      <c r="F42" s="2" t="s">
        <v>25</v>
      </c>
      <c r="G42" s="2" t="s">
        <v>446</v>
      </c>
      <c r="H42" s="2" t="s">
        <v>18</v>
      </c>
      <c r="I42" s="12" t="s">
        <v>505</v>
      </c>
      <c r="J42" s="2" t="s">
        <v>468</v>
      </c>
      <c r="K42" s="2" t="s">
        <v>21</v>
      </c>
      <c r="L42" s="2" t="s">
        <v>77</v>
      </c>
      <c r="M42" s="26">
        <v>43500.0</v>
      </c>
      <c r="N42" s="17" t="s">
        <v>506</v>
      </c>
      <c r="O42" s="2" t="s">
        <v>96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>
      <c r="A43" s="7"/>
      <c r="B43" s="8" t="s">
        <v>125</v>
      </c>
      <c r="C43" s="9">
        <f t="shared" si="2"/>
        <v>14041</v>
      </c>
      <c r="D43" s="10" t="s">
        <v>14</v>
      </c>
      <c r="E43" s="11" t="s">
        <v>507</v>
      </c>
      <c r="F43" s="2" t="s">
        <v>25</v>
      </c>
      <c r="G43" s="2" t="s">
        <v>446</v>
      </c>
      <c r="H43" s="2" t="s">
        <v>18</v>
      </c>
      <c r="I43" s="12" t="s">
        <v>508</v>
      </c>
      <c r="J43" s="2" t="s">
        <v>485</v>
      </c>
      <c r="K43" s="2" t="s">
        <v>21</v>
      </c>
      <c r="L43" s="2" t="s">
        <v>418</v>
      </c>
      <c r="M43" s="26">
        <v>43501.0</v>
      </c>
      <c r="N43" s="17" t="s">
        <v>486</v>
      </c>
      <c r="O43" s="2" t="s">
        <v>96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>
      <c r="A44" s="7"/>
      <c r="B44" s="8" t="s">
        <v>126</v>
      </c>
      <c r="C44" s="9">
        <f t="shared" si="2"/>
        <v>14042</v>
      </c>
      <c r="D44" s="10" t="s">
        <v>43</v>
      </c>
      <c r="E44" s="100" t="s">
        <v>509</v>
      </c>
      <c r="F44" s="2" t="s">
        <v>25</v>
      </c>
      <c r="G44" s="2" t="s">
        <v>446</v>
      </c>
      <c r="H44" s="2" t="s">
        <v>18</v>
      </c>
      <c r="I44" s="12" t="s">
        <v>510</v>
      </c>
      <c r="J44" s="2" t="s">
        <v>461</v>
      </c>
      <c r="K44" s="2" t="s">
        <v>21</v>
      </c>
      <c r="L44" s="2" t="s">
        <v>111</v>
      </c>
      <c r="M44" s="26">
        <v>43501.0</v>
      </c>
      <c r="N44" s="101"/>
      <c r="O44" s="2" t="s">
        <v>96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>
      <c r="A45" s="7"/>
      <c r="B45" s="8" t="s">
        <v>127</v>
      </c>
      <c r="C45" s="9">
        <f t="shared" si="2"/>
        <v>14043</v>
      </c>
      <c r="D45" s="10" t="s">
        <v>43</v>
      </c>
      <c r="E45" s="100" t="s">
        <v>511</v>
      </c>
      <c r="F45" s="2" t="s">
        <v>25</v>
      </c>
      <c r="G45" s="2" t="s">
        <v>446</v>
      </c>
      <c r="H45" s="2" t="s">
        <v>18</v>
      </c>
      <c r="I45" s="12" t="s">
        <v>512</v>
      </c>
      <c r="J45" s="2" t="s">
        <v>461</v>
      </c>
      <c r="K45" s="2" t="s">
        <v>21</v>
      </c>
      <c r="L45" s="2" t="s">
        <v>111</v>
      </c>
      <c r="M45" s="26">
        <v>43501.0</v>
      </c>
      <c r="N45" s="101"/>
      <c r="O45" s="2" t="s">
        <v>96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>
      <c r="A46" s="7"/>
      <c r="B46" s="8" t="s">
        <v>128</v>
      </c>
      <c r="C46" s="9">
        <f t="shared" si="2"/>
        <v>14044</v>
      </c>
      <c r="D46" s="10" t="s">
        <v>14</v>
      </c>
      <c r="E46" s="100" t="s">
        <v>513</v>
      </c>
      <c r="F46" s="2" t="s">
        <v>25</v>
      </c>
      <c r="G46" s="2" t="s">
        <v>446</v>
      </c>
      <c r="H46" s="2" t="s">
        <v>18</v>
      </c>
      <c r="I46" s="12" t="s">
        <v>514</v>
      </c>
      <c r="J46" s="2" t="s">
        <v>515</v>
      </c>
      <c r="K46" s="2" t="s">
        <v>21</v>
      </c>
      <c r="L46" s="2" t="s">
        <v>111</v>
      </c>
      <c r="M46" s="26">
        <v>43505.0</v>
      </c>
      <c r="N46" s="102" t="s">
        <v>516</v>
      </c>
      <c r="O46" s="2" t="s">
        <v>96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>
      <c r="A47" s="7"/>
      <c r="B47" s="8" t="s">
        <v>129</v>
      </c>
      <c r="C47" s="9">
        <f t="shared" si="2"/>
        <v>14045</v>
      </c>
      <c r="D47" s="10" t="s">
        <v>14</v>
      </c>
      <c r="E47" s="100" t="s">
        <v>517</v>
      </c>
      <c r="F47" s="2" t="s">
        <v>25</v>
      </c>
      <c r="G47" s="2" t="s">
        <v>446</v>
      </c>
      <c r="H47" s="2" t="s">
        <v>18</v>
      </c>
      <c r="I47" s="12" t="s">
        <v>518</v>
      </c>
      <c r="J47" s="2" t="s">
        <v>422</v>
      </c>
      <c r="K47" s="2" t="s">
        <v>21</v>
      </c>
      <c r="L47" s="2" t="s">
        <v>54</v>
      </c>
      <c r="M47" s="26">
        <v>43507.0</v>
      </c>
      <c r="N47" s="101"/>
      <c r="O47" s="2" t="s">
        <v>96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>
      <c r="A48" s="7"/>
      <c r="B48" s="8" t="s">
        <v>130</v>
      </c>
      <c r="C48" s="9">
        <f t="shared" si="2"/>
        <v>14046</v>
      </c>
      <c r="D48" s="10" t="s">
        <v>14</v>
      </c>
      <c r="E48" s="100" t="s">
        <v>519</v>
      </c>
      <c r="F48" s="2" t="s">
        <v>25</v>
      </c>
      <c r="G48" s="2" t="s">
        <v>446</v>
      </c>
      <c r="H48" s="2" t="s">
        <v>18</v>
      </c>
      <c r="I48" s="12" t="s">
        <v>520</v>
      </c>
      <c r="J48" s="2" t="s">
        <v>461</v>
      </c>
      <c r="K48" s="2" t="s">
        <v>21</v>
      </c>
      <c r="L48" s="2" t="s">
        <v>111</v>
      </c>
      <c r="M48" s="26">
        <v>43512.0</v>
      </c>
      <c r="N48" s="101"/>
      <c r="O48" s="2" t="s">
        <v>96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>
      <c r="A49" s="7"/>
      <c r="B49" s="8" t="s">
        <v>131</v>
      </c>
      <c r="C49" s="9">
        <f t="shared" si="2"/>
        <v>14047</v>
      </c>
      <c r="D49" s="10" t="s">
        <v>43</v>
      </c>
      <c r="E49" s="100" t="s">
        <v>521</v>
      </c>
      <c r="F49" s="2" t="s">
        <v>25</v>
      </c>
      <c r="G49" s="2" t="s">
        <v>446</v>
      </c>
      <c r="H49" s="2" t="s">
        <v>18</v>
      </c>
      <c r="I49" s="12" t="s">
        <v>522</v>
      </c>
      <c r="J49" s="2" t="s">
        <v>461</v>
      </c>
      <c r="K49" s="2" t="s">
        <v>21</v>
      </c>
      <c r="L49" s="2" t="s">
        <v>111</v>
      </c>
      <c r="M49" s="26">
        <v>43515.0</v>
      </c>
      <c r="N49" s="102" t="s">
        <v>523</v>
      </c>
      <c r="O49" s="2" t="s">
        <v>96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>
      <c r="A50" s="7"/>
      <c r="B50" s="8" t="s">
        <v>132</v>
      </c>
      <c r="C50" s="9">
        <f t="shared" si="2"/>
        <v>14048</v>
      </c>
      <c r="D50" s="10" t="s">
        <v>14</v>
      </c>
      <c r="E50" s="100" t="s">
        <v>524</v>
      </c>
      <c r="F50" s="2" t="s">
        <v>25</v>
      </c>
      <c r="G50" s="2" t="s">
        <v>446</v>
      </c>
      <c r="H50" s="2" t="s">
        <v>18</v>
      </c>
      <c r="I50" s="12" t="s">
        <v>525</v>
      </c>
      <c r="J50" s="2" t="s">
        <v>118</v>
      </c>
      <c r="K50" s="2" t="s">
        <v>21</v>
      </c>
      <c r="L50" s="2" t="s">
        <v>384</v>
      </c>
      <c r="M50" s="26">
        <v>43497.0</v>
      </c>
      <c r="N50" s="102" t="s">
        <v>526</v>
      </c>
      <c r="O50" s="2" t="s">
        <v>381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>
      <c r="A51" s="7"/>
      <c r="B51" s="8" t="s">
        <v>133</v>
      </c>
      <c r="C51" s="9">
        <f t="shared" si="2"/>
        <v>14049</v>
      </c>
      <c r="D51" s="10" t="s">
        <v>14</v>
      </c>
      <c r="E51" s="100" t="s">
        <v>527</v>
      </c>
      <c r="F51" s="85" t="s">
        <v>25</v>
      </c>
      <c r="G51" s="2" t="s">
        <v>446</v>
      </c>
      <c r="H51" s="2" t="s">
        <v>18</v>
      </c>
      <c r="I51" s="12" t="s">
        <v>528</v>
      </c>
      <c r="J51" s="2" t="s">
        <v>118</v>
      </c>
      <c r="K51" s="52" t="s">
        <v>21</v>
      </c>
      <c r="L51" s="2" t="s">
        <v>384</v>
      </c>
      <c r="M51" s="26">
        <v>43497.0</v>
      </c>
      <c r="N51" s="102" t="s">
        <v>529</v>
      </c>
      <c r="O51" s="2" t="s">
        <v>381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>
      <c r="A52" s="7"/>
      <c r="B52" s="8" t="s">
        <v>134</v>
      </c>
      <c r="C52" s="9">
        <f t="shared" si="2"/>
        <v>14050</v>
      </c>
      <c r="D52" s="10" t="s">
        <v>14</v>
      </c>
      <c r="E52" s="100" t="s">
        <v>530</v>
      </c>
      <c r="F52" s="85" t="s">
        <v>25</v>
      </c>
      <c r="G52" s="2" t="s">
        <v>446</v>
      </c>
      <c r="H52" s="2" t="s">
        <v>18</v>
      </c>
      <c r="I52" s="12" t="s">
        <v>531</v>
      </c>
      <c r="J52" s="2" t="s">
        <v>118</v>
      </c>
      <c r="K52" s="52" t="s">
        <v>21</v>
      </c>
      <c r="L52" s="2" t="s">
        <v>29</v>
      </c>
      <c r="M52" s="26">
        <v>43497.0</v>
      </c>
      <c r="N52" s="102" t="s">
        <v>532</v>
      </c>
      <c r="O52" s="2" t="s">
        <v>381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>
      <c r="A53" s="7"/>
      <c r="B53" s="8" t="s">
        <v>135</v>
      </c>
      <c r="C53" s="9">
        <f t="shared" si="2"/>
        <v>14051</v>
      </c>
      <c r="D53" s="10" t="s">
        <v>14</v>
      </c>
      <c r="E53" s="103" t="s">
        <v>533</v>
      </c>
      <c r="F53" s="85" t="s">
        <v>25</v>
      </c>
      <c r="G53" s="2" t="s">
        <v>446</v>
      </c>
      <c r="H53" s="2" t="s">
        <v>18</v>
      </c>
      <c r="I53" s="12" t="s">
        <v>534</v>
      </c>
      <c r="J53" s="2" t="s">
        <v>118</v>
      </c>
      <c r="K53" s="86" t="s">
        <v>21</v>
      </c>
      <c r="L53" s="2" t="s">
        <v>384</v>
      </c>
      <c r="M53" s="26">
        <v>43497.0</v>
      </c>
      <c r="N53" s="102" t="s">
        <v>535</v>
      </c>
      <c r="O53" s="2" t="s">
        <v>381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>
      <c r="A54" s="7"/>
      <c r="B54" s="8" t="s">
        <v>136</v>
      </c>
      <c r="C54" s="9">
        <f t="shared" si="2"/>
        <v>14052</v>
      </c>
      <c r="D54" s="10" t="s">
        <v>14</v>
      </c>
      <c r="E54" s="100" t="s">
        <v>536</v>
      </c>
      <c r="F54" s="85" t="s">
        <v>25</v>
      </c>
      <c r="G54" s="2" t="s">
        <v>446</v>
      </c>
      <c r="H54" s="2" t="s">
        <v>18</v>
      </c>
      <c r="I54" s="12" t="s">
        <v>537</v>
      </c>
      <c r="J54" s="2" t="s">
        <v>118</v>
      </c>
      <c r="K54" s="2" t="s">
        <v>21</v>
      </c>
      <c r="L54" s="2" t="s">
        <v>29</v>
      </c>
      <c r="M54" s="104">
        <v>43497.0</v>
      </c>
      <c r="N54" s="102" t="s">
        <v>538</v>
      </c>
      <c r="O54" s="2" t="s">
        <v>381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>
      <c r="A55" s="7"/>
      <c r="B55" s="8" t="s">
        <v>137</v>
      </c>
      <c r="C55" s="9">
        <f t="shared" si="2"/>
        <v>14053</v>
      </c>
      <c r="D55" s="10" t="s">
        <v>14</v>
      </c>
      <c r="E55" s="100" t="s">
        <v>539</v>
      </c>
      <c r="F55" s="85" t="s">
        <v>25</v>
      </c>
      <c r="G55" s="2" t="s">
        <v>446</v>
      </c>
      <c r="H55" s="2" t="s">
        <v>18</v>
      </c>
      <c r="I55" s="12" t="s">
        <v>539</v>
      </c>
      <c r="J55" s="2" t="s">
        <v>118</v>
      </c>
      <c r="K55" s="2" t="s">
        <v>21</v>
      </c>
      <c r="L55" s="2" t="s">
        <v>384</v>
      </c>
      <c r="M55" s="104">
        <v>43497.0</v>
      </c>
      <c r="N55" s="102" t="s">
        <v>540</v>
      </c>
      <c r="O55" s="2" t="s">
        <v>381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>
      <c r="A56" s="7"/>
      <c r="B56" s="8" t="s">
        <v>138</v>
      </c>
      <c r="C56" s="9">
        <f t="shared" si="2"/>
        <v>14054</v>
      </c>
      <c r="D56" s="10" t="s">
        <v>14</v>
      </c>
      <c r="E56" s="100" t="s">
        <v>541</v>
      </c>
      <c r="F56" s="85" t="s">
        <v>25</v>
      </c>
      <c r="G56" s="2" t="s">
        <v>446</v>
      </c>
      <c r="H56" s="2" t="s">
        <v>18</v>
      </c>
      <c r="I56" s="12" t="s">
        <v>542</v>
      </c>
      <c r="J56" s="2" t="s">
        <v>118</v>
      </c>
      <c r="K56" s="2" t="s">
        <v>21</v>
      </c>
      <c r="L56" s="2" t="s">
        <v>111</v>
      </c>
      <c r="M56" s="26">
        <v>43522.0</v>
      </c>
      <c r="N56" s="105" t="s">
        <v>543</v>
      </c>
      <c r="O56" s="2" t="s">
        <v>96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>
      <c r="A57" s="7"/>
      <c r="B57" s="8" t="s">
        <v>139</v>
      </c>
      <c r="C57" s="9">
        <f t="shared" si="2"/>
        <v>14055</v>
      </c>
      <c r="D57" s="10" t="s">
        <v>14</v>
      </c>
      <c r="E57" s="100" t="s">
        <v>544</v>
      </c>
      <c r="F57" s="85" t="s">
        <v>25</v>
      </c>
      <c r="G57" s="2" t="s">
        <v>446</v>
      </c>
      <c r="H57" s="2" t="s">
        <v>18</v>
      </c>
      <c r="I57" s="12" t="s">
        <v>545</v>
      </c>
      <c r="J57" s="2" t="s">
        <v>118</v>
      </c>
      <c r="K57" s="2" t="s">
        <v>21</v>
      </c>
      <c r="L57" s="2" t="s">
        <v>111</v>
      </c>
      <c r="M57" s="26">
        <v>43522.0</v>
      </c>
      <c r="N57" s="102" t="s">
        <v>546</v>
      </c>
      <c r="O57" s="2" t="s">
        <v>96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>
      <c r="A58" s="7"/>
      <c r="B58" s="8" t="s">
        <v>140</v>
      </c>
      <c r="C58" s="9">
        <f t="shared" si="2"/>
        <v>14056</v>
      </c>
      <c r="D58" s="10" t="s">
        <v>43</v>
      </c>
      <c r="E58" s="100" t="s">
        <v>547</v>
      </c>
      <c r="F58" s="85" t="s">
        <v>25</v>
      </c>
      <c r="G58" s="2" t="s">
        <v>446</v>
      </c>
      <c r="H58" s="2" t="s">
        <v>18</v>
      </c>
      <c r="I58" s="12" t="s">
        <v>545</v>
      </c>
      <c r="J58" s="2" t="s">
        <v>118</v>
      </c>
      <c r="K58" s="2" t="s">
        <v>21</v>
      </c>
      <c r="L58" s="2" t="s">
        <v>111</v>
      </c>
      <c r="M58" s="26">
        <v>43522.0</v>
      </c>
      <c r="N58" s="102" t="s">
        <v>548</v>
      </c>
      <c r="O58" s="2" t="s">
        <v>96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>
      <c r="A59" s="7"/>
      <c r="B59" s="8" t="s">
        <v>141</v>
      </c>
      <c r="C59" s="9">
        <f t="shared" si="2"/>
        <v>14057</v>
      </c>
      <c r="D59" s="10" t="s">
        <v>14</v>
      </c>
      <c r="E59" s="106" t="s">
        <v>549</v>
      </c>
      <c r="F59" s="85" t="s">
        <v>25</v>
      </c>
      <c r="G59" s="2" t="s">
        <v>446</v>
      </c>
      <c r="H59" s="2" t="s">
        <v>18</v>
      </c>
      <c r="I59" s="12" t="s">
        <v>550</v>
      </c>
      <c r="J59" s="2" t="s">
        <v>551</v>
      </c>
      <c r="K59" s="2" t="s">
        <v>21</v>
      </c>
      <c r="L59" s="2" t="s">
        <v>111</v>
      </c>
      <c r="M59" s="26">
        <v>43522.0</v>
      </c>
      <c r="N59" s="102" t="s">
        <v>552</v>
      </c>
      <c r="O59" s="2" t="s">
        <v>96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>
      <c r="A60" s="7"/>
      <c r="B60" s="8" t="s">
        <v>142</v>
      </c>
      <c r="C60" s="9">
        <f t="shared" si="2"/>
        <v>14058</v>
      </c>
      <c r="D60" s="10" t="s">
        <v>14</v>
      </c>
      <c r="E60" s="100" t="s">
        <v>553</v>
      </c>
      <c r="F60" s="85" t="s">
        <v>25</v>
      </c>
      <c r="G60" s="2" t="s">
        <v>446</v>
      </c>
      <c r="H60" s="2" t="s">
        <v>18</v>
      </c>
      <c r="I60" s="12" t="s">
        <v>554</v>
      </c>
      <c r="J60" s="2" t="s">
        <v>118</v>
      </c>
      <c r="K60" s="2" t="s">
        <v>21</v>
      </c>
      <c r="L60" s="2" t="s">
        <v>384</v>
      </c>
      <c r="M60" s="21">
        <v>43533.0</v>
      </c>
      <c r="N60" s="101"/>
      <c r="O60" s="2" t="s">
        <v>96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>
      <c r="A61" s="7"/>
      <c r="B61" s="8" t="s">
        <v>143</v>
      </c>
      <c r="C61" s="9">
        <f t="shared" si="2"/>
        <v>14059</v>
      </c>
      <c r="D61" s="10" t="s">
        <v>14</v>
      </c>
      <c r="E61" s="100" t="s">
        <v>555</v>
      </c>
      <c r="F61" s="2" t="s">
        <v>25</v>
      </c>
      <c r="G61" s="2" t="s">
        <v>446</v>
      </c>
      <c r="H61" s="2" t="s">
        <v>18</v>
      </c>
      <c r="I61" s="12" t="s">
        <v>556</v>
      </c>
      <c r="J61" s="2" t="s">
        <v>118</v>
      </c>
      <c r="K61" s="2" t="s">
        <v>21</v>
      </c>
      <c r="L61" s="2" t="s">
        <v>29</v>
      </c>
      <c r="M61" s="26">
        <v>43561.0</v>
      </c>
      <c r="N61" s="101"/>
      <c r="O61" s="2" t="s">
        <v>96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>
      <c r="A62" s="7"/>
      <c r="B62" s="8" t="s">
        <v>144</v>
      </c>
      <c r="C62" s="9">
        <f t="shared" si="2"/>
        <v>14060</v>
      </c>
      <c r="D62" s="10" t="s">
        <v>14</v>
      </c>
      <c r="E62" s="11" t="s">
        <v>557</v>
      </c>
      <c r="F62" s="2" t="s">
        <v>25</v>
      </c>
      <c r="G62" s="2" t="s">
        <v>446</v>
      </c>
      <c r="H62" s="2" t="s">
        <v>18</v>
      </c>
      <c r="I62" s="12" t="s">
        <v>558</v>
      </c>
      <c r="J62" s="2" t="s">
        <v>559</v>
      </c>
      <c r="K62" s="2" t="s">
        <v>21</v>
      </c>
      <c r="L62" s="2" t="s">
        <v>111</v>
      </c>
      <c r="M62" s="26">
        <v>43561.0</v>
      </c>
      <c r="N62" s="102" t="s">
        <v>560</v>
      </c>
      <c r="O62" s="2" t="s">
        <v>96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>
      <c r="A63" s="7"/>
      <c r="B63" s="8" t="s">
        <v>145</v>
      </c>
      <c r="C63" s="9">
        <f t="shared" si="2"/>
        <v>14061</v>
      </c>
      <c r="D63" s="10" t="s">
        <v>14</v>
      </c>
      <c r="E63" s="11" t="s">
        <v>561</v>
      </c>
      <c r="F63" s="2" t="s">
        <v>25</v>
      </c>
      <c r="G63" s="2" t="s">
        <v>446</v>
      </c>
      <c r="H63" s="2" t="s">
        <v>18</v>
      </c>
      <c r="I63" s="12" t="s">
        <v>562</v>
      </c>
      <c r="J63" s="2" t="s">
        <v>563</v>
      </c>
      <c r="K63" s="2" t="s">
        <v>21</v>
      </c>
      <c r="L63" s="2" t="s">
        <v>111</v>
      </c>
      <c r="M63" s="26">
        <v>43567.0</v>
      </c>
      <c r="N63" s="102" t="s">
        <v>564</v>
      </c>
      <c r="O63" s="2" t="s">
        <v>96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>
      <c r="A64" s="7"/>
      <c r="B64" s="8" t="s">
        <v>146</v>
      </c>
      <c r="C64" s="9">
        <f t="shared" si="2"/>
        <v>14062</v>
      </c>
      <c r="D64" s="10" t="s">
        <v>14</v>
      </c>
      <c r="E64" s="11" t="s">
        <v>565</v>
      </c>
      <c r="F64" s="2" t="s">
        <v>25</v>
      </c>
      <c r="G64" s="2" t="s">
        <v>446</v>
      </c>
      <c r="H64" s="2" t="s">
        <v>18</v>
      </c>
      <c r="I64" s="107" t="s">
        <v>566</v>
      </c>
      <c r="J64" s="2" t="s">
        <v>567</v>
      </c>
      <c r="K64" s="38" t="s">
        <v>21</v>
      </c>
      <c r="L64" s="38" t="s">
        <v>406</v>
      </c>
      <c r="M64" s="26">
        <v>43568.0</v>
      </c>
      <c r="N64" s="102" t="s">
        <v>568</v>
      </c>
      <c r="O64" s="2" t="s">
        <v>96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>
      <c r="A65" s="7"/>
      <c r="B65" s="8" t="s">
        <v>147</v>
      </c>
      <c r="C65" s="9">
        <f t="shared" si="2"/>
        <v>14063</v>
      </c>
      <c r="D65" s="10" t="s">
        <v>14</v>
      </c>
      <c r="E65" s="11" t="s">
        <v>569</v>
      </c>
      <c r="F65" s="2" t="s">
        <v>25</v>
      </c>
      <c r="G65" s="2" t="s">
        <v>446</v>
      </c>
      <c r="H65" s="2" t="s">
        <v>18</v>
      </c>
      <c r="I65" s="12" t="s">
        <v>570</v>
      </c>
      <c r="J65" s="2" t="s">
        <v>118</v>
      </c>
      <c r="K65" s="38" t="s">
        <v>21</v>
      </c>
      <c r="L65" s="2" t="s">
        <v>29</v>
      </c>
      <c r="M65" s="26">
        <v>43574.0</v>
      </c>
      <c r="N65" s="102" t="s">
        <v>571</v>
      </c>
      <c r="O65" s="2" t="s">
        <v>96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>
      <c r="A66" s="7"/>
      <c r="B66" s="8" t="s">
        <v>148</v>
      </c>
      <c r="C66" s="9">
        <f t="shared" si="2"/>
        <v>14064</v>
      </c>
      <c r="D66" s="10" t="s">
        <v>14</v>
      </c>
      <c r="E66" s="11" t="s">
        <v>572</v>
      </c>
      <c r="F66" s="2" t="s">
        <v>25</v>
      </c>
      <c r="G66" s="2" t="s">
        <v>446</v>
      </c>
      <c r="H66" s="2" t="s">
        <v>18</v>
      </c>
      <c r="I66" s="12" t="s">
        <v>573</v>
      </c>
      <c r="J66" s="2" t="s">
        <v>563</v>
      </c>
      <c r="K66" s="2" t="s">
        <v>21</v>
      </c>
      <c r="L66" s="2" t="s">
        <v>54</v>
      </c>
      <c r="M66" s="26">
        <v>43582.0</v>
      </c>
      <c r="N66" s="108"/>
      <c r="O66" s="2" t="s">
        <v>96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>
      <c r="A67" s="7"/>
      <c r="B67" s="8" t="s">
        <v>149</v>
      </c>
      <c r="C67" s="9">
        <f t="shared" si="2"/>
        <v>14065</v>
      </c>
      <c r="D67" s="10" t="s">
        <v>14</v>
      </c>
      <c r="E67" s="11" t="s">
        <v>574</v>
      </c>
      <c r="F67" s="2" t="s">
        <v>25</v>
      </c>
      <c r="G67" s="2" t="s">
        <v>446</v>
      </c>
      <c r="H67" s="2" t="s">
        <v>18</v>
      </c>
      <c r="I67" s="12" t="s">
        <v>575</v>
      </c>
      <c r="J67" s="2" t="s">
        <v>563</v>
      </c>
      <c r="K67" s="2" t="s">
        <v>21</v>
      </c>
      <c r="L67" s="2" t="s">
        <v>54</v>
      </c>
      <c r="M67" s="26">
        <v>43582.0</v>
      </c>
      <c r="N67" s="108"/>
      <c r="O67" s="2" t="s">
        <v>96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>
      <c r="A68" s="7"/>
      <c r="B68" s="8" t="s">
        <v>150</v>
      </c>
      <c r="C68" s="9">
        <f t="shared" si="2"/>
        <v>14066</v>
      </c>
      <c r="D68" s="10" t="s">
        <v>14</v>
      </c>
      <c r="E68" s="11" t="s">
        <v>576</v>
      </c>
      <c r="F68" s="2" t="s">
        <v>25</v>
      </c>
      <c r="G68" s="2" t="s">
        <v>446</v>
      </c>
      <c r="H68" s="2" t="s">
        <v>18</v>
      </c>
      <c r="I68" s="12" t="s">
        <v>577</v>
      </c>
      <c r="J68" s="2" t="s">
        <v>563</v>
      </c>
      <c r="K68" s="2" t="s">
        <v>21</v>
      </c>
      <c r="L68" s="2" t="s">
        <v>54</v>
      </c>
      <c r="M68" s="26">
        <v>43582.0</v>
      </c>
      <c r="N68" s="108"/>
      <c r="O68" s="2" t="s">
        <v>96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>
      <c r="A69" s="7"/>
      <c r="B69" s="8" t="s">
        <v>151</v>
      </c>
      <c r="C69" s="9">
        <f t="shared" si="2"/>
        <v>14067</v>
      </c>
      <c r="D69" s="10" t="s">
        <v>14</v>
      </c>
      <c r="E69" s="11" t="s">
        <v>578</v>
      </c>
      <c r="F69" s="2" t="s">
        <v>25</v>
      </c>
      <c r="G69" s="2" t="s">
        <v>446</v>
      </c>
      <c r="H69" s="2" t="s">
        <v>18</v>
      </c>
      <c r="I69" s="12" t="s">
        <v>579</v>
      </c>
      <c r="J69" s="2" t="s">
        <v>563</v>
      </c>
      <c r="K69" s="2" t="s">
        <v>21</v>
      </c>
      <c r="L69" s="2" t="s">
        <v>54</v>
      </c>
      <c r="M69" s="26">
        <v>43582.0</v>
      </c>
      <c r="N69" s="108"/>
      <c r="O69" s="2" t="s">
        <v>96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>
      <c r="A70" s="7"/>
      <c r="B70" s="8" t="s">
        <v>152</v>
      </c>
      <c r="C70" s="9">
        <f t="shared" si="2"/>
        <v>14068</v>
      </c>
      <c r="D70" s="10" t="s">
        <v>14</v>
      </c>
      <c r="E70" s="11" t="s">
        <v>580</v>
      </c>
      <c r="F70" s="2" t="s">
        <v>25</v>
      </c>
      <c r="G70" s="2" t="s">
        <v>446</v>
      </c>
      <c r="H70" s="2" t="s">
        <v>18</v>
      </c>
      <c r="I70" s="12" t="s">
        <v>581</v>
      </c>
      <c r="J70" s="2" t="s">
        <v>582</v>
      </c>
      <c r="K70" s="2" t="s">
        <v>21</v>
      </c>
      <c r="L70" s="2" t="s">
        <v>418</v>
      </c>
      <c r="M70" s="26">
        <v>43582.0</v>
      </c>
      <c r="N70" s="108"/>
      <c r="O70" s="2" t="s">
        <v>96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>
      <c r="A71" s="7"/>
      <c r="B71" s="8" t="s">
        <v>153</v>
      </c>
      <c r="C71" s="9">
        <f t="shared" si="2"/>
        <v>14069</v>
      </c>
      <c r="D71" s="10" t="s">
        <v>14</v>
      </c>
      <c r="E71" s="11" t="s">
        <v>583</v>
      </c>
      <c r="F71" s="2" t="s">
        <v>25</v>
      </c>
      <c r="G71" s="2" t="s">
        <v>446</v>
      </c>
      <c r="H71" s="2" t="s">
        <v>18</v>
      </c>
      <c r="I71" s="12" t="s">
        <v>584</v>
      </c>
      <c r="J71" s="2" t="s">
        <v>118</v>
      </c>
      <c r="K71" s="2" t="s">
        <v>21</v>
      </c>
      <c r="L71" s="2" t="s">
        <v>418</v>
      </c>
      <c r="M71" s="26">
        <v>43582.0</v>
      </c>
      <c r="N71" s="108"/>
      <c r="O71" s="2" t="s">
        <v>96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>
      <c r="A72" s="7"/>
      <c r="B72" s="8" t="s">
        <v>154</v>
      </c>
      <c r="C72" s="9">
        <f t="shared" si="2"/>
        <v>14070</v>
      </c>
      <c r="D72" s="10"/>
      <c r="E72" s="11"/>
      <c r="F72" s="2"/>
      <c r="G72" s="2"/>
      <c r="H72" s="2"/>
      <c r="I72" s="12"/>
      <c r="J72" s="2"/>
      <c r="K72" s="2"/>
      <c r="L72" s="2"/>
      <c r="M72" s="26"/>
      <c r="N72" s="108"/>
      <c r="O72" s="18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>
      <c r="A73" s="7"/>
      <c r="B73" s="8" t="s">
        <v>155</v>
      </c>
      <c r="C73" s="9">
        <f t="shared" si="2"/>
        <v>14071</v>
      </c>
      <c r="D73" s="10"/>
      <c r="E73" s="11"/>
      <c r="F73" s="2"/>
      <c r="G73" s="2"/>
      <c r="H73" s="2"/>
      <c r="I73" s="25"/>
      <c r="J73" s="2"/>
      <c r="K73" s="2"/>
      <c r="L73" s="2"/>
      <c r="M73" s="26"/>
      <c r="N73" s="108"/>
      <c r="O73" s="18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>
      <c r="A74" s="7"/>
      <c r="B74" s="8" t="s">
        <v>156</v>
      </c>
      <c r="C74" s="9">
        <f t="shared" si="2"/>
        <v>14072</v>
      </c>
      <c r="D74" s="10"/>
      <c r="E74" s="11"/>
      <c r="F74" s="2"/>
      <c r="G74" s="2"/>
      <c r="H74" s="2"/>
      <c r="I74" s="25"/>
      <c r="J74" s="2"/>
      <c r="K74" s="2"/>
      <c r="L74" s="2"/>
      <c r="M74" s="26"/>
      <c r="N74" s="108"/>
      <c r="O74" s="18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>
      <c r="A75" s="7"/>
      <c r="B75" s="8" t="s">
        <v>157</v>
      </c>
      <c r="C75" s="9">
        <f t="shared" si="2"/>
        <v>14073</v>
      </c>
      <c r="D75" s="10"/>
      <c r="E75" s="11"/>
      <c r="F75" s="2"/>
      <c r="G75" s="2"/>
      <c r="H75" s="2"/>
      <c r="I75" s="12"/>
      <c r="J75" s="2"/>
      <c r="K75" s="2"/>
      <c r="L75" s="2"/>
      <c r="M75" s="26"/>
      <c r="N75" s="108"/>
      <c r="O75" s="18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>
      <c r="A76" s="7"/>
      <c r="B76" s="8" t="s">
        <v>158</v>
      </c>
      <c r="C76" s="9">
        <f t="shared" si="2"/>
        <v>14074</v>
      </c>
      <c r="D76" s="10"/>
      <c r="E76" s="31"/>
      <c r="F76" s="2"/>
      <c r="G76" s="2"/>
      <c r="H76" s="2"/>
      <c r="I76" s="12"/>
      <c r="J76" s="2"/>
      <c r="K76" s="2"/>
      <c r="L76" s="2"/>
      <c r="M76" s="26"/>
      <c r="N76" s="101"/>
      <c r="O76" s="18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>
      <c r="A77" s="7"/>
      <c r="B77" s="8" t="s">
        <v>159</v>
      </c>
      <c r="C77" s="9">
        <f t="shared" si="2"/>
        <v>14075</v>
      </c>
      <c r="D77" s="10"/>
      <c r="E77" s="31"/>
      <c r="F77" s="2"/>
      <c r="G77" s="2"/>
      <c r="H77" s="2"/>
      <c r="I77" s="12"/>
      <c r="J77" s="2"/>
      <c r="K77" s="2"/>
      <c r="L77" s="2"/>
      <c r="M77" s="26"/>
      <c r="N77" s="101"/>
      <c r="O77" s="18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>
      <c r="A78" s="7"/>
      <c r="B78" s="8" t="s">
        <v>160</v>
      </c>
      <c r="C78" s="9">
        <f t="shared" si="2"/>
        <v>14076</v>
      </c>
      <c r="D78" s="10"/>
      <c r="E78" s="31"/>
      <c r="F78" s="2"/>
      <c r="G78" s="2"/>
      <c r="H78" s="2"/>
      <c r="I78" s="12"/>
      <c r="J78" s="2"/>
      <c r="K78" s="2"/>
      <c r="L78" s="2"/>
      <c r="M78" s="26"/>
      <c r="N78" s="101"/>
      <c r="O78" s="18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>
      <c r="A79" s="7"/>
      <c r="B79" s="8" t="s">
        <v>161</v>
      </c>
      <c r="C79" s="9">
        <f t="shared" si="2"/>
        <v>14077</v>
      </c>
      <c r="D79" s="10"/>
      <c r="E79" s="31"/>
      <c r="F79" s="2"/>
      <c r="G79" s="2"/>
      <c r="H79" s="2"/>
      <c r="I79" s="12"/>
      <c r="J79" s="2"/>
      <c r="K79" s="2"/>
      <c r="L79" s="2"/>
      <c r="M79" s="26"/>
      <c r="N79" s="101"/>
      <c r="O79" s="18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>
      <c r="A80" s="7"/>
      <c r="B80" s="8" t="s">
        <v>162</v>
      </c>
      <c r="C80" s="9">
        <f t="shared" si="2"/>
        <v>14078</v>
      </c>
      <c r="D80" s="10"/>
      <c r="E80" s="31"/>
      <c r="F80" s="2"/>
      <c r="G80" s="2"/>
      <c r="H80" s="2"/>
      <c r="I80" s="12"/>
      <c r="J80" s="2"/>
      <c r="K80" s="2"/>
      <c r="L80" s="2"/>
      <c r="M80" s="26"/>
      <c r="N80" s="101"/>
      <c r="O80" s="18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>
      <c r="A81" s="7"/>
      <c r="B81" s="8" t="s">
        <v>163</v>
      </c>
      <c r="C81" s="9">
        <f t="shared" si="2"/>
        <v>14079</v>
      </c>
      <c r="D81" s="10"/>
      <c r="E81" s="31"/>
      <c r="F81" s="2"/>
      <c r="G81" s="2"/>
      <c r="H81" s="2"/>
      <c r="I81" s="12"/>
      <c r="J81" s="2"/>
      <c r="K81" s="2"/>
      <c r="L81" s="2"/>
      <c r="M81" s="26"/>
      <c r="N81" s="101"/>
      <c r="O81" s="18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>
      <c r="A82" s="7"/>
      <c r="B82" s="8" t="s">
        <v>164</v>
      </c>
      <c r="C82" s="9">
        <f t="shared" si="2"/>
        <v>14080</v>
      </c>
      <c r="D82" s="10"/>
      <c r="E82" s="31"/>
      <c r="F82" s="2"/>
      <c r="G82" s="2"/>
      <c r="H82" s="2"/>
      <c r="I82" s="12"/>
      <c r="J82" s="2"/>
      <c r="K82" s="2"/>
      <c r="L82" s="2"/>
      <c r="M82" s="26"/>
      <c r="N82" s="101"/>
      <c r="O82" s="18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>
      <c r="A83" s="7"/>
      <c r="B83" s="8" t="s">
        <v>165</v>
      </c>
      <c r="C83" s="9">
        <f t="shared" si="2"/>
        <v>14081</v>
      </c>
      <c r="D83" s="10"/>
      <c r="E83" s="31"/>
      <c r="F83" s="2"/>
      <c r="G83" s="2"/>
      <c r="H83" s="2"/>
      <c r="I83" s="12"/>
      <c r="J83" s="2"/>
      <c r="K83" s="2"/>
      <c r="L83" s="2"/>
      <c r="M83" s="26"/>
      <c r="N83" s="101"/>
      <c r="O83" s="18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>
      <c r="A84" s="7"/>
      <c r="B84" s="8" t="s">
        <v>166</v>
      </c>
      <c r="C84" s="9">
        <f t="shared" si="2"/>
        <v>14082</v>
      </c>
      <c r="D84" s="10"/>
      <c r="E84" s="31"/>
      <c r="F84" s="2"/>
      <c r="G84" s="2"/>
      <c r="H84" s="2"/>
      <c r="I84" s="12"/>
      <c r="J84" s="2"/>
      <c r="K84" s="2"/>
      <c r="L84" s="2"/>
      <c r="M84" s="26"/>
      <c r="N84" s="101"/>
      <c r="O84" s="18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>
      <c r="A85" s="7"/>
      <c r="B85" s="8" t="s">
        <v>167</v>
      </c>
      <c r="C85" s="9">
        <f t="shared" si="2"/>
        <v>14083</v>
      </c>
      <c r="D85" s="10"/>
      <c r="E85" s="31"/>
      <c r="F85" s="2"/>
      <c r="G85" s="2"/>
      <c r="H85" s="2"/>
      <c r="I85" s="12"/>
      <c r="J85" s="2"/>
      <c r="K85" s="2"/>
      <c r="L85" s="2"/>
      <c r="M85" s="26"/>
      <c r="N85" s="101"/>
      <c r="O85" s="18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>
      <c r="A86" s="7"/>
      <c r="B86" s="8" t="s">
        <v>168</v>
      </c>
      <c r="C86" s="9">
        <f t="shared" si="2"/>
        <v>14084</v>
      </c>
      <c r="D86" s="10"/>
      <c r="E86" s="31"/>
      <c r="F86" s="2"/>
      <c r="G86" s="2"/>
      <c r="H86" s="2"/>
      <c r="I86" s="12"/>
      <c r="J86" s="2"/>
      <c r="K86" s="2"/>
      <c r="L86" s="2"/>
      <c r="M86" s="26"/>
      <c r="N86" s="101"/>
      <c r="O86" s="18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>
      <c r="A87" s="7"/>
      <c r="B87" s="8" t="s">
        <v>169</v>
      </c>
      <c r="C87" s="9">
        <f t="shared" si="2"/>
        <v>14085</v>
      </c>
      <c r="D87" s="10"/>
      <c r="E87" s="11"/>
      <c r="F87" s="2"/>
      <c r="G87" s="2"/>
      <c r="H87" s="2"/>
      <c r="I87" s="25"/>
      <c r="J87" s="18"/>
      <c r="K87" s="2"/>
      <c r="L87" s="2"/>
      <c r="M87" s="21"/>
      <c r="N87" s="108"/>
      <c r="O87" s="18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>
      <c r="A88" s="7"/>
      <c r="B88" s="8" t="s">
        <v>170</v>
      </c>
      <c r="C88" s="9">
        <f t="shared" si="2"/>
        <v>14086</v>
      </c>
      <c r="D88" s="10"/>
      <c r="E88" s="11"/>
      <c r="F88" s="2"/>
      <c r="G88" s="2"/>
      <c r="H88" s="2"/>
      <c r="I88" s="25"/>
      <c r="J88" s="18"/>
      <c r="K88" s="2"/>
      <c r="N88" s="109"/>
      <c r="O88" s="18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>
      <c r="A89" s="7"/>
      <c r="B89" s="8" t="s">
        <v>171</v>
      </c>
      <c r="C89" s="9">
        <f t="shared" si="2"/>
        <v>14087</v>
      </c>
      <c r="D89" s="28"/>
      <c r="E89" s="29"/>
      <c r="F89" s="18"/>
      <c r="G89" s="18"/>
      <c r="H89" s="18"/>
      <c r="I89" s="25"/>
      <c r="J89" s="18"/>
      <c r="K89" s="18"/>
      <c r="L89" s="18"/>
      <c r="M89" s="18"/>
      <c r="N89" s="109"/>
      <c r="O89" s="18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>
      <c r="A90" s="7"/>
      <c r="B90" s="8" t="s">
        <v>172</v>
      </c>
      <c r="C90" s="9">
        <f t="shared" si="2"/>
        <v>14088</v>
      </c>
      <c r="D90" s="28"/>
      <c r="E90" s="29"/>
      <c r="F90" s="18"/>
      <c r="G90" s="18"/>
      <c r="H90" s="18"/>
      <c r="I90" s="25"/>
      <c r="J90" s="18"/>
      <c r="K90" s="18"/>
      <c r="L90" s="18"/>
      <c r="M90" s="18"/>
      <c r="N90" s="109"/>
      <c r="O90" s="18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>
      <c r="A91" s="7"/>
      <c r="B91" s="8" t="s">
        <v>173</v>
      </c>
      <c r="C91" s="9">
        <f t="shared" si="2"/>
        <v>14089</v>
      </c>
      <c r="D91" s="28"/>
      <c r="E91" s="29"/>
      <c r="F91" s="18"/>
      <c r="G91" s="18"/>
      <c r="H91" s="18"/>
      <c r="I91" s="25"/>
      <c r="J91" s="18"/>
      <c r="K91" s="18"/>
      <c r="L91" s="18"/>
      <c r="M91" s="18"/>
      <c r="N91" s="109"/>
      <c r="O91" s="18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>
      <c r="A92" s="7"/>
      <c r="B92" s="8" t="s">
        <v>174</v>
      </c>
      <c r="C92" s="9">
        <f t="shared" si="2"/>
        <v>14090</v>
      </c>
      <c r="D92" s="28"/>
      <c r="E92" s="29"/>
      <c r="F92" s="18"/>
      <c r="G92" s="18"/>
      <c r="H92" s="18"/>
      <c r="I92" s="25"/>
      <c r="J92" s="18"/>
      <c r="K92" s="18"/>
      <c r="L92" s="18"/>
      <c r="M92" s="18"/>
      <c r="N92" s="109"/>
      <c r="O92" s="18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>
      <c r="A93" s="7"/>
      <c r="B93" s="8" t="s">
        <v>175</v>
      </c>
      <c r="C93" s="9">
        <f t="shared" si="2"/>
        <v>14091</v>
      </c>
      <c r="D93" s="28"/>
      <c r="E93" s="29"/>
      <c r="F93" s="18"/>
      <c r="G93" s="18"/>
      <c r="H93" s="18"/>
      <c r="I93" s="25"/>
      <c r="J93" s="18"/>
      <c r="K93" s="18"/>
      <c r="L93" s="18"/>
      <c r="M93" s="18"/>
      <c r="N93" s="109"/>
      <c r="O93" s="18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>
      <c r="A94" s="7"/>
      <c r="B94" s="8" t="s">
        <v>176</v>
      </c>
      <c r="C94" s="9">
        <f t="shared" si="2"/>
        <v>14092</v>
      </c>
      <c r="D94" s="28"/>
      <c r="E94" s="29"/>
      <c r="F94" s="18"/>
      <c r="G94" s="18"/>
      <c r="H94" s="18"/>
      <c r="I94" s="25"/>
      <c r="J94" s="18"/>
      <c r="K94" s="18"/>
      <c r="L94" s="18"/>
      <c r="M94" s="18"/>
      <c r="N94" s="109"/>
      <c r="O94" s="18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>
      <c r="A95" s="7"/>
      <c r="B95" s="8" t="s">
        <v>177</v>
      </c>
      <c r="C95" s="9">
        <f t="shared" si="2"/>
        <v>14093</v>
      </c>
      <c r="D95" s="28"/>
      <c r="E95" s="29"/>
      <c r="F95" s="18"/>
      <c r="G95" s="18"/>
      <c r="H95" s="18"/>
      <c r="I95" s="25"/>
      <c r="J95" s="18"/>
      <c r="K95" s="18"/>
      <c r="L95" s="18"/>
      <c r="M95" s="18"/>
      <c r="N95" s="109"/>
      <c r="O95" s="18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>
      <c r="A96" s="7"/>
      <c r="B96" s="8" t="s">
        <v>178</v>
      </c>
      <c r="C96" s="9">
        <f t="shared" si="2"/>
        <v>14094</v>
      </c>
      <c r="D96" s="28"/>
      <c r="E96" s="29"/>
      <c r="F96" s="18"/>
      <c r="G96" s="18"/>
      <c r="H96" s="18"/>
      <c r="I96" s="25"/>
      <c r="J96" s="18"/>
      <c r="K96" s="18"/>
      <c r="L96" s="18"/>
      <c r="M96" s="18"/>
      <c r="N96" s="109"/>
      <c r="O96" s="18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>
      <c r="A97" s="7"/>
      <c r="B97" s="8" t="s">
        <v>179</v>
      </c>
      <c r="C97" s="9">
        <f t="shared" si="2"/>
        <v>14095</v>
      </c>
      <c r="D97" s="28"/>
      <c r="E97" s="29"/>
      <c r="F97" s="18"/>
      <c r="G97" s="18"/>
      <c r="H97" s="18"/>
      <c r="I97" s="25"/>
      <c r="J97" s="18"/>
      <c r="K97" s="18"/>
      <c r="L97" s="18"/>
      <c r="M97" s="18"/>
      <c r="N97" s="109"/>
      <c r="O97" s="18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>
      <c r="A98" s="7"/>
      <c r="B98" s="8" t="s">
        <v>180</v>
      </c>
      <c r="C98" s="9">
        <f t="shared" si="2"/>
        <v>14096</v>
      </c>
      <c r="D98" s="28"/>
      <c r="E98" s="29"/>
      <c r="F98" s="18"/>
      <c r="G98" s="18"/>
      <c r="H98" s="18"/>
      <c r="I98" s="25"/>
      <c r="J98" s="18"/>
      <c r="K98" s="18"/>
      <c r="L98" s="18"/>
      <c r="M98" s="18"/>
      <c r="N98" s="109"/>
      <c r="O98" s="18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>
      <c r="A99" s="7"/>
      <c r="B99" s="8" t="s">
        <v>181</v>
      </c>
      <c r="C99" s="9">
        <f t="shared" si="2"/>
        <v>14097</v>
      </c>
      <c r="D99" s="28"/>
      <c r="E99" s="29"/>
      <c r="F99" s="18"/>
      <c r="G99" s="18"/>
      <c r="H99" s="18"/>
      <c r="I99" s="25"/>
      <c r="J99" s="18"/>
      <c r="K99" s="18"/>
      <c r="L99" s="18"/>
      <c r="M99" s="18"/>
      <c r="N99" s="109"/>
      <c r="O99" s="18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>
      <c r="A100" s="7"/>
      <c r="B100" s="8" t="s">
        <v>182</v>
      </c>
      <c r="C100" s="9">
        <f t="shared" si="2"/>
        <v>14098</v>
      </c>
      <c r="D100" s="28"/>
      <c r="E100" s="29"/>
      <c r="F100" s="18"/>
      <c r="G100" s="18"/>
      <c r="H100" s="18"/>
      <c r="I100" s="25"/>
      <c r="J100" s="18"/>
      <c r="K100" s="18"/>
      <c r="L100" s="18"/>
      <c r="M100" s="18"/>
      <c r="N100" s="109"/>
      <c r="O100" s="18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>
      <c r="A101" s="7"/>
      <c r="B101" s="8" t="s">
        <v>183</v>
      </c>
      <c r="C101" s="9">
        <f t="shared" si="2"/>
        <v>14099</v>
      </c>
      <c r="D101" s="28"/>
      <c r="E101" s="29"/>
      <c r="F101" s="18"/>
      <c r="G101" s="18"/>
      <c r="H101" s="18"/>
      <c r="I101" s="25"/>
      <c r="J101" s="18"/>
      <c r="K101" s="18"/>
      <c r="L101" s="18"/>
      <c r="M101" s="18"/>
      <c r="N101" s="109"/>
      <c r="O101" s="18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>
      <c r="A102" s="7"/>
      <c r="B102" s="8" t="s">
        <v>184</v>
      </c>
      <c r="C102" s="9">
        <f t="shared" si="2"/>
        <v>14100</v>
      </c>
      <c r="D102" s="10"/>
      <c r="E102" s="11"/>
      <c r="F102" s="2"/>
      <c r="G102" s="2"/>
      <c r="H102" s="2"/>
      <c r="I102" s="25"/>
      <c r="J102" s="2"/>
      <c r="K102" s="2"/>
      <c r="L102" s="2"/>
      <c r="M102" s="26"/>
      <c r="N102" s="109"/>
      <c r="O102" s="18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>
      <c r="A103" s="7"/>
      <c r="B103" s="8" t="s">
        <v>185</v>
      </c>
      <c r="C103" s="9">
        <f t="shared" si="2"/>
        <v>14101</v>
      </c>
      <c r="D103" s="10"/>
      <c r="E103" s="11"/>
      <c r="F103" s="2"/>
      <c r="G103" s="2"/>
      <c r="H103" s="2"/>
      <c r="I103" s="12"/>
      <c r="J103" s="2"/>
      <c r="K103" s="2"/>
      <c r="L103" s="2"/>
      <c r="M103" s="26"/>
      <c r="N103" s="109"/>
      <c r="O103" s="18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>
      <c r="A104" s="7"/>
      <c r="B104" s="8" t="s">
        <v>186</v>
      </c>
      <c r="C104" s="9">
        <f t="shared" si="2"/>
        <v>14102</v>
      </c>
      <c r="D104" s="10"/>
      <c r="E104" s="11"/>
      <c r="F104" s="2"/>
      <c r="G104" s="2"/>
      <c r="H104" s="2"/>
      <c r="I104" s="25"/>
      <c r="J104" s="2"/>
      <c r="K104" s="2"/>
      <c r="L104" s="2"/>
      <c r="M104" s="26"/>
      <c r="N104" s="109"/>
      <c r="O104" s="18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>
      <c r="A105" s="7"/>
      <c r="B105" s="8" t="s">
        <v>187</v>
      </c>
      <c r="C105" s="9">
        <f t="shared" si="2"/>
        <v>14103</v>
      </c>
      <c r="D105" s="10"/>
      <c r="E105" s="11"/>
      <c r="F105" s="2"/>
      <c r="G105" s="2"/>
      <c r="H105" s="2"/>
      <c r="I105" s="25"/>
      <c r="J105" s="2"/>
      <c r="K105" s="2"/>
      <c r="L105" s="2"/>
      <c r="M105" s="26"/>
      <c r="N105" s="109"/>
      <c r="O105" s="18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>
      <c r="A106" s="7"/>
      <c r="B106" s="8" t="s">
        <v>188</v>
      </c>
      <c r="C106" s="9">
        <f t="shared" si="2"/>
        <v>14104</v>
      </c>
      <c r="D106" s="10"/>
      <c r="E106" s="11"/>
      <c r="F106" s="2"/>
      <c r="G106" s="2"/>
      <c r="H106" s="2"/>
      <c r="I106" s="12"/>
      <c r="J106" s="2"/>
      <c r="K106" s="2"/>
      <c r="L106" s="2"/>
      <c r="M106" s="21"/>
      <c r="N106" s="14"/>
      <c r="O106" s="18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>
      <c r="A107" s="7"/>
      <c r="B107" s="8" t="s">
        <v>189</v>
      </c>
      <c r="C107" s="9">
        <f t="shared" si="2"/>
        <v>14105</v>
      </c>
      <c r="D107" s="10"/>
      <c r="E107" s="11"/>
      <c r="F107" s="2"/>
      <c r="G107" s="2"/>
      <c r="H107" s="2"/>
      <c r="I107" s="12"/>
      <c r="J107" s="2"/>
      <c r="K107" s="2"/>
      <c r="L107" s="2"/>
      <c r="M107" s="21"/>
      <c r="N107" s="14"/>
      <c r="O107" s="18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>
      <c r="A108" s="7"/>
      <c r="B108" s="8" t="s">
        <v>190</v>
      </c>
      <c r="C108" s="9">
        <f t="shared" si="2"/>
        <v>14106</v>
      </c>
      <c r="D108" s="10"/>
      <c r="E108" s="11"/>
      <c r="F108" s="2"/>
      <c r="G108" s="2"/>
      <c r="H108" s="2"/>
      <c r="I108" s="12"/>
      <c r="J108" s="2"/>
      <c r="K108" s="2"/>
      <c r="L108" s="2"/>
      <c r="M108" s="21"/>
      <c r="N108" s="14"/>
      <c r="O108" s="18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>
      <c r="A109" s="7"/>
      <c r="B109" s="8" t="s">
        <v>191</v>
      </c>
      <c r="C109" s="9">
        <f t="shared" si="2"/>
        <v>14107</v>
      </c>
      <c r="D109" s="10"/>
      <c r="E109" s="11"/>
      <c r="F109" s="2"/>
      <c r="G109" s="2"/>
      <c r="H109" s="2"/>
      <c r="I109" s="12"/>
      <c r="J109" s="2"/>
      <c r="K109" s="2"/>
      <c r="L109" s="2"/>
      <c r="M109" s="26"/>
      <c r="N109" s="14"/>
      <c r="O109" s="18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>
      <c r="A110" s="7"/>
      <c r="B110" s="8" t="s">
        <v>192</v>
      </c>
      <c r="C110" s="9">
        <f t="shared" si="2"/>
        <v>14108</v>
      </c>
      <c r="D110" s="10"/>
      <c r="E110" s="11"/>
      <c r="F110" s="2"/>
      <c r="G110" s="2"/>
      <c r="H110" s="2"/>
      <c r="I110" s="12"/>
      <c r="J110" s="2"/>
      <c r="K110" s="2"/>
      <c r="L110" s="2"/>
      <c r="M110" s="26"/>
      <c r="N110" s="14"/>
      <c r="O110" s="18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>
      <c r="A111" s="7"/>
      <c r="B111" s="8" t="s">
        <v>193</v>
      </c>
      <c r="C111" s="9">
        <f t="shared" si="2"/>
        <v>14109</v>
      </c>
      <c r="D111" s="10"/>
      <c r="E111" s="11"/>
      <c r="F111" s="2"/>
      <c r="G111" s="2"/>
      <c r="H111" s="2"/>
      <c r="I111" s="12"/>
      <c r="J111" s="2"/>
      <c r="K111" s="2"/>
      <c r="L111" s="2"/>
      <c r="M111" s="26"/>
      <c r="N111" s="14"/>
      <c r="O111" s="18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>
      <c r="A112" s="7"/>
      <c r="B112" s="8" t="s">
        <v>194</v>
      </c>
      <c r="C112" s="9">
        <f t="shared" si="2"/>
        <v>14110</v>
      </c>
      <c r="D112" s="10"/>
      <c r="E112" s="11"/>
      <c r="F112" s="2"/>
      <c r="G112" s="2"/>
      <c r="H112" s="2"/>
      <c r="I112" s="12"/>
      <c r="J112" s="2"/>
      <c r="K112" s="2"/>
      <c r="L112" s="2"/>
      <c r="M112" s="26"/>
      <c r="N112" s="14"/>
      <c r="O112" s="18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>
      <c r="A113" s="7"/>
      <c r="B113" s="8" t="s">
        <v>195</v>
      </c>
      <c r="C113" s="9">
        <f t="shared" si="2"/>
        <v>14111</v>
      </c>
      <c r="D113" s="10"/>
      <c r="E113" s="11"/>
      <c r="F113" s="2"/>
      <c r="G113" s="2"/>
      <c r="H113" s="2"/>
      <c r="I113" s="12"/>
      <c r="J113" s="2"/>
      <c r="K113" s="2"/>
      <c r="L113" s="2"/>
      <c r="M113" s="26"/>
      <c r="N113" s="14"/>
      <c r="O113" s="18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>
      <c r="A114" s="7"/>
      <c r="B114" s="8" t="s">
        <v>196</v>
      </c>
      <c r="C114" s="9">
        <f t="shared" si="2"/>
        <v>14112</v>
      </c>
      <c r="D114" s="10"/>
      <c r="E114" s="11"/>
      <c r="F114" s="2"/>
      <c r="G114" s="2"/>
      <c r="H114" s="2"/>
      <c r="I114" s="12"/>
      <c r="J114" s="2"/>
      <c r="K114" s="2"/>
      <c r="L114" s="2"/>
      <c r="M114" s="26"/>
      <c r="N114" s="14"/>
      <c r="O114" s="18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>
      <c r="A115" s="7"/>
      <c r="B115" s="8" t="s">
        <v>197</v>
      </c>
      <c r="C115" s="9">
        <f t="shared" si="2"/>
        <v>14113</v>
      </c>
      <c r="D115" s="28"/>
      <c r="E115" s="11"/>
      <c r="F115" s="2"/>
      <c r="G115" s="2"/>
      <c r="H115" s="2"/>
      <c r="I115" s="12"/>
      <c r="J115" s="2"/>
      <c r="K115" s="2"/>
      <c r="L115" s="2"/>
      <c r="M115" s="26"/>
      <c r="N115" s="14"/>
      <c r="O115" s="18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>
      <c r="A116" s="7"/>
      <c r="B116" s="8" t="s">
        <v>198</v>
      </c>
      <c r="C116" s="9">
        <f t="shared" si="2"/>
        <v>14114</v>
      </c>
      <c r="D116" s="28"/>
      <c r="E116" s="11"/>
      <c r="F116" s="2"/>
      <c r="G116" s="2"/>
      <c r="H116" s="2"/>
      <c r="I116" s="12"/>
      <c r="J116" s="2"/>
      <c r="K116" s="2"/>
      <c r="L116" s="2"/>
      <c r="M116" s="26"/>
      <c r="N116" s="14"/>
      <c r="O116" s="18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>
      <c r="A117" s="7"/>
      <c r="B117" s="8" t="s">
        <v>199</v>
      </c>
      <c r="C117" s="9">
        <f t="shared" si="2"/>
        <v>14115</v>
      </c>
      <c r="D117" s="28"/>
      <c r="E117" s="11"/>
      <c r="F117" s="2"/>
      <c r="G117" s="2"/>
      <c r="H117" s="2"/>
      <c r="I117" s="12"/>
      <c r="J117" s="2"/>
      <c r="K117" s="2"/>
      <c r="L117" s="2"/>
      <c r="M117" s="26"/>
      <c r="N117" s="14"/>
      <c r="O117" s="18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>
      <c r="A118" s="7"/>
      <c r="B118" s="8" t="s">
        <v>200</v>
      </c>
      <c r="C118" s="9">
        <f t="shared" si="2"/>
        <v>14116</v>
      </c>
      <c r="D118" s="28"/>
      <c r="E118" s="11"/>
      <c r="F118" s="2"/>
      <c r="G118" s="2"/>
      <c r="H118" s="2"/>
      <c r="I118" s="12"/>
      <c r="J118" s="2"/>
      <c r="K118" s="2"/>
      <c r="L118" s="2"/>
      <c r="M118" s="26"/>
      <c r="N118" s="14"/>
      <c r="O118" s="18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>
      <c r="A119" s="7"/>
      <c r="B119" s="8" t="s">
        <v>201</v>
      </c>
      <c r="C119" s="9">
        <f t="shared" si="2"/>
        <v>14117</v>
      </c>
      <c r="D119" s="28"/>
      <c r="E119" s="11"/>
      <c r="F119" s="2"/>
      <c r="G119" s="2"/>
      <c r="H119" s="2"/>
      <c r="I119" s="12"/>
      <c r="J119" s="2"/>
      <c r="K119" s="2"/>
      <c r="L119" s="2"/>
      <c r="M119" s="26"/>
      <c r="N119" s="14"/>
      <c r="O119" s="18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>
      <c r="A120" s="7"/>
      <c r="B120" s="8" t="s">
        <v>202</v>
      </c>
      <c r="C120" s="9">
        <f t="shared" si="2"/>
        <v>14118</v>
      </c>
      <c r="D120" s="28"/>
      <c r="E120" s="11"/>
      <c r="F120" s="2"/>
      <c r="G120" s="2"/>
      <c r="H120" s="2"/>
      <c r="I120" s="12"/>
      <c r="J120" s="2"/>
      <c r="K120" s="2"/>
      <c r="L120" s="2"/>
      <c r="M120" s="26"/>
      <c r="N120" s="14"/>
      <c r="O120" s="18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>
      <c r="A121" s="7"/>
      <c r="B121" s="8" t="s">
        <v>203</v>
      </c>
      <c r="C121" s="9">
        <f t="shared" si="2"/>
        <v>14119</v>
      </c>
      <c r="D121" s="28"/>
      <c r="E121" s="11"/>
      <c r="F121" s="2"/>
      <c r="G121" s="2"/>
      <c r="H121" s="2"/>
      <c r="I121" s="12"/>
      <c r="J121" s="2"/>
      <c r="K121" s="2"/>
      <c r="L121" s="2"/>
      <c r="M121" s="26"/>
      <c r="N121" s="14"/>
      <c r="O121" s="18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>
      <c r="A122" s="7"/>
      <c r="B122" s="8" t="s">
        <v>204</v>
      </c>
      <c r="C122" s="9">
        <f t="shared" si="2"/>
        <v>14120</v>
      </c>
      <c r="D122" s="28"/>
      <c r="E122" s="11"/>
      <c r="F122" s="2"/>
      <c r="G122" s="2"/>
      <c r="H122" s="2"/>
      <c r="I122" s="12"/>
      <c r="J122" s="2"/>
      <c r="K122" s="2"/>
      <c r="L122" s="2"/>
      <c r="M122" s="26"/>
      <c r="N122" s="14"/>
      <c r="O122" s="18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>
      <c r="A123" s="7"/>
      <c r="B123" s="8" t="s">
        <v>205</v>
      </c>
      <c r="C123" s="9">
        <f t="shared" si="2"/>
        <v>14121</v>
      </c>
      <c r="D123" s="28"/>
      <c r="E123" s="11"/>
      <c r="F123" s="2"/>
      <c r="G123" s="2"/>
      <c r="H123" s="2"/>
      <c r="I123" s="12"/>
      <c r="J123" s="2"/>
      <c r="K123" s="2"/>
      <c r="L123" s="2"/>
      <c r="M123" s="26"/>
      <c r="N123" s="14"/>
      <c r="O123" s="18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>
      <c r="A124" s="7"/>
      <c r="B124" s="8" t="s">
        <v>206</v>
      </c>
      <c r="C124" s="9">
        <f t="shared" si="2"/>
        <v>14122</v>
      </c>
      <c r="D124" s="28"/>
      <c r="E124" s="11"/>
      <c r="F124" s="2"/>
      <c r="G124" s="2"/>
      <c r="H124" s="2"/>
      <c r="I124" s="12"/>
      <c r="J124" s="2"/>
      <c r="K124" s="2"/>
      <c r="L124" s="2"/>
      <c r="M124" s="26"/>
      <c r="N124" s="14"/>
      <c r="O124" s="18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>
      <c r="A125" s="7"/>
      <c r="B125" s="8" t="s">
        <v>207</v>
      </c>
      <c r="C125" s="9">
        <f t="shared" si="2"/>
        <v>14123</v>
      </c>
      <c r="D125" s="28"/>
      <c r="E125" s="11"/>
      <c r="F125" s="2"/>
      <c r="G125" s="2"/>
      <c r="H125" s="2"/>
      <c r="I125" s="12"/>
      <c r="J125" s="2"/>
      <c r="K125" s="2"/>
      <c r="L125" s="2"/>
      <c r="M125" s="26"/>
      <c r="N125" s="14"/>
      <c r="O125" s="18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>
      <c r="A126" s="7"/>
      <c r="B126" s="8" t="s">
        <v>208</v>
      </c>
      <c r="C126" s="9">
        <f t="shared" si="2"/>
        <v>14124</v>
      </c>
      <c r="D126" s="28"/>
      <c r="E126" s="11"/>
      <c r="F126" s="2"/>
      <c r="G126" s="2"/>
      <c r="H126" s="2"/>
      <c r="I126" s="12"/>
      <c r="J126" s="2"/>
      <c r="K126" s="2"/>
      <c r="L126" s="2"/>
      <c r="M126" s="26"/>
      <c r="N126" s="14"/>
      <c r="O126" s="18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>
      <c r="A127" s="7"/>
      <c r="B127" s="8" t="s">
        <v>209</v>
      </c>
      <c r="C127" s="9">
        <f t="shared" si="2"/>
        <v>14125</v>
      </c>
      <c r="D127" s="28"/>
      <c r="E127" s="11"/>
      <c r="F127" s="2"/>
      <c r="G127" s="2"/>
      <c r="H127" s="2"/>
      <c r="I127" s="12"/>
      <c r="J127" s="2"/>
      <c r="K127" s="2"/>
      <c r="L127" s="2"/>
      <c r="M127" s="26"/>
      <c r="N127" s="14"/>
      <c r="O127" s="18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>
      <c r="A128" s="7"/>
      <c r="B128" s="8" t="s">
        <v>210</v>
      </c>
      <c r="C128" s="9">
        <f t="shared" si="2"/>
        <v>14126</v>
      </c>
      <c r="D128" s="28"/>
      <c r="E128" s="11"/>
      <c r="F128" s="2"/>
      <c r="G128" s="2"/>
      <c r="H128" s="2"/>
      <c r="I128" s="12"/>
      <c r="J128" s="2"/>
      <c r="K128" s="2"/>
      <c r="L128" s="2"/>
      <c r="M128" s="26"/>
      <c r="N128" s="14"/>
      <c r="O128" s="18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>
      <c r="A129" s="7"/>
      <c r="B129" s="8" t="s">
        <v>211</v>
      </c>
      <c r="C129" s="9">
        <f t="shared" si="2"/>
        <v>14127</v>
      </c>
      <c r="D129" s="28"/>
      <c r="E129" s="11"/>
      <c r="F129" s="2"/>
      <c r="G129" s="2"/>
      <c r="H129" s="2"/>
      <c r="I129" s="12"/>
      <c r="J129" s="2"/>
      <c r="K129" s="2"/>
      <c r="L129" s="2"/>
      <c r="M129" s="26"/>
      <c r="N129" s="14"/>
      <c r="O129" s="18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>
      <c r="A130" s="7"/>
      <c r="B130" s="8" t="s">
        <v>212</v>
      </c>
      <c r="C130" s="9">
        <f t="shared" si="2"/>
        <v>14128</v>
      </c>
      <c r="D130" s="28"/>
      <c r="E130" s="11"/>
      <c r="F130" s="2"/>
      <c r="G130" s="2"/>
      <c r="H130" s="2"/>
      <c r="I130" s="12"/>
      <c r="J130" s="2"/>
      <c r="K130" s="2"/>
      <c r="L130" s="2"/>
      <c r="M130" s="26"/>
      <c r="N130" s="14"/>
      <c r="O130" s="18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>
      <c r="A131" s="7"/>
      <c r="B131" s="8" t="s">
        <v>213</v>
      </c>
      <c r="C131" s="9">
        <f t="shared" si="2"/>
        <v>14129</v>
      </c>
      <c r="D131" s="10"/>
      <c r="E131" s="11"/>
      <c r="F131" s="2"/>
      <c r="G131" s="2"/>
      <c r="H131" s="2"/>
      <c r="I131" s="12"/>
      <c r="J131" s="2"/>
      <c r="K131" s="2"/>
      <c r="L131" s="2"/>
      <c r="M131" s="26"/>
      <c r="N131" s="109"/>
      <c r="O131" s="18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>
      <c r="A132" s="7"/>
      <c r="B132" s="8" t="s">
        <v>214</v>
      </c>
      <c r="C132" s="9">
        <f t="shared" si="2"/>
        <v>14130</v>
      </c>
      <c r="D132" s="10"/>
      <c r="E132" s="11"/>
      <c r="F132" s="2"/>
      <c r="G132" s="2"/>
      <c r="H132" s="2"/>
      <c r="I132" s="25"/>
      <c r="J132" s="2"/>
      <c r="K132" s="2"/>
      <c r="L132" s="2"/>
      <c r="M132" s="26"/>
      <c r="N132" s="109"/>
      <c r="O132" s="18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>
      <c r="A133" s="7"/>
      <c r="B133" s="8" t="s">
        <v>215</v>
      </c>
      <c r="C133" s="9">
        <f t="shared" si="2"/>
        <v>14131</v>
      </c>
      <c r="D133" s="28"/>
      <c r="E133" s="29"/>
      <c r="F133" s="18"/>
      <c r="G133" s="18"/>
      <c r="H133" s="18"/>
      <c r="I133" s="25"/>
      <c r="J133" s="18"/>
      <c r="K133" s="18"/>
      <c r="L133" s="18"/>
      <c r="M133" s="18"/>
      <c r="N133" s="109"/>
      <c r="O133" s="18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>
      <c r="A134" s="7"/>
      <c r="B134" s="8" t="s">
        <v>216</v>
      </c>
      <c r="C134" s="9">
        <f t="shared" si="2"/>
        <v>14132</v>
      </c>
      <c r="D134" s="28"/>
      <c r="E134" s="29"/>
      <c r="F134" s="18"/>
      <c r="G134" s="18"/>
      <c r="H134" s="18"/>
      <c r="I134" s="25"/>
      <c r="J134" s="18"/>
      <c r="K134" s="18"/>
      <c r="L134" s="18"/>
      <c r="M134" s="18"/>
      <c r="N134" s="109"/>
      <c r="O134" s="18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>
      <c r="A135" s="7"/>
      <c r="B135" s="8" t="s">
        <v>217</v>
      </c>
      <c r="C135" s="9">
        <f t="shared" si="2"/>
        <v>14133</v>
      </c>
      <c r="D135" s="10"/>
      <c r="E135" s="11"/>
      <c r="F135" s="18"/>
      <c r="G135" s="2"/>
      <c r="H135" s="2"/>
      <c r="I135" s="12"/>
      <c r="J135" s="2"/>
      <c r="K135" s="2"/>
      <c r="L135" s="2"/>
      <c r="M135" s="21"/>
      <c r="N135" s="14"/>
      <c r="O135" s="18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>
      <c r="A136" s="7"/>
      <c r="B136" s="8" t="s">
        <v>218</v>
      </c>
      <c r="C136" s="9">
        <f t="shared" si="2"/>
        <v>14134</v>
      </c>
      <c r="D136" s="10"/>
      <c r="E136" s="11"/>
      <c r="F136" s="18"/>
      <c r="G136" s="2"/>
      <c r="H136" s="2"/>
      <c r="I136" s="12"/>
      <c r="J136" s="2"/>
      <c r="K136" s="2"/>
      <c r="L136" s="2"/>
      <c r="M136" s="41"/>
      <c r="N136" s="14"/>
      <c r="O136" s="18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>
      <c r="A137" s="7"/>
      <c r="B137" s="8" t="s">
        <v>219</v>
      </c>
      <c r="C137" s="9">
        <f t="shared" si="2"/>
        <v>14135</v>
      </c>
      <c r="D137" s="28"/>
      <c r="E137" s="11"/>
      <c r="F137" s="18"/>
      <c r="G137" s="2"/>
      <c r="H137" s="2"/>
      <c r="I137" s="12"/>
      <c r="J137" s="2"/>
      <c r="K137" s="2"/>
      <c r="L137" s="2"/>
      <c r="M137" s="21"/>
      <c r="N137" s="14"/>
      <c r="O137" s="18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>
      <c r="A138" s="7"/>
      <c r="B138" s="8" t="s">
        <v>220</v>
      </c>
      <c r="C138" s="9">
        <f t="shared" si="2"/>
        <v>14136</v>
      </c>
      <c r="D138" s="28"/>
      <c r="E138" s="11"/>
      <c r="F138" s="18"/>
      <c r="G138" s="2"/>
      <c r="H138" s="2"/>
      <c r="I138" s="12"/>
      <c r="J138" s="18"/>
      <c r="K138" s="2"/>
      <c r="L138" s="2"/>
      <c r="M138" s="21"/>
      <c r="N138" s="14"/>
      <c r="O138" s="18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>
      <c r="A139" s="7"/>
      <c r="B139" s="8" t="s">
        <v>221</v>
      </c>
      <c r="C139" s="9">
        <f t="shared" si="2"/>
        <v>14137</v>
      </c>
      <c r="D139" s="28"/>
      <c r="E139" s="11"/>
      <c r="F139" s="18"/>
      <c r="G139" s="2"/>
      <c r="H139" s="2"/>
      <c r="I139" s="12"/>
      <c r="J139" s="2"/>
      <c r="K139" s="2"/>
      <c r="L139" s="2"/>
      <c r="M139" s="21"/>
      <c r="N139" s="14"/>
      <c r="O139" s="18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>
      <c r="A140" s="7"/>
      <c r="B140" s="8" t="s">
        <v>222</v>
      </c>
      <c r="C140" s="9">
        <f t="shared" si="2"/>
        <v>14138</v>
      </c>
      <c r="D140" s="28"/>
      <c r="E140" s="11"/>
      <c r="F140" s="18"/>
      <c r="G140" s="2"/>
      <c r="H140" s="2"/>
      <c r="I140" s="12"/>
      <c r="J140" s="2"/>
      <c r="K140" s="2"/>
      <c r="L140" s="2"/>
      <c r="M140" s="21"/>
      <c r="N140" s="14"/>
      <c r="O140" s="18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>
      <c r="A141" s="7"/>
      <c r="B141" s="8" t="s">
        <v>223</v>
      </c>
      <c r="C141" s="9">
        <f t="shared" si="2"/>
        <v>14139</v>
      </c>
      <c r="D141" s="28"/>
      <c r="E141" s="11"/>
      <c r="F141" s="18"/>
      <c r="G141" s="2"/>
      <c r="H141" s="2"/>
      <c r="I141" s="12"/>
      <c r="J141" s="18"/>
      <c r="K141" s="2"/>
      <c r="L141" s="2"/>
      <c r="M141" s="21"/>
      <c r="N141" s="14"/>
      <c r="O141" s="18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>
      <c r="A142" s="7"/>
      <c r="B142" s="8" t="s">
        <v>224</v>
      </c>
      <c r="C142" s="9">
        <f t="shared" si="2"/>
        <v>14140</v>
      </c>
      <c r="D142" s="28"/>
      <c r="E142" s="11"/>
      <c r="F142" s="18"/>
      <c r="G142" s="2"/>
      <c r="H142" s="2"/>
      <c r="I142" s="12"/>
      <c r="J142" s="2"/>
      <c r="K142" s="2"/>
      <c r="L142" s="2"/>
      <c r="M142" s="21"/>
      <c r="N142" s="14"/>
      <c r="O142" s="18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>
      <c r="A143" s="7"/>
      <c r="B143" s="8" t="s">
        <v>225</v>
      </c>
      <c r="C143" s="9">
        <f t="shared" si="2"/>
        <v>14141</v>
      </c>
      <c r="D143" s="28"/>
      <c r="E143" s="11"/>
      <c r="F143" s="18"/>
      <c r="G143" s="2"/>
      <c r="H143" s="2"/>
      <c r="I143" s="12"/>
      <c r="J143" s="2"/>
      <c r="K143" s="2"/>
      <c r="L143" s="2"/>
      <c r="M143" s="21"/>
      <c r="N143" s="14"/>
      <c r="O143" s="18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>
      <c r="A144" s="7"/>
      <c r="B144" s="8" t="s">
        <v>226</v>
      </c>
      <c r="C144" s="9">
        <f t="shared" si="2"/>
        <v>14142</v>
      </c>
      <c r="D144" s="28"/>
      <c r="E144" s="11"/>
      <c r="F144" s="18"/>
      <c r="G144" s="2"/>
      <c r="H144" s="2"/>
      <c r="I144" s="12"/>
      <c r="J144" s="2"/>
      <c r="K144" s="2"/>
      <c r="L144" s="2"/>
      <c r="M144" s="21"/>
      <c r="N144" s="14"/>
      <c r="O144" s="18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>
      <c r="A145" s="7"/>
      <c r="B145" s="8" t="s">
        <v>227</v>
      </c>
      <c r="C145" s="9">
        <f t="shared" si="2"/>
        <v>14143</v>
      </c>
      <c r="D145" s="28"/>
      <c r="E145" s="11"/>
      <c r="F145" s="18"/>
      <c r="G145" s="2"/>
      <c r="H145" s="2"/>
      <c r="I145" s="12"/>
      <c r="J145" s="2"/>
      <c r="K145" s="2"/>
      <c r="L145" s="2"/>
      <c r="M145" s="21"/>
      <c r="N145" s="14"/>
      <c r="O145" s="18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>
      <c r="A146" s="7"/>
      <c r="B146" s="8" t="s">
        <v>228</v>
      </c>
      <c r="C146" s="9">
        <f t="shared" si="2"/>
        <v>14144</v>
      </c>
      <c r="D146" s="28"/>
      <c r="E146" s="11"/>
      <c r="F146" s="18"/>
      <c r="G146" s="2"/>
      <c r="H146" s="2"/>
      <c r="I146" s="12"/>
      <c r="J146" s="18"/>
      <c r="K146" s="2"/>
      <c r="L146" s="2"/>
      <c r="M146" s="21"/>
      <c r="N146" s="14"/>
      <c r="O146" s="18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>
      <c r="A147" s="7"/>
      <c r="B147" s="8" t="s">
        <v>229</v>
      </c>
      <c r="C147" s="9">
        <f t="shared" si="2"/>
        <v>14145</v>
      </c>
      <c r="D147" s="28"/>
      <c r="E147" s="11"/>
      <c r="F147" s="18"/>
      <c r="G147" s="2"/>
      <c r="H147" s="2"/>
      <c r="I147" s="12"/>
      <c r="J147" s="2"/>
      <c r="K147" s="2"/>
      <c r="L147" s="2"/>
      <c r="M147" s="21"/>
      <c r="N147" s="14"/>
      <c r="O147" s="18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>
      <c r="A148" s="7"/>
      <c r="B148" s="8" t="s">
        <v>230</v>
      </c>
      <c r="C148" s="9">
        <f t="shared" si="2"/>
        <v>14146</v>
      </c>
      <c r="D148" s="28"/>
      <c r="E148" s="11"/>
      <c r="F148" s="18"/>
      <c r="G148" s="2"/>
      <c r="H148" s="2"/>
      <c r="I148" s="12"/>
      <c r="J148" s="2"/>
      <c r="K148" s="2"/>
      <c r="L148" s="2"/>
      <c r="M148" s="21"/>
      <c r="N148" s="14"/>
      <c r="O148" s="18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>
      <c r="A149" s="7"/>
      <c r="B149" s="8" t="s">
        <v>231</v>
      </c>
      <c r="C149" s="9">
        <f t="shared" si="2"/>
        <v>14148</v>
      </c>
      <c r="D149" s="28"/>
      <c r="E149" s="11"/>
      <c r="F149" s="18"/>
      <c r="G149" s="2"/>
      <c r="H149" s="2"/>
      <c r="I149" s="12"/>
      <c r="J149" s="2"/>
      <c r="K149" s="2"/>
      <c r="L149" s="2"/>
      <c r="M149" s="21"/>
      <c r="N149" s="14"/>
      <c r="O149" s="18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>
      <c r="A150" s="7"/>
      <c r="B150" s="8" t="s">
        <v>232</v>
      </c>
      <c r="C150" s="9">
        <f t="shared" si="2"/>
        <v>14149</v>
      </c>
      <c r="D150" s="28"/>
      <c r="E150" s="23"/>
      <c r="F150" s="18"/>
      <c r="G150" s="2"/>
      <c r="H150" s="2"/>
      <c r="I150" s="12"/>
      <c r="J150" s="2"/>
      <c r="K150" s="2"/>
      <c r="L150" s="2"/>
      <c r="M150" s="21"/>
      <c r="N150" s="14"/>
      <c r="O150" s="18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>
      <c r="A151" s="7"/>
      <c r="B151" s="8" t="s">
        <v>233</v>
      </c>
      <c r="C151" s="9">
        <f t="shared" si="2"/>
        <v>14150</v>
      </c>
      <c r="D151" s="28"/>
      <c r="E151" s="11"/>
      <c r="F151" s="18"/>
      <c r="G151" s="2"/>
      <c r="H151" s="2"/>
      <c r="I151" s="12"/>
      <c r="J151" s="2"/>
      <c r="K151" s="2"/>
      <c r="L151" s="2"/>
      <c r="M151" s="21"/>
      <c r="N151" s="14"/>
      <c r="O151" s="18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>
      <c r="A152" s="7"/>
      <c r="B152" s="8" t="s">
        <v>234</v>
      </c>
      <c r="C152" s="9">
        <f t="shared" si="2"/>
        <v>14151</v>
      </c>
      <c r="D152" s="28"/>
      <c r="E152" s="11"/>
      <c r="F152" s="18"/>
      <c r="G152" s="2"/>
      <c r="H152" s="2"/>
      <c r="I152" s="12"/>
      <c r="J152" s="2"/>
      <c r="K152" s="2"/>
      <c r="L152" s="2"/>
      <c r="M152" s="21"/>
      <c r="N152" s="14"/>
      <c r="O152" s="18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>
      <c r="A153" s="7"/>
      <c r="B153" s="8" t="s">
        <v>235</v>
      </c>
      <c r="C153" s="9">
        <f t="shared" si="2"/>
        <v>14152</v>
      </c>
      <c r="D153" s="28"/>
      <c r="E153" s="11"/>
      <c r="F153" s="18"/>
      <c r="G153" s="2"/>
      <c r="H153" s="2"/>
      <c r="I153" s="12"/>
      <c r="J153" s="2"/>
      <c r="K153" s="2"/>
      <c r="L153" s="2"/>
      <c r="M153" s="21"/>
      <c r="N153" s="14"/>
      <c r="O153" s="18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>
      <c r="A154" s="7"/>
      <c r="B154" s="8" t="s">
        <v>236</v>
      </c>
      <c r="C154" s="9">
        <f t="shared" si="2"/>
        <v>14153</v>
      </c>
      <c r="D154" s="28"/>
      <c r="E154" s="11"/>
      <c r="F154" s="18"/>
      <c r="G154" s="2"/>
      <c r="H154" s="2"/>
      <c r="I154" s="12"/>
      <c r="J154" s="2"/>
      <c r="K154" s="2"/>
      <c r="L154" s="2"/>
      <c r="M154" s="21"/>
      <c r="N154" s="14"/>
      <c r="O154" s="18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>
      <c r="A155" s="7"/>
      <c r="B155" s="8" t="s">
        <v>237</v>
      </c>
      <c r="C155" s="9">
        <f t="shared" si="2"/>
        <v>14154</v>
      </c>
      <c r="D155" s="28"/>
      <c r="E155" s="11"/>
      <c r="F155" s="18"/>
      <c r="G155" s="2"/>
      <c r="H155" s="2"/>
      <c r="I155" s="12"/>
      <c r="J155" s="2"/>
      <c r="K155" s="2"/>
      <c r="L155" s="2"/>
      <c r="M155" s="21"/>
      <c r="N155" s="14"/>
      <c r="O155" s="18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>
      <c r="A156" s="7"/>
      <c r="B156" s="8" t="s">
        <v>238</v>
      </c>
      <c r="C156" s="9">
        <f t="shared" si="2"/>
        <v>14155</v>
      </c>
      <c r="D156" s="28"/>
      <c r="E156" s="11"/>
      <c r="F156" s="18"/>
      <c r="G156" s="2"/>
      <c r="H156" s="2"/>
      <c r="I156" s="12"/>
      <c r="J156" s="2"/>
      <c r="K156" s="2"/>
      <c r="L156" s="2"/>
      <c r="M156" s="21"/>
      <c r="N156" s="14"/>
      <c r="O156" s="18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>
      <c r="A157" s="7"/>
      <c r="B157" s="8" t="s">
        <v>239</v>
      </c>
      <c r="C157" s="9">
        <f t="shared" si="2"/>
        <v>14156</v>
      </c>
      <c r="D157" s="28"/>
      <c r="E157" s="11"/>
      <c r="F157" s="18"/>
      <c r="G157" s="2"/>
      <c r="H157" s="2"/>
      <c r="I157" s="12"/>
      <c r="J157" s="2"/>
      <c r="K157" s="2"/>
      <c r="L157" s="2"/>
      <c r="M157" s="21"/>
      <c r="N157" s="14"/>
      <c r="O157" s="18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>
      <c r="A158" s="7"/>
      <c r="B158" s="8" t="s">
        <v>240</v>
      </c>
      <c r="C158" s="9">
        <f t="shared" si="2"/>
        <v>14157</v>
      </c>
      <c r="D158" s="28"/>
      <c r="E158" s="11"/>
      <c r="F158" s="18"/>
      <c r="G158" s="2"/>
      <c r="H158" s="2"/>
      <c r="I158" s="12"/>
      <c r="J158" s="2"/>
      <c r="K158" s="2"/>
      <c r="L158" s="2"/>
      <c r="M158" s="21"/>
      <c r="N158" s="14"/>
      <c r="O158" s="18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>
      <c r="A159" s="7"/>
      <c r="B159" s="8" t="s">
        <v>241</v>
      </c>
      <c r="C159" s="9">
        <f t="shared" si="2"/>
        <v>14158</v>
      </c>
      <c r="D159" s="28"/>
      <c r="E159" s="11"/>
      <c r="F159" s="18"/>
      <c r="G159" s="2"/>
      <c r="H159" s="2"/>
      <c r="I159" s="12"/>
      <c r="J159" s="2"/>
      <c r="K159" s="2"/>
      <c r="L159" s="2"/>
      <c r="M159" s="21"/>
      <c r="N159" s="14"/>
      <c r="O159" s="18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>
      <c r="A160" s="7"/>
      <c r="B160" s="8" t="s">
        <v>242</v>
      </c>
      <c r="C160" s="9">
        <f t="shared" si="2"/>
        <v>14159</v>
      </c>
      <c r="D160" s="28"/>
      <c r="E160" s="11"/>
      <c r="F160" s="18"/>
      <c r="G160" s="2"/>
      <c r="H160" s="2"/>
      <c r="I160" s="12"/>
      <c r="J160" s="2"/>
      <c r="K160" s="2"/>
      <c r="L160" s="2"/>
      <c r="M160" s="21"/>
      <c r="N160" s="14"/>
      <c r="O160" s="18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>
      <c r="A161" s="7"/>
      <c r="B161" s="8" t="s">
        <v>243</v>
      </c>
      <c r="C161" s="9">
        <f t="shared" si="2"/>
        <v>14160</v>
      </c>
      <c r="D161" s="28"/>
      <c r="E161" s="11"/>
      <c r="F161" s="18"/>
      <c r="G161" s="2"/>
      <c r="H161" s="2"/>
      <c r="I161" s="12"/>
      <c r="J161" s="2"/>
      <c r="K161" s="2"/>
      <c r="L161" s="2"/>
      <c r="M161" s="21"/>
      <c r="N161" s="14"/>
      <c r="O161" s="18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>
      <c r="A162" s="7"/>
      <c r="B162" s="8" t="s">
        <v>244</v>
      </c>
      <c r="C162" s="9">
        <f t="shared" si="2"/>
        <v>14161</v>
      </c>
      <c r="D162" s="28"/>
      <c r="E162" s="23"/>
      <c r="F162" s="18"/>
      <c r="G162" s="2"/>
      <c r="H162" s="2"/>
      <c r="I162" s="12"/>
      <c r="J162" s="2"/>
      <c r="K162" s="2"/>
      <c r="L162" s="2"/>
      <c r="M162" s="21"/>
      <c r="N162" s="14"/>
      <c r="O162" s="18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>
      <c r="A163" s="7"/>
      <c r="B163" s="8" t="s">
        <v>245</v>
      </c>
      <c r="C163" s="9">
        <f t="shared" si="2"/>
        <v>14162</v>
      </c>
      <c r="D163" s="28"/>
      <c r="E163" s="11"/>
      <c r="F163" s="18"/>
      <c r="G163" s="2"/>
      <c r="H163" s="2"/>
      <c r="I163" s="12"/>
      <c r="J163" s="2"/>
      <c r="K163" s="2"/>
      <c r="L163" s="2"/>
      <c r="M163" s="21"/>
      <c r="N163" s="14"/>
      <c r="O163" s="18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>
      <c r="A164" s="7"/>
      <c r="B164" s="8" t="s">
        <v>246</v>
      </c>
      <c r="C164" s="9">
        <f t="shared" si="2"/>
        <v>14163</v>
      </c>
      <c r="D164" s="28"/>
      <c r="E164" s="11"/>
      <c r="F164" s="18"/>
      <c r="G164" s="2"/>
      <c r="H164" s="2"/>
      <c r="I164" s="12"/>
      <c r="J164" s="2"/>
      <c r="K164" s="2"/>
      <c r="L164" s="2"/>
      <c r="M164" s="21"/>
      <c r="N164" s="14"/>
      <c r="O164" s="18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>
      <c r="A165" s="7"/>
      <c r="B165" s="8" t="s">
        <v>247</v>
      </c>
      <c r="C165" s="9">
        <f t="shared" si="2"/>
        <v>14164</v>
      </c>
      <c r="D165" s="28"/>
      <c r="E165" s="11"/>
      <c r="F165" s="18"/>
      <c r="G165" s="2"/>
      <c r="H165" s="2"/>
      <c r="I165" s="12"/>
      <c r="J165" s="2"/>
      <c r="K165" s="2"/>
      <c r="L165" s="2"/>
      <c r="M165" s="21"/>
      <c r="N165" s="14"/>
      <c r="O165" s="18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>
      <c r="A166" s="7"/>
      <c r="B166" s="8" t="s">
        <v>248</v>
      </c>
      <c r="C166" s="9">
        <f t="shared" si="2"/>
        <v>14165</v>
      </c>
      <c r="D166" s="28"/>
      <c r="E166" s="11"/>
      <c r="F166" s="18"/>
      <c r="G166" s="2"/>
      <c r="H166" s="2"/>
      <c r="I166" s="12"/>
      <c r="J166" s="2"/>
      <c r="K166" s="2"/>
      <c r="L166" s="2"/>
      <c r="M166" s="21"/>
      <c r="N166" s="14"/>
      <c r="O166" s="18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>
      <c r="A167" s="7"/>
      <c r="B167" s="8" t="s">
        <v>249</v>
      </c>
      <c r="C167" s="9">
        <f t="shared" si="2"/>
        <v>14166</v>
      </c>
      <c r="D167" s="28"/>
      <c r="E167" s="11"/>
      <c r="F167" s="18"/>
      <c r="G167" s="18"/>
      <c r="H167" s="18"/>
      <c r="I167" s="25"/>
      <c r="J167" s="18"/>
      <c r="K167" s="18"/>
      <c r="L167" s="18"/>
      <c r="M167" s="18"/>
      <c r="N167" s="109"/>
      <c r="O167" s="18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>
      <c r="A168" s="7"/>
      <c r="B168" s="8" t="s">
        <v>250</v>
      </c>
      <c r="C168" s="9">
        <f t="shared" si="2"/>
        <v>14167</v>
      </c>
      <c r="D168" s="28"/>
      <c r="E168" s="11"/>
      <c r="F168" s="18"/>
      <c r="G168" s="18"/>
      <c r="H168" s="18"/>
      <c r="I168" s="25"/>
      <c r="J168" s="18"/>
      <c r="K168" s="18"/>
      <c r="L168" s="18"/>
      <c r="M168" s="18"/>
      <c r="N168" s="109"/>
      <c r="O168" s="18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>
      <c r="A169" s="7"/>
      <c r="B169" s="8" t="s">
        <v>251</v>
      </c>
      <c r="C169" s="9">
        <f t="shared" si="2"/>
        <v>14168</v>
      </c>
      <c r="D169" s="10"/>
      <c r="E169" s="11"/>
      <c r="F169" s="2"/>
      <c r="G169" s="2"/>
      <c r="H169" s="2"/>
      <c r="I169" s="12"/>
      <c r="J169" s="2"/>
      <c r="K169" s="2"/>
      <c r="L169" s="2"/>
      <c r="M169" s="26"/>
      <c r="N169" s="109"/>
      <c r="O169" s="18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>
      <c r="A170" s="7"/>
      <c r="B170" s="8" t="s">
        <v>252</v>
      </c>
      <c r="C170" s="9">
        <f t="shared" si="2"/>
        <v>14169</v>
      </c>
      <c r="D170" s="28"/>
      <c r="E170" s="29"/>
      <c r="F170" s="18"/>
      <c r="G170" s="18"/>
      <c r="H170" s="18"/>
      <c r="I170" s="25"/>
      <c r="J170" s="18"/>
      <c r="K170" s="18"/>
      <c r="L170" s="18"/>
      <c r="M170" s="18"/>
      <c r="N170" s="109"/>
      <c r="O170" s="18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>
      <c r="A171" s="7"/>
      <c r="B171" s="8" t="s">
        <v>253</v>
      </c>
      <c r="C171" s="9">
        <f t="shared" si="2"/>
        <v>14170</v>
      </c>
      <c r="D171" s="28"/>
      <c r="E171" s="29"/>
      <c r="F171" s="18"/>
      <c r="G171" s="18"/>
      <c r="H171" s="18"/>
      <c r="I171" s="25"/>
      <c r="J171" s="18"/>
      <c r="K171" s="18"/>
      <c r="L171" s="18"/>
      <c r="M171" s="18"/>
      <c r="N171" s="109"/>
      <c r="O171" s="18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>
      <c r="A172" s="7"/>
      <c r="B172" s="8" t="s">
        <v>254</v>
      </c>
      <c r="C172" s="9">
        <f t="shared" si="2"/>
        <v>14171</v>
      </c>
      <c r="D172" s="28"/>
      <c r="E172" s="29"/>
      <c r="F172" s="18"/>
      <c r="G172" s="18"/>
      <c r="H172" s="18"/>
      <c r="I172" s="25"/>
      <c r="J172" s="18"/>
      <c r="K172" s="18"/>
      <c r="L172" s="18"/>
      <c r="M172" s="18"/>
      <c r="N172" s="109"/>
      <c r="O172" s="18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>
      <c r="A173" s="7"/>
      <c r="B173" s="8" t="s">
        <v>255</v>
      </c>
      <c r="C173" s="9">
        <f t="shared" si="2"/>
        <v>14172</v>
      </c>
      <c r="D173" s="28"/>
      <c r="E173" s="29"/>
      <c r="F173" s="18"/>
      <c r="G173" s="18"/>
      <c r="H173" s="18"/>
      <c r="I173" s="25"/>
      <c r="J173" s="18"/>
      <c r="K173" s="18"/>
      <c r="L173" s="18"/>
      <c r="M173" s="18"/>
      <c r="N173" s="109"/>
      <c r="O173" s="18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>
      <c r="A174" s="7"/>
      <c r="B174" s="8" t="s">
        <v>256</v>
      </c>
      <c r="C174" s="9">
        <f t="shared" si="2"/>
        <v>14173</v>
      </c>
      <c r="D174" s="28"/>
      <c r="E174" s="29"/>
      <c r="F174" s="18"/>
      <c r="G174" s="18"/>
      <c r="H174" s="18"/>
      <c r="I174" s="25"/>
      <c r="J174" s="18"/>
      <c r="K174" s="18"/>
      <c r="L174" s="18"/>
      <c r="M174" s="18"/>
      <c r="N174" s="109"/>
      <c r="O174" s="18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>
      <c r="A175" s="7"/>
      <c r="B175" s="8" t="s">
        <v>257</v>
      </c>
      <c r="C175" s="9">
        <f t="shared" si="2"/>
        <v>14174</v>
      </c>
      <c r="D175" s="28"/>
      <c r="E175" s="29"/>
      <c r="F175" s="18"/>
      <c r="G175" s="18"/>
      <c r="H175" s="18"/>
      <c r="I175" s="25"/>
      <c r="J175" s="18"/>
      <c r="K175" s="18"/>
      <c r="L175" s="18"/>
      <c r="M175" s="18"/>
      <c r="N175" s="109"/>
      <c r="O175" s="18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>
      <c r="A176" s="7"/>
      <c r="B176" s="8" t="s">
        <v>258</v>
      </c>
      <c r="C176" s="9">
        <f t="shared" si="2"/>
        <v>14175</v>
      </c>
      <c r="D176" s="28"/>
      <c r="E176" s="29"/>
      <c r="F176" s="18"/>
      <c r="G176" s="18"/>
      <c r="H176" s="18"/>
      <c r="I176" s="25"/>
      <c r="J176" s="18"/>
      <c r="K176" s="18"/>
      <c r="L176" s="18"/>
      <c r="M176" s="18"/>
      <c r="N176" s="109"/>
      <c r="O176" s="18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>
      <c r="A177" s="7"/>
      <c r="B177" s="8" t="s">
        <v>259</v>
      </c>
      <c r="C177" s="9">
        <f t="shared" si="2"/>
        <v>14176</v>
      </c>
      <c r="D177" s="28"/>
      <c r="E177" s="29"/>
      <c r="F177" s="18"/>
      <c r="G177" s="18"/>
      <c r="H177" s="18"/>
      <c r="I177" s="25"/>
      <c r="J177" s="18"/>
      <c r="K177" s="18"/>
      <c r="L177" s="18"/>
      <c r="M177" s="18"/>
      <c r="N177" s="109"/>
      <c r="O177" s="18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>
      <c r="A178" s="7"/>
      <c r="B178" s="8" t="s">
        <v>260</v>
      </c>
      <c r="C178" s="9">
        <f t="shared" si="2"/>
        <v>14177</v>
      </c>
      <c r="D178" s="28"/>
      <c r="E178" s="29"/>
      <c r="F178" s="18"/>
      <c r="G178" s="18"/>
      <c r="H178" s="18"/>
      <c r="I178" s="25"/>
      <c r="J178" s="18"/>
      <c r="K178" s="18"/>
      <c r="L178" s="18"/>
      <c r="M178" s="18"/>
      <c r="N178" s="109"/>
      <c r="O178" s="18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>
      <c r="A179" s="7"/>
      <c r="B179" s="8" t="s">
        <v>261</v>
      </c>
      <c r="C179" s="9">
        <f t="shared" si="2"/>
        <v>14178</v>
      </c>
      <c r="D179" s="28"/>
      <c r="E179" s="29"/>
      <c r="F179" s="18"/>
      <c r="G179" s="18"/>
      <c r="H179" s="18"/>
      <c r="I179" s="25"/>
      <c r="J179" s="18"/>
      <c r="K179" s="18"/>
      <c r="L179" s="18"/>
      <c r="M179" s="18"/>
      <c r="N179" s="109"/>
      <c r="O179" s="18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>
      <c r="A180" s="7"/>
      <c r="B180" s="8" t="s">
        <v>262</v>
      </c>
      <c r="C180" s="9">
        <f t="shared" si="2"/>
        <v>14179</v>
      </c>
      <c r="D180" s="28"/>
      <c r="E180" s="29"/>
      <c r="F180" s="18"/>
      <c r="G180" s="18"/>
      <c r="H180" s="18"/>
      <c r="I180" s="25"/>
      <c r="J180" s="18"/>
      <c r="K180" s="18"/>
      <c r="L180" s="18"/>
      <c r="M180" s="18"/>
      <c r="N180" s="109"/>
      <c r="O180" s="18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>
      <c r="A181" s="7"/>
      <c r="B181" s="8" t="s">
        <v>263</v>
      </c>
      <c r="C181" s="9">
        <f t="shared" si="2"/>
        <v>14180</v>
      </c>
      <c r="D181" s="28"/>
      <c r="E181" s="29"/>
      <c r="F181" s="18"/>
      <c r="G181" s="18"/>
      <c r="H181" s="18"/>
      <c r="I181" s="25"/>
      <c r="J181" s="18"/>
      <c r="K181" s="18"/>
      <c r="L181" s="18"/>
      <c r="M181" s="18"/>
      <c r="N181" s="109"/>
      <c r="O181" s="18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>
      <c r="A182" s="7"/>
      <c r="B182" s="8" t="s">
        <v>264</v>
      </c>
      <c r="C182" s="9">
        <f t="shared" si="2"/>
        <v>14181</v>
      </c>
      <c r="D182" s="28"/>
      <c r="E182" s="29"/>
      <c r="F182" s="18"/>
      <c r="G182" s="18"/>
      <c r="H182" s="18"/>
      <c r="I182" s="25"/>
      <c r="J182" s="18"/>
      <c r="K182" s="18"/>
      <c r="L182" s="18"/>
      <c r="M182" s="18"/>
      <c r="N182" s="109"/>
      <c r="O182" s="18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>
      <c r="A183" s="7"/>
      <c r="B183" s="8" t="s">
        <v>265</v>
      </c>
      <c r="C183" s="9">
        <f t="shared" si="2"/>
        <v>14182</v>
      </c>
      <c r="D183" s="28"/>
      <c r="E183" s="29"/>
      <c r="F183" s="18"/>
      <c r="G183" s="18"/>
      <c r="H183" s="18"/>
      <c r="I183" s="25"/>
      <c r="J183" s="18"/>
      <c r="K183" s="18"/>
      <c r="L183" s="18"/>
      <c r="M183" s="18"/>
      <c r="N183" s="109"/>
      <c r="O183" s="18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>
      <c r="A184" s="7"/>
      <c r="B184" s="8" t="s">
        <v>266</v>
      </c>
      <c r="C184" s="9">
        <f t="shared" si="2"/>
        <v>14183</v>
      </c>
      <c r="D184" s="28"/>
      <c r="E184" s="29"/>
      <c r="F184" s="18"/>
      <c r="G184" s="18"/>
      <c r="H184" s="18"/>
      <c r="I184" s="25"/>
      <c r="J184" s="18"/>
      <c r="K184" s="18"/>
      <c r="L184" s="18"/>
      <c r="M184" s="18"/>
      <c r="N184" s="109"/>
      <c r="O184" s="18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>
      <c r="A185" s="7"/>
      <c r="B185" s="8" t="s">
        <v>267</v>
      </c>
      <c r="C185" s="9">
        <f t="shared" si="2"/>
        <v>14184</v>
      </c>
      <c r="D185" s="28"/>
      <c r="E185" s="29"/>
      <c r="F185" s="18"/>
      <c r="G185" s="18"/>
      <c r="H185" s="18"/>
      <c r="I185" s="25"/>
      <c r="J185" s="18"/>
      <c r="K185" s="18"/>
      <c r="L185" s="18"/>
      <c r="M185" s="18"/>
      <c r="N185" s="109"/>
      <c r="O185" s="18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>
      <c r="A186" s="7"/>
      <c r="B186" s="8" t="s">
        <v>268</v>
      </c>
      <c r="C186" s="9">
        <f t="shared" si="2"/>
        <v>14185</v>
      </c>
      <c r="D186" s="28"/>
      <c r="E186" s="29"/>
      <c r="F186" s="18"/>
      <c r="G186" s="18"/>
      <c r="H186" s="18"/>
      <c r="I186" s="25"/>
      <c r="J186" s="18"/>
      <c r="K186" s="18"/>
      <c r="L186" s="18"/>
      <c r="M186" s="18"/>
      <c r="N186" s="109"/>
      <c r="O186" s="18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>
      <c r="A187" s="7"/>
      <c r="B187" s="8" t="s">
        <v>269</v>
      </c>
      <c r="C187" s="9">
        <f t="shared" si="2"/>
        <v>14186</v>
      </c>
      <c r="D187" s="28"/>
      <c r="E187" s="29"/>
      <c r="F187" s="18"/>
      <c r="G187" s="18"/>
      <c r="H187" s="18"/>
      <c r="I187" s="25"/>
      <c r="J187" s="18"/>
      <c r="K187" s="18"/>
      <c r="L187" s="18"/>
      <c r="M187" s="18"/>
      <c r="N187" s="109"/>
      <c r="O187" s="18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>
      <c r="A188" s="7"/>
      <c r="B188" s="8" t="s">
        <v>270</v>
      </c>
      <c r="C188" s="9">
        <f t="shared" si="2"/>
        <v>14187</v>
      </c>
      <c r="D188" s="28"/>
      <c r="E188" s="29"/>
      <c r="F188" s="18"/>
      <c r="G188" s="18"/>
      <c r="H188" s="18"/>
      <c r="I188" s="25"/>
      <c r="J188" s="18"/>
      <c r="K188" s="18"/>
      <c r="L188" s="18"/>
      <c r="M188" s="18"/>
      <c r="N188" s="109"/>
      <c r="O188" s="18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>
      <c r="A189" s="7"/>
      <c r="B189" s="8" t="s">
        <v>271</v>
      </c>
      <c r="C189" s="9">
        <f t="shared" si="2"/>
        <v>14188</v>
      </c>
      <c r="D189" s="28"/>
      <c r="E189" s="29"/>
      <c r="F189" s="18"/>
      <c r="G189" s="18"/>
      <c r="H189" s="18"/>
      <c r="I189" s="25"/>
      <c r="J189" s="18"/>
      <c r="K189" s="18"/>
      <c r="L189" s="18"/>
      <c r="M189" s="18"/>
      <c r="N189" s="109"/>
      <c r="O189" s="18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>
      <c r="A190" s="7"/>
      <c r="B190" s="8" t="s">
        <v>272</v>
      </c>
      <c r="C190" s="9">
        <f t="shared" si="2"/>
        <v>14189</v>
      </c>
      <c r="D190" s="28"/>
      <c r="E190" s="29"/>
      <c r="F190" s="18"/>
      <c r="G190" s="18"/>
      <c r="H190" s="18"/>
      <c r="I190" s="25"/>
      <c r="J190" s="18"/>
      <c r="K190" s="18"/>
      <c r="L190" s="18"/>
      <c r="M190" s="18"/>
      <c r="N190" s="109"/>
      <c r="O190" s="18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>
      <c r="A191" s="7"/>
      <c r="B191" s="8" t="s">
        <v>273</v>
      </c>
      <c r="C191" s="9">
        <f t="shared" si="2"/>
        <v>14190</v>
      </c>
      <c r="D191" s="28"/>
      <c r="E191" s="29"/>
      <c r="F191" s="18"/>
      <c r="G191" s="18"/>
      <c r="H191" s="18"/>
      <c r="I191" s="25"/>
      <c r="J191" s="18"/>
      <c r="K191" s="18"/>
      <c r="L191" s="18"/>
      <c r="M191" s="18"/>
      <c r="N191" s="109"/>
      <c r="O191" s="18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>
      <c r="A192" s="7"/>
      <c r="B192" s="8" t="s">
        <v>274</v>
      </c>
      <c r="C192" s="9">
        <f t="shared" si="2"/>
        <v>14191</v>
      </c>
      <c r="D192" s="28"/>
      <c r="E192" s="29"/>
      <c r="F192" s="18"/>
      <c r="G192" s="18"/>
      <c r="H192" s="18"/>
      <c r="I192" s="25"/>
      <c r="J192" s="18"/>
      <c r="K192" s="18"/>
      <c r="L192" s="18"/>
      <c r="M192" s="18"/>
      <c r="N192" s="109"/>
      <c r="O192" s="18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>
      <c r="A193" s="7"/>
      <c r="B193" s="8" t="s">
        <v>275</v>
      </c>
      <c r="C193" s="9">
        <f t="shared" si="2"/>
        <v>14192</v>
      </c>
      <c r="D193" s="28"/>
      <c r="E193" s="29"/>
      <c r="F193" s="18"/>
      <c r="G193" s="18"/>
      <c r="H193" s="18"/>
      <c r="I193" s="25"/>
      <c r="J193" s="18"/>
      <c r="K193" s="18"/>
      <c r="L193" s="18"/>
      <c r="M193" s="18"/>
      <c r="N193" s="109"/>
      <c r="O193" s="18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>
      <c r="A194" s="7"/>
      <c r="B194" s="8" t="s">
        <v>276</v>
      </c>
      <c r="C194" s="9">
        <f t="shared" si="2"/>
        <v>14193</v>
      </c>
      <c r="D194" s="28"/>
      <c r="E194" s="29"/>
      <c r="F194" s="18"/>
      <c r="G194" s="18"/>
      <c r="H194" s="18"/>
      <c r="I194" s="25"/>
      <c r="J194" s="18"/>
      <c r="K194" s="18"/>
      <c r="L194" s="18"/>
      <c r="M194" s="18"/>
      <c r="N194" s="109"/>
      <c r="O194" s="18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>
      <c r="A195" s="7"/>
      <c r="B195" s="8" t="s">
        <v>277</v>
      </c>
      <c r="C195" s="9">
        <f t="shared" si="2"/>
        <v>14194</v>
      </c>
      <c r="D195" s="28"/>
      <c r="E195" s="29"/>
      <c r="F195" s="18"/>
      <c r="G195" s="18"/>
      <c r="H195" s="18"/>
      <c r="I195" s="25"/>
      <c r="J195" s="18"/>
      <c r="K195" s="18"/>
      <c r="L195" s="18"/>
      <c r="M195" s="18"/>
      <c r="N195" s="109"/>
      <c r="O195" s="18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>
      <c r="A196" s="7"/>
      <c r="B196" s="8" t="s">
        <v>278</v>
      </c>
      <c r="C196" s="9">
        <f t="shared" si="2"/>
        <v>14195</v>
      </c>
      <c r="D196" s="28"/>
      <c r="E196" s="29"/>
      <c r="F196" s="18"/>
      <c r="G196" s="18"/>
      <c r="H196" s="18"/>
      <c r="I196" s="25"/>
      <c r="J196" s="18"/>
      <c r="K196" s="18"/>
      <c r="L196" s="18"/>
      <c r="M196" s="18"/>
      <c r="N196" s="109"/>
      <c r="O196" s="18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>
      <c r="A197" s="7"/>
      <c r="B197" s="8" t="s">
        <v>279</v>
      </c>
      <c r="C197" s="9">
        <f t="shared" si="2"/>
        <v>14196</v>
      </c>
      <c r="D197" s="28"/>
      <c r="E197" s="29"/>
      <c r="F197" s="18"/>
      <c r="G197" s="18"/>
      <c r="H197" s="18"/>
      <c r="I197" s="25"/>
      <c r="J197" s="18"/>
      <c r="K197" s="18"/>
      <c r="L197" s="18"/>
      <c r="M197" s="18"/>
      <c r="N197" s="109"/>
      <c r="O197" s="18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>
      <c r="A198" s="7"/>
      <c r="B198" s="8" t="s">
        <v>280</v>
      </c>
      <c r="C198" s="9">
        <f t="shared" si="2"/>
        <v>14197</v>
      </c>
      <c r="D198" s="28"/>
      <c r="E198" s="29"/>
      <c r="F198" s="18"/>
      <c r="G198" s="18"/>
      <c r="H198" s="18"/>
      <c r="I198" s="25"/>
      <c r="J198" s="18"/>
      <c r="K198" s="18"/>
      <c r="L198" s="18"/>
      <c r="M198" s="18"/>
      <c r="N198" s="109"/>
      <c r="O198" s="18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>
      <c r="A199" s="7"/>
      <c r="B199" s="8" t="s">
        <v>281</v>
      </c>
      <c r="C199" s="9">
        <f t="shared" si="2"/>
        <v>14198</v>
      </c>
      <c r="D199" s="28"/>
      <c r="E199" s="29"/>
      <c r="F199" s="18"/>
      <c r="G199" s="18"/>
      <c r="H199" s="18"/>
      <c r="I199" s="25"/>
      <c r="J199" s="18"/>
      <c r="K199" s="18"/>
      <c r="L199" s="18"/>
      <c r="M199" s="18"/>
      <c r="N199" s="109"/>
      <c r="O199" s="18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>
      <c r="A200" s="7"/>
      <c r="B200" s="8" t="s">
        <v>282</v>
      </c>
      <c r="C200" s="9">
        <f t="shared" si="2"/>
        <v>14199</v>
      </c>
      <c r="D200" s="10"/>
      <c r="E200" s="11"/>
      <c r="F200" s="2"/>
      <c r="G200" s="2"/>
      <c r="H200" s="2"/>
      <c r="I200" s="25"/>
      <c r="J200" s="2"/>
      <c r="K200" s="2"/>
      <c r="L200" s="2"/>
      <c r="M200" s="26"/>
      <c r="N200" s="109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>
      <c r="A201" s="7"/>
      <c r="B201" s="8" t="s">
        <v>283</v>
      </c>
      <c r="C201" s="9">
        <f t="shared" si="2"/>
        <v>14200</v>
      </c>
      <c r="D201" s="10"/>
      <c r="E201" s="11"/>
      <c r="F201" s="2"/>
      <c r="G201" s="2"/>
      <c r="H201" s="2"/>
      <c r="I201" s="25"/>
      <c r="J201" s="2"/>
      <c r="K201" s="2"/>
      <c r="L201" s="2"/>
      <c r="M201" s="26"/>
      <c r="N201" s="109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>
      <c r="A202" s="7"/>
      <c r="B202" s="8" t="s">
        <v>284</v>
      </c>
      <c r="C202" s="9">
        <f t="shared" si="2"/>
        <v>14201</v>
      </c>
      <c r="D202" s="10"/>
      <c r="E202" s="11"/>
      <c r="F202" s="2"/>
      <c r="G202" s="2"/>
      <c r="H202" s="2"/>
      <c r="I202" s="25"/>
      <c r="J202" s="2"/>
      <c r="K202" s="2"/>
      <c r="L202" s="2"/>
      <c r="M202" s="26"/>
      <c r="N202" s="109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>
      <c r="A203" s="7"/>
      <c r="B203" s="8" t="s">
        <v>285</v>
      </c>
      <c r="C203" s="9">
        <f t="shared" si="2"/>
        <v>14202</v>
      </c>
      <c r="D203" s="10"/>
      <c r="E203" s="11"/>
      <c r="F203" s="2"/>
      <c r="G203" s="2"/>
      <c r="H203" s="2"/>
      <c r="I203" s="25"/>
      <c r="J203" s="2"/>
      <c r="K203" s="2"/>
      <c r="L203" s="2"/>
      <c r="M203" s="26"/>
      <c r="N203" s="109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>
      <c r="A204" s="7"/>
      <c r="B204" s="8" t="s">
        <v>286</v>
      </c>
      <c r="C204" s="9">
        <f t="shared" si="2"/>
        <v>14203</v>
      </c>
      <c r="D204" s="10"/>
      <c r="E204" s="11"/>
      <c r="F204" s="2"/>
      <c r="G204" s="2"/>
      <c r="H204" s="2"/>
      <c r="I204" s="25"/>
      <c r="J204" s="2"/>
      <c r="K204" s="2"/>
      <c r="L204" s="2"/>
      <c r="M204" s="26"/>
      <c r="N204" s="109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>
      <c r="A205" s="7"/>
      <c r="B205" s="8" t="s">
        <v>287</v>
      </c>
      <c r="C205" s="9">
        <f t="shared" si="2"/>
        <v>14204</v>
      </c>
      <c r="D205" s="10"/>
      <c r="E205" s="11"/>
      <c r="F205" s="2"/>
      <c r="G205" s="2"/>
      <c r="H205" s="2"/>
      <c r="I205" s="25"/>
      <c r="J205" s="2"/>
      <c r="K205" s="2"/>
      <c r="L205" s="2"/>
      <c r="M205" s="26"/>
      <c r="N205" s="109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>
      <c r="A206" s="7"/>
      <c r="B206" s="8" t="s">
        <v>288</v>
      </c>
      <c r="C206" s="9">
        <f t="shared" si="2"/>
        <v>14205</v>
      </c>
      <c r="D206" s="10"/>
      <c r="E206" s="11"/>
      <c r="F206" s="2"/>
      <c r="G206" s="2"/>
      <c r="H206" s="2"/>
      <c r="I206" s="25"/>
      <c r="J206" s="2"/>
      <c r="K206" s="2"/>
      <c r="L206" s="2"/>
      <c r="M206" s="26"/>
      <c r="N206" s="109"/>
      <c r="O206" s="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>
      <c r="A207" s="7"/>
      <c r="B207" s="8" t="s">
        <v>289</v>
      </c>
      <c r="C207" s="9">
        <f t="shared" si="2"/>
        <v>14206</v>
      </c>
      <c r="D207" s="10"/>
      <c r="E207" s="11"/>
      <c r="F207" s="2"/>
      <c r="G207" s="2"/>
      <c r="H207" s="2"/>
      <c r="I207" s="25"/>
      <c r="J207" s="2"/>
      <c r="K207" s="2"/>
      <c r="L207" s="2"/>
      <c r="M207" s="26"/>
      <c r="N207" s="109"/>
      <c r="O207" s="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>
      <c r="A208" s="7"/>
      <c r="B208" s="8" t="s">
        <v>290</v>
      </c>
      <c r="C208" s="9">
        <f t="shared" si="2"/>
        <v>14207</v>
      </c>
      <c r="D208" s="28"/>
      <c r="E208" s="29"/>
      <c r="F208" s="18"/>
      <c r="G208" s="18"/>
      <c r="H208" s="18"/>
      <c r="I208" s="25"/>
      <c r="J208" s="18"/>
      <c r="K208" s="18"/>
      <c r="L208" s="18"/>
      <c r="M208" s="18"/>
      <c r="N208" s="109"/>
      <c r="O208" s="18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>
      <c r="A209" s="7"/>
      <c r="B209" s="8" t="s">
        <v>291</v>
      </c>
      <c r="C209" s="9">
        <f t="shared" si="2"/>
        <v>14208</v>
      </c>
      <c r="D209" s="28"/>
      <c r="E209" s="29"/>
      <c r="F209" s="18"/>
      <c r="G209" s="18"/>
      <c r="H209" s="18"/>
      <c r="I209" s="25"/>
      <c r="J209" s="18"/>
      <c r="K209" s="18"/>
      <c r="L209" s="18"/>
      <c r="M209" s="18"/>
      <c r="N209" s="109"/>
      <c r="O209" s="18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>
      <c r="A210" s="7"/>
      <c r="B210" s="8" t="s">
        <v>292</v>
      </c>
      <c r="C210" s="9">
        <f t="shared" si="2"/>
        <v>14209</v>
      </c>
      <c r="D210" s="28"/>
      <c r="E210" s="29"/>
      <c r="F210" s="18"/>
      <c r="G210" s="18"/>
      <c r="H210" s="18"/>
      <c r="I210" s="25"/>
      <c r="J210" s="18"/>
      <c r="K210" s="18"/>
      <c r="L210" s="18"/>
      <c r="M210" s="18"/>
      <c r="N210" s="109"/>
      <c r="O210" s="18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>
      <c r="A211" s="7"/>
      <c r="B211" s="8" t="s">
        <v>293</v>
      </c>
      <c r="C211" s="9">
        <f t="shared" si="2"/>
        <v>14210</v>
      </c>
      <c r="D211" s="28"/>
      <c r="E211" s="29"/>
      <c r="F211" s="18"/>
      <c r="G211" s="18"/>
      <c r="H211" s="18"/>
      <c r="I211" s="25"/>
      <c r="J211" s="18"/>
      <c r="K211" s="18"/>
      <c r="L211" s="18"/>
      <c r="M211" s="18"/>
      <c r="N211" s="109"/>
      <c r="O211" s="18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>
      <c r="A212" s="7"/>
      <c r="B212" s="8" t="s">
        <v>294</v>
      </c>
      <c r="C212" s="9">
        <f t="shared" si="2"/>
        <v>14211</v>
      </c>
      <c r="D212" s="28"/>
      <c r="E212" s="29"/>
      <c r="F212" s="18"/>
      <c r="G212" s="18"/>
      <c r="H212" s="18"/>
      <c r="I212" s="25"/>
      <c r="J212" s="18"/>
      <c r="K212" s="18"/>
      <c r="L212" s="18"/>
      <c r="M212" s="18"/>
      <c r="N212" s="109"/>
      <c r="O212" s="18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>
      <c r="A213" s="7"/>
      <c r="B213" s="8" t="s">
        <v>295</v>
      </c>
      <c r="C213" s="9">
        <f t="shared" si="2"/>
        <v>14212</v>
      </c>
      <c r="D213" s="28"/>
      <c r="E213" s="29"/>
      <c r="F213" s="18"/>
      <c r="G213" s="18"/>
      <c r="H213" s="18"/>
      <c r="I213" s="25"/>
      <c r="J213" s="18"/>
      <c r="K213" s="18"/>
      <c r="L213" s="18"/>
      <c r="M213" s="18"/>
      <c r="N213" s="109"/>
      <c r="O213" s="18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>
      <c r="A214" s="7"/>
      <c r="B214" s="8" t="s">
        <v>296</v>
      </c>
      <c r="C214" s="9">
        <f t="shared" si="2"/>
        <v>14213</v>
      </c>
      <c r="D214" s="28"/>
      <c r="E214" s="29"/>
      <c r="F214" s="18"/>
      <c r="G214" s="18"/>
      <c r="H214" s="18"/>
      <c r="I214" s="25"/>
      <c r="J214" s="18"/>
      <c r="K214" s="18"/>
      <c r="L214" s="18"/>
      <c r="M214" s="18"/>
      <c r="N214" s="109"/>
      <c r="O214" s="18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>
      <c r="A215" s="7"/>
      <c r="B215" s="8" t="s">
        <v>297</v>
      </c>
      <c r="C215" s="9">
        <f t="shared" si="2"/>
        <v>14214</v>
      </c>
      <c r="D215" s="28"/>
      <c r="E215" s="29"/>
      <c r="F215" s="18"/>
      <c r="G215" s="18"/>
      <c r="H215" s="18"/>
      <c r="I215" s="25"/>
      <c r="J215" s="18"/>
      <c r="K215" s="18"/>
      <c r="L215" s="18"/>
      <c r="M215" s="18"/>
      <c r="N215" s="109"/>
      <c r="O215" s="18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>
      <c r="A216" s="7"/>
      <c r="B216" s="8" t="s">
        <v>298</v>
      </c>
      <c r="C216" s="9">
        <f t="shared" si="2"/>
        <v>14215</v>
      </c>
      <c r="D216" s="28"/>
      <c r="E216" s="29"/>
      <c r="F216" s="18"/>
      <c r="G216" s="18"/>
      <c r="H216" s="18"/>
      <c r="I216" s="25"/>
      <c r="J216" s="18"/>
      <c r="K216" s="18"/>
      <c r="L216" s="18"/>
      <c r="M216" s="18"/>
      <c r="N216" s="109"/>
      <c r="O216" s="18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>
      <c r="A217" s="7"/>
      <c r="B217" s="8" t="s">
        <v>299</v>
      </c>
      <c r="C217" s="9">
        <f t="shared" si="2"/>
        <v>14216</v>
      </c>
      <c r="D217" s="28"/>
      <c r="E217" s="29"/>
      <c r="F217" s="18"/>
      <c r="G217" s="18"/>
      <c r="H217" s="18"/>
      <c r="I217" s="25"/>
      <c r="J217" s="18"/>
      <c r="K217" s="18"/>
      <c r="L217" s="18"/>
      <c r="M217" s="18"/>
      <c r="N217" s="109"/>
      <c r="O217" s="18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>
      <c r="A218" s="7"/>
      <c r="B218" s="8" t="s">
        <v>300</v>
      </c>
      <c r="C218" s="9">
        <f t="shared" si="2"/>
        <v>14217</v>
      </c>
      <c r="D218" s="28"/>
      <c r="E218" s="29"/>
      <c r="F218" s="18"/>
      <c r="G218" s="18"/>
      <c r="H218" s="18"/>
      <c r="I218" s="25"/>
      <c r="J218" s="18"/>
      <c r="K218" s="18"/>
      <c r="L218" s="18"/>
      <c r="M218" s="18"/>
      <c r="N218" s="109"/>
      <c r="O218" s="18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>
      <c r="A219" s="7"/>
      <c r="B219" s="8" t="s">
        <v>301</v>
      </c>
      <c r="C219" s="9">
        <f t="shared" si="2"/>
        <v>14218</v>
      </c>
      <c r="D219" s="28"/>
      <c r="E219" s="29"/>
      <c r="F219" s="18"/>
      <c r="G219" s="18"/>
      <c r="H219" s="18"/>
      <c r="I219" s="25"/>
      <c r="J219" s="18"/>
      <c r="K219" s="18"/>
      <c r="L219" s="18"/>
      <c r="M219" s="18"/>
      <c r="N219" s="109"/>
      <c r="O219" s="18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>
      <c r="A220" s="7"/>
      <c r="B220" s="8" t="s">
        <v>302</v>
      </c>
      <c r="C220" s="9">
        <f t="shared" si="2"/>
        <v>14219</v>
      </c>
      <c r="D220" s="28"/>
      <c r="E220" s="29"/>
      <c r="F220" s="18"/>
      <c r="G220" s="18"/>
      <c r="H220" s="18"/>
      <c r="I220" s="25"/>
      <c r="J220" s="18"/>
      <c r="K220" s="18"/>
      <c r="L220" s="18"/>
      <c r="M220" s="18"/>
      <c r="N220" s="109"/>
      <c r="O220" s="18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>
      <c r="A221" s="7"/>
      <c r="B221" s="8" t="s">
        <v>303</v>
      </c>
      <c r="C221" s="9">
        <f t="shared" si="2"/>
        <v>14220</v>
      </c>
      <c r="D221" s="28"/>
      <c r="E221" s="29"/>
      <c r="F221" s="18"/>
      <c r="G221" s="18"/>
      <c r="H221" s="18"/>
      <c r="I221" s="25"/>
      <c r="J221" s="18"/>
      <c r="K221" s="18"/>
      <c r="L221" s="18"/>
      <c r="M221" s="18"/>
      <c r="N221" s="109"/>
      <c r="O221" s="18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>
      <c r="A222" s="7"/>
      <c r="B222" s="8" t="s">
        <v>304</v>
      </c>
      <c r="C222" s="9">
        <f t="shared" si="2"/>
        <v>14221</v>
      </c>
      <c r="D222" s="28"/>
      <c r="E222" s="29"/>
      <c r="F222" s="18"/>
      <c r="G222" s="18"/>
      <c r="H222" s="18"/>
      <c r="I222" s="25"/>
      <c r="J222" s="18"/>
      <c r="K222" s="18"/>
      <c r="L222" s="18"/>
      <c r="M222" s="18"/>
      <c r="N222" s="109"/>
      <c r="O222" s="18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>
      <c r="A223" s="7"/>
      <c r="B223" s="8" t="s">
        <v>305</v>
      </c>
      <c r="C223" s="9">
        <f t="shared" si="2"/>
        <v>14222</v>
      </c>
      <c r="D223" s="28"/>
      <c r="E223" s="29"/>
      <c r="F223" s="18"/>
      <c r="G223" s="18"/>
      <c r="H223" s="18"/>
      <c r="I223" s="25"/>
      <c r="J223" s="18"/>
      <c r="K223" s="18"/>
      <c r="L223" s="18"/>
      <c r="M223" s="18"/>
      <c r="N223" s="109"/>
      <c r="O223" s="18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>
      <c r="A224" s="7"/>
      <c r="B224" s="8" t="s">
        <v>306</v>
      </c>
      <c r="C224" s="9">
        <f t="shared" si="2"/>
        <v>14223</v>
      </c>
      <c r="D224" s="28"/>
      <c r="E224" s="29"/>
      <c r="F224" s="18"/>
      <c r="G224" s="18"/>
      <c r="H224" s="18"/>
      <c r="I224" s="25"/>
      <c r="J224" s="18"/>
      <c r="K224" s="18"/>
      <c r="L224" s="18"/>
      <c r="M224" s="18"/>
      <c r="N224" s="109"/>
      <c r="O224" s="18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>
      <c r="A225" s="7"/>
      <c r="B225" s="8" t="s">
        <v>307</v>
      </c>
      <c r="C225" s="9">
        <f t="shared" si="2"/>
        <v>14224</v>
      </c>
      <c r="D225" s="28"/>
      <c r="E225" s="29"/>
      <c r="F225" s="18"/>
      <c r="G225" s="18"/>
      <c r="H225" s="18"/>
      <c r="I225" s="25"/>
      <c r="J225" s="18"/>
      <c r="K225" s="18"/>
      <c r="L225" s="18"/>
      <c r="M225" s="18"/>
      <c r="N225" s="109"/>
      <c r="O225" s="18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>
      <c r="A226" s="7"/>
      <c r="B226" s="8" t="s">
        <v>308</v>
      </c>
      <c r="C226" s="9">
        <f t="shared" si="2"/>
        <v>14225</v>
      </c>
      <c r="D226" s="28"/>
      <c r="E226" s="29"/>
      <c r="F226" s="18"/>
      <c r="G226" s="18"/>
      <c r="H226" s="18"/>
      <c r="I226" s="25"/>
      <c r="J226" s="18"/>
      <c r="K226" s="18"/>
      <c r="L226" s="18"/>
      <c r="M226" s="18"/>
      <c r="N226" s="109"/>
      <c r="O226" s="18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>
      <c r="A227" s="7"/>
      <c r="B227" s="8" t="s">
        <v>309</v>
      </c>
      <c r="C227" s="9">
        <f t="shared" si="2"/>
        <v>14226</v>
      </c>
      <c r="D227" s="28"/>
      <c r="E227" s="29"/>
      <c r="F227" s="18"/>
      <c r="G227" s="18"/>
      <c r="H227" s="18"/>
      <c r="I227" s="25"/>
      <c r="J227" s="18"/>
      <c r="K227" s="18"/>
      <c r="L227" s="18"/>
      <c r="M227" s="18"/>
      <c r="N227" s="109"/>
      <c r="O227" s="18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>
      <c r="A228" s="7"/>
      <c r="B228" s="8" t="s">
        <v>310</v>
      </c>
      <c r="C228" s="9">
        <f t="shared" si="2"/>
        <v>14227</v>
      </c>
      <c r="D228" s="28"/>
      <c r="E228" s="29"/>
      <c r="F228" s="18"/>
      <c r="G228" s="18"/>
      <c r="H228" s="18"/>
      <c r="I228" s="25"/>
      <c r="J228" s="18"/>
      <c r="K228" s="18"/>
      <c r="L228" s="18"/>
      <c r="M228" s="18"/>
      <c r="N228" s="109"/>
      <c r="O228" s="18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>
      <c r="A229" s="7"/>
      <c r="B229" s="8" t="s">
        <v>311</v>
      </c>
      <c r="C229" s="9">
        <f t="shared" si="2"/>
        <v>14228</v>
      </c>
      <c r="D229" s="28"/>
      <c r="E229" s="29"/>
      <c r="F229" s="18"/>
      <c r="G229" s="18"/>
      <c r="H229" s="18"/>
      <c r="I229" s="25"/>
      <c r="J229" s="18"/>
      <c r="K229" s="18"/>
      <c r="L229" s="18"/>
      <c r="M229" s="18"/>
      <c r="N229" s="109"/>
      <c r="O229" s="18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>
      <c r="A230" s="7"/>
      <c r="B230" s="8" t="s">
        <v>312</v>
      </c>
      <c r="C230" s="9">
        <f t="shared" si="2"/>
        <v>14229</v>
      </c>
      <c r="D230" s="28"/>
      <c r="E230" s="29"/>
      <c r="F230" s="18"/>
      <c r="G230" s="18"/>
      <c r="H230" s="18"/>
      <c r="I230" s="25"/>
      <c r="J230" s="18"/>
      <c r="K230" s="18"/>
      <c r="L230" s="18"/>
      <c r="M230" s="18"/>
      <c r="N230" s="109"/>
      <c r="O230" s="18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>
      <c r="A231" s="7"/>
      <c r="B231" s="8" t="s">
        <v>313</v>
      </c>
      <c r="C231" s="9">
        <f t="shared" si="2"/>
        <v>14230</v>
      </c>
      <c r="D231" s="28"/>
      <c r="E231" s="29"/>
      <c r="F231" s="18"/>
      <c r="G231" s="18"/>
      <c r="H231" s="18"/>
      <c r="I231" s="25"/>
      <c r="J231" s="18"/>
      <c r="K231" s="18"/>
      <c r="L231" s="18"/>
      <c r="M231" s="18"/>
      <c r="N231" s="109"/>
      <c r="O231" s="18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>
      <c r="A232" s="7"/>
      <c r="B232" s="8" t="s">
        <v>314</v>
      </c>
      <c r="C232" s="9">
        <f t="shared" si="2"/>
        <v>14231</v>
      </c>
      <c r="D232" s="28"/>
      <c r="E232" s="29"/>
      <c r="F232" s="18"/>
      <c r="G232" s="18"/>
      <c r="H232" s="18"/>
      <c r="I232" s="25"/>
      <c r="J232" s="18"/>
      <c r="K232" s="18"/>
      <c r="L232" s="18"/>
      <c r="M232" s="18"/>
      <c r="N232" s="109"/>
      <c r="O232" s="18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>
      <c r="A233" s="7"/>
      <c r="B233" s="8" t="s">
        <v>315</v>
      </c>
      <c r="C233" s="9">
        <f t="shared" si="2"/>
        <v>14232</v>
      </c>
      <c r="D233" s="28"/>
      <c r="E233" s="29"/>
      <c r="F233" s="18"/>
      <c r="G233" s="18"/>
      <c r="H233" s="18"/>
      <c r="I233" s="25"/>
      <c r="J233" s="18"/>
      <c r="K233" s="18"/>
      <c r="L233" s="18"/>
      <c r="M233" s="18"/>
      <c r="N233" s="109"/>
      <c r="O233" s="18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>
      <c r="A234" s="7"/>
      <c r="B234" s="8" t="s">
        <v>316</v>
      </c>
      <c r="C234" s="9">
        <f t="shared" si="2"/>
        <v>14233</v>
      </c>
      <c r="D234" s="28"/>
      <c r="E234" s="29"/>
      <c r="F234" s="18"/>
      <c r="G234" s="18"/>
      <c r="H234" s="18"/>
      <c r="I234" s="25"/>
      <c r="J234" s="18"/>
      <c r="K234" s="18"/>
      <c r="L234" s="18"/>
      <c r="M234" s="18"/>
      <c r="N234" s="109"/>
      <c r="O234" s="18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>
      <c r="A235" s="7"/>
      <c r="B235" s="8" t="s">
        <v>317</v>
      </c>
      <c r="C235" s="9">
        <f t="shared" si="2"/>
        <v>14234</v>
      </c>
      <c r="D235" s="28"/>
      <c r="E235" s="29"/>
      <c r="F235" s="18"/>
      <c r="G235" s="18"/>
      <c r="H235" s="18"/>
      <c r="I235" s="25"/>
      <c r="J235" s="18"/>
      <c r="K235" s="18"/>
      <c r="L235" s="18"/>
      <c r="M235" s="18"/>
      <c r="N235" s="109"/>
      <c r="O235" s="18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>
      <c r="A236" s="7"/>
      <c r="B236" s="8" t="s">
        <v>318</v>
      </c>
      <c r="C236" s="9">
        <f t="shared" si="2"/>
        <v>14235</v>
      </c>
      <c r="D236" s="28"/>
      <c r="E236" s="29"/>
      <c r="F236" s="18"/>
      <c r="G236" s="18"/>
      <c r="H236" s="18"/>
      <c r="I236" s="25"/>
      <c r="J236" s="18"/>
      <c r="K236" s="18"/>
      <c r="L236" s="18"/>
      <c r="M236" s="18"/>
      <c r="N236" s="109"/>
      <c r="O236" s="18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>
      <c r="A237" s="7"/>
      <c r="B237" s="8" t="s">
        <v>319</v>
      </c>
      <c r="C237" s="9">
        <f t="shared" si="2"/>
        <v>14236</v>
      </c>
      <c r="D237" s="28"/>
      <c r="E237" s="29"/>
      <c r="F237" s="18"/>
      <c r="G237" s="18"/>
      <c r="H237" s="18"/>
      <c r="I237" s="25"/>
      <c r="J237" s="18"/>
      <c r="K237" s="18"/>
      <c r="L237" s="18"/>
      <c r="M237" s="18"/>
      <c r="N237" s="109"/>
      <c r="O237" s="18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>
      <c r="A238" s="7"/>
      <c r="B238" s="8" t="s">
        <v>320</v>
      </c>
      <c r="C238" s="9">
        <f t="shared" si="2"/>
        <v>14237</v>
      </c>
      <c r="D238" s="28"/>
      <c r="E238" s="29"/>
      <c r="F238" s="18"/>
      <c r="G238" s="18"/>
      <c r="H238" s="18"/>
      <c r="I238" s="25"/>
      <c r="J238" s="18"/>
      <c r="K238" s="18"/>
      <c r="L238" s="18"/>
      <c r="M238" s="18"/>
      <c r="N238" s="109"/>
      <c r="O238" s="18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>
      <c r="A239" s="7"/>
      <c r="B239" s="8" t="s">
        <v>321</v>
      </c>
      <c r="C239" s="9">
        <f t="shared" si="2"/>
        <v>14238</v>
      </c>
      <c r="D239" s="28"/>
      <c r="E239" s="29"/>
      <c r="F239" s="18"/>
      <c r="G239" s="18"/>
      <c r="H239" s="18"/>
      <c r="I239" s="25"/>
      <c r="J239" s="18"/>
      <c r="K239" s="18"/>
      <c r="L239" s="18"/>
      <c r="M239" s="18"/>
      <c r="N239" s="109"/>
      <c r="O239" s="18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>
      <c r="A240" s="7"/>
      <c r="B240" s="8" t="s">
        <v>322</v>
      </c>
      <c r="C240" s="9">
        <f t="shared" si="2"/>
        <v>14239</v>
      </c>
      <c r="D240" s="28"/>
      <c r="E240" s="29"/>
      <c r="F240" s="18"/>
      <c r="G240" s="18"/>
      <c r="H240" s="18"/>
      <c r="I240" s="25"/>
      <c r="J240" s="18"/>
      <c r="K240" s="18"/>
      <c r="L240" s="18"/>
      <c r="M240" s="18"/>
      <c r="N240" s="109"/>
      <c r="O240" s="18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>
      <c r="A241" s="7"/>
      <c r="B241" s="8" t="s">
        <v>323</v>
      </c>
      <c r="C241" s="9">
        <f t="shared" si="2"/>
        <v>14240</v>
      </c>
      <c r="D241" s="28"/>
      <c r="E241" s="29"/>
      <c r="F241" s="18"/>
      <c r="G241" s="18"/>
      <c r="H241" s="18"/>
      <c r="I241" s="25"/>
      <c r="J241" s="18"/>
      <c r="K241" s="18"/>
      <c r="L241" s="18"/>
      <c r="M241" s="18"/>
      <c r="N241" s="109"/>
      <c r="O241" s="18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>
      <c r="A242" s="7"/>
      <c r="B242" s="8" t="s">
        <v>324</v>
      </c>
      <c r="C242" s="9">
        <f t="shared" si="2"/>
        <v>14241</v>
      </c>
      <c r="D242" s="28"/>
      <c r="E242" s="29"/>
      <c r="F242" s="18"/>
      <c r="G242" s="18"/>
      <c r="H242" s="18"/>
      <c r="I242" s="25"/>
      <c r="J242" s="18"/>
      <c r="K242" s="18"/>
      <c r="L242" s="18"/>
      <c r="M242" s="18"/>
      <c r="N242" s="109"/>
      <c r="O242" s="18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>
      <c r="A243" s="7"/>
      <c r="B243" s="8" t="s">
        <v>325</v>
      </c>
      <c r="C243" s="9">
        <f t="shared" si="2"/>
        <v>14242</v>
      </c>
      <c r="D243" s="28"/>
      <c r="E243" s="29"/>
      <c r="F243" s="18"/>
      <c r="G243" s="18"/>
      <c r="H243" s="18"/>
      <c r="I243" s="25"/>
      <c r="J243" s="18"/>
      <c r="K243" s="18"/>
      <c r="L243" s="18"/>
      <c r="M243" s="18"/>
      <c r="N243" s="109"/>
      <c r="O243" s="18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>
      <c r="A244" s="7"/>
      <c r="B244" s="8" t="s">
        <v>326</v>
      </c>
      <c r="C244" s="9">
        <f t="shared" si="2"/>
        <v>14243</v>
      </c>
      <c r="D244" s="28"/>
      <c r="E244" s="29"/>
      <c r="F244" s="18"/>
      <c r="G244" s="18"/>
      <c r="H244" s="18"/>
      <c r="I244" s="25"/>
      <c r="J244" s="18"/>
      <c r="K244" s="18"/>
      <c r="L244" s="18"/>
      <c r="M244" s="18"/>
      <c r="N244" s="109"/>
      <c r="O244" s="18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>
      <c r="A245" s="7"/>
      <c r="B245" s="8" t="s">
        <v>327</v>
      </c>
      <c r="C245" s="9">
        <f t="shared" si="2"/>
        <v>14244</v>
      </c>
      <c r="D245" s="28"/>
      <c r="E245" s="29"/>
      <c r="F245" s="18"/>
      <c r="G245" s="18"/>
      <c r="H245" s="18"/>
      <c r="I245" s="25"/>
      <c r="J245" s="18"/>
      <c r="K245" s="18"/>
      <c r="L245" s="18"/>
      <c r="M245" s="18"/>
      <c r="N245" s="109"/>
      <c r="O245" s="18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>
      <c r="A246" s="7"/>
      <c r="B246" s="8" t="s">
        <v>328</v>
      </c>
      <c r="C246" s="9">
        <f t="shared" si="2"/>
        <v>14245</v>
      </c>
      <c r="D246" s="28"/>
      <c r="E246" s="29"/>
      <c r="F246" s="18"/>
      <c r="G246" s="18"/>
      <c r="H246" s="18"/>
      <c r="I246" s="25"/>
      <c r="J246" s="18"/>
      <c r="K246" s="18"/>
      <c r="L246" s="18"/>
      <c r="M246" s="18"/>
      <c r="N246" s="109"/>
      <c r="O246" s="18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>
      <c r="A247" s="7"/>
      <c r="B247" s="8" t="s">
        <v>329</v>
      </c>
      <c r="C247" s="9">
        <f t="shared" si="2"/>
        <v>14246</v>
      </c>
      <c r="D247" s="28"/>
      <c r="E247" s="29"/>
      <c r="F247" s="18"/>
      <c r="G247" s="18"/>
      <c r="H247" s="18"/>
      <c r="I247" s="25"/>
      <c r="J247" s="18"/>
      <c r="K247" s="18"/>
      <c r="L247" s="18"/>
      <c r="M247" s="18"/>
      <c r="N247" s="109"/>
      <c r="O247" s="18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>
      <c r="A248" s="7"/>
      <c r="B248" s="8" t="s">
        <v>330</v>
      </c>
      <c r="C248" s="9">
        <f t="shared" si="2"/>
        <v>14247</v>
      </c>
      <c r="D248" s="28"/>
      <c r="E248" s="29"/>
      <c r="F248" s="18"/>
      <c r="G248" s="18"/>
      <c r="H248" s="18"/>
      <c r="I248" s="25"/>
      <c r="J248" s="18"/>
      <c r="K248" s="18"/>
      <c r="L248" s="18"/>
      <c r="M248" s="18"/>
      <c r="N248" s="109"/>
      <c r="O248" s="18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>
      <c r="A249" s="7"/>
      <c r="B249" s="8" t="s">
        <v>331</v>
      </c>
      <c r="C249" s="9">
        <f t="shared" si="2"/>
        <v>14248</v>
      </c>
      <c r="D249" s="28"/>
      <c r="E249" s="29"/>
      <c r="F249" s="18"/>
      <c r="G249" s="18"/>
      <c r="H249" s="18"/>
      <c r="I249" s="25"/>
      <c r="J249" s="18"/>
      <c r="K249" s="18"/>
      <c r="L249" s="18"/>
      <c r="M249" s="18"/>
      <c r="N249" s="109"/>
      <c r="O249" s="18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>
      <c r="A250" s="7"/>
      <c r="B250" s="8" t="s">
        <v>332</v>
      </c>
      <c r="C250" s="9">
        <f t="shared" si="2"/>
        <v>14249</v>
      </c>
      <c r="D250" s="28"/>
      <c r="E250" s="29"/>
      <c r="F250" s="18"/>
      <c r="G250" s="18"/>
      <c r="H250" s="18"/>
      <c r="I250" s="25"/>
      <c r="J250" s="18"/>
      <c r="K250" s="18"/>
      <c r="L250" s="18"/>
      <c r="M250" s="18"/>
      <c r="N250" s="109"/>
      <c r="O250" s="18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>
      <c r="A251" s="7"/>
      <c r="B251" s="8" t="s">
        <v>333</v>
      </c>
      <c r="C251" s="9">
        <f t="shared" si="2"/>
        <v>14250</v>
      </c>
      <c r="D251" s="47"/>
      <c r="E251" s="18"/>
      <c r="F251" s="18"/>
      <c r="G251" s="18"/>
      <c r="H251" s="18"/>
      <c r="I251" s="25"/>
      <c r="J251" s="18"/>
      <c r="K251" s="18"/>
      <c r="L251" s="18"/>
      <c r="M251" s="18"/>
      <c r="N251" s="109"/>
      <c r="O251" s="18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>
      <c r="A252" s="1"/>
      <c r="B252" s="1"/>
      <c r="C252" s="84">
        <v>14420.0</v>
      </c>
      <c r="D252" s="47"/>
      <c r="E252" s="18"/>
      <c r="F252" s="18"/>
      <c r="G252" s="18"/>
      <c r="H252" s="18"/>
      <c r="I252" s="25"/>
      <c r="J252" s="18"/>
      <c r="K252" s="18"/>
      <c r="L252" s="18"/>
      <c r="M252" s="18"/>
      <c r="N252" s="109"/>
      <c r="O252" s="18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>
      <c r="A253" s="1"/>
      <c r="B253" s="1"/>
      <c r="C253" s="18"/>
      <c r="D253" s="47"/>
      <c r="E253" s="18"/>
      <c r="F253" s="18"/>
      <c r="G253" s="18"/>
      <c r="H253" s="18"/>
      <c r="I253" s="25"/>
      <c r="J253" s="18"/>
      <c r="K253" s="18"/>
      <c r="L253" s="18"/>
      <c r="M253" s="18"/>
      <c r="N253" s="109"/>
      <c r="O253" s="18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>
      <c r="A254" s="1"/>
      <c r="B254" s="1"/>
      <c r="C254" s="18"/>
      <c r="D254" s="47"/>
      <c r="E254" s="18"/>
      <c r="F254" s="18"/>
      <c r="G254" s="18"/>
      <c r="H254" s="18"/>
      <c r="I254" s="25"/>
      <c r="J254" s="18"/>
      <c r="K254" s="18"/>
      <c r="L254" s="18"/>
      <c r="M254" s="18"/>
      <c r="N254" s="109"/>
      <c r="O254" s="18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>
      <c r="A255" s="1"/>
      <c r="B255" s="1"/>
      <c r="C255" s="18"/>
      <c r="D255" s="47"/>
      <c r="E255" s="18"/>
      <c r="F255" s="18"/>
      <c r="G255" s="18"/>
      <c r="H255" s="18"/>
      <c r="I255" s="25"/>
      <c r="J255" s="18"/>
      <c r="K255" s="18"/>
      <c r="L255" s="18"/>
      <c r="M255" s="18"/>
      <c r="N255" s="109"/>
      <c r="O255" s="18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>
      <c r="A256" s="1"/>
      <c r="B256" s="1"/>
      <c r="C256" s="18"/>
      <c r="D256" s="47"/>
      <c r="E256" s="18"/>
      <c r="F256" s="18"/>
      <c r="G256" s="18"/>
      <c r="H256" s="18"/>
      <c r="I256" s="25"/>
      <c r="J256" s="18"/>
      <c r="K256" s="18"/>
      <c r="L256" s="18"/>
      <c r="M256" s="18"/>
      <c r="N256" s="109"/>
      <c r="O256" s="18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>
      <c r="A257" s="1"/>
      <c r="B257" s="1"/>
      <c r="C257" s="18"/>
      <c r="D257" s="47"/>
      <c r="E257" s="18"/>
      <c r="F257" s="18"/>
      <c r="G257" s="18"/>
      <c r="H257" s="18"/>
      <c r="I257" s="25"/>
      <c r="J257" s="18"/>
      <c r="K257" s="18"/>
      <c r="L257" s="18"/>
      <c r="M257" s="18"/>
      <c r="N257" s="109"/>
      <c r="O257" s="18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>
      <c r="A258" s="1"/>
      <c r="B258" s="1"/>
      <c r="C258" s="18"/>
      <c r="D258" s="47"/>
      <c r="E258" s="18"/>
      <c r="F258" s="18"/>
      <c r="G258" s="18"/>
      <c r="H258" s="18"/>
      <c r="I258" s="25"/>
      <c r="J258" s="18"/>
      <c r="K258" s="18"/>
      <c r="L258" s="18"/>
      <c r="M258" s="18"/>
      <c r="N258" s="109"/>
      <c r="O258" s="18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>
      <c r="A259" s="1"/>
      <c r="B259" s="1"/>
      <c r="C259" s="18"/>
      <c r="D259" s="47"/>
      <c r="E259" s="18"/>
      <c r="F259" s="18"/>
      <c r="G259" s="18"/>
      <c r="H259" s="18"/>
      <c r="I259" s="25"/>
      <c r="J259" s="18"/>
      <c r="K259" s="18"/>
      <c r="L259" s="18"/>
      <c r="M259" s="18"/>
      <c r="N259" s="109"/>
      <c r="O259" s="18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>
      <c r="A260" s="1"/>
      <c r="B260" s="1"/>
      <c r="C260" s="18"/>
      <c r="D260" s="47"/>
      <c r="E260" s="18"/>
      <c r="F260" s="18"/>
      <c r="G260" s="18"/>
      <c r="H260" s="18"/>
      <c r="I260" s="25"/>
      <c r="J260" s="18"/>
      <c r="K260" s="18"/>
      <c r="L260" s="18"/>
      <c r="M260" s="18"/>
      <c r="N260" s="109"/>
      <c r="O260" s="18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>
      <c r="A261" s="1"/>
      <c r="B261" s="1"/>
      <c r="C261" s="18"/>
      <c r="D261" s="47"/>
      <c r="E261" s="18"/>
      <c r="F261" s="18"/>
      <c r="G261" s="18"/>
      <c r="H261" s="18"/>
      <c r="I261" s="25"/>
      <c r="J261" s="18"/>
      <c r="K261" s="18"/>
      <c r="L261" s="18"/>
      <c r="M261" s="18"/>
      <c r="N261" s="109"/>
      <c r="O261" s="18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>
      <c r="A262" s="1"/>
      <c r="B262" s="1"/>
      <c r="C262" s="18"/>
      <c r="D262" s="47"/>
      <c r="E262" s="18"/>
      <c r="F262" s="18"/>
      <c r="G262" s="18"/>
      <c r="H262" s="18"/>
      <c r="I262" s="25"/>
      <c r="J262" s="18"/>
      <c r="K262" s="18"/>
      <c r="L262" s="18"/>
      <c r="M262" s="18"/>
      <c r="N262" s="109"/>
      <c r="O262" s="18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>
      <c r="A263" s="1"/>
      <c r="B263" s="1"/>
      <c r="C263" s="18"/>
      <c r="D263" s="47"/>
      <c r="E263" s="18"/>
      <c r="F263" s="18"/>
      <c r="G263" s="18"/>
      <c r="H263" s="18"/>
      <c r="I263" s="25"/>
      <c r="J263" s="18"/>
      <c r="K263" s="18"/>
      <c r="L263" s="18"/>
      <c r="M263" s="18"/>
      <c r="N263" s="109"/>
      <c r="O263" s="18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>
      <c r="A264" s="1"/>
      <c r="B264" s="1"/>
      <c r="C264" s="18"/>
      <c r="D264" s="47"/>
      <c r="E264" s="18"/>
      <c r="F264" s="18"/>
      <c r="G264" s="18"/>
      <c r="H264" s="18"/>
      <c r="I264" s="25"/>
      <c r="J264" s="18"/>
      <c r="K264" s="18"/>
      <c r="L264" s="18"/>
      <c r="M264" s="18"/>
      <c r="N264" s="109"/>
      <c r="O264" s="18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>
      <c r="A265" s="1"/>
      <c r="B265" s="1"/>
      <c r="C265" s="18"/>
      <c r="D265" s="47"/>
      <c r="E265" s="18"/>
      <c r="F265" s="18"/>
      <c r="G265" s="18"/>
      <c r="H265" s="18"/>
      <c r="I265" s="25"/>
      <c r="J265" s="18"/>
      <c r="K265" s="18"/>
      <c r="L265" s="18"/>
      <c r="M265" s="18"/>
      <c r="N265" s="109"/>
      <c r="O265" s="18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>
      <c r="A266" s="1"/>
      <c r="B266" s="1"/>
      <c r="C266" s="18"/>
      <c r="D266" s="47"/>
      <c r="E266" s="18"/>
      <c r="F266" s="18"/>
      <c r="G266" s="18"/>
      <c r="H266" s="18"/>
      <c r="I266" s="25"/>
      <c r="J266" s="18"/>
      <c r="K266" s="18"/>
      <c r="L266" s="18"/>
      <c r="M266" s="18"/>
      <c r="N266" s="109"/>
      <c r="O266" s="18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>
      <c r="A267" s="1"/>
      <c r="B267" s="1"/>
      <c r="C267" s="18"/>
      <c r="D267" s="47"/>
      <c r="E267" s="18"/>
      <c r="F267" s="18"/>
      <c r="G267" s="18"/>
      <c r="H267" s="18"/>
      <c r="I267" s="25"/>
      <c r="J267" s="18"/>
      <c r="K267" s="18"/>
      <c r="L267" s="18"/>
      <c r="M267" s="18"/>
      <c r="N267" s="109"/>
      <c r="O267" s="18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>
      <c r="A268" s="1"/>
      <c r="B268" s="1"/>
      <c r="C268" s="18"/>
      <c r="D268" s="47"/>
      <c r="E268" s="18"/>
      <c r="F268" s="18"/>
      <c r="G268" s="18"/>
      <c r="H268" s="18"/>
      <c r="I268" s="25"/>
      <c r="J268" s="18"/>
      <c r="K268" s="18"/>
      <c r="L268" s="18"/>
      <c r="M268" s="18"/>
      <c r="N268" s="109"/>
      <c r="O268" s="18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>
      <c r="A269" s="1"/>
      <c r="B269" s="1"/>
      <c r="C269" s="18"/>
      <c r="D269" s="47"/>
      <c r="E269" s="18"/>
      <c r="F269" s="18"/>
      <c r="G269" s="18"/>
      <c r="H269" s="18"/>
      <c r="I269" s="25"/>
      <c r="J269" s="18"/>
      <c r="K269" s="18"/>
      <c r="L269" s="18"/>
      <c r="M269" s="18"/>
      <c r="N269" s="109"/>
      <c r="O269" s="18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>
      <c r="A270" s="1"/>
      <c r="B270" s="1"/>
      <c r="C270" s="18"/>
      <c r="D270" s="47"/>
      <c r="E270" s="18"/>
      <c r="F270" s="18"/>
      <c r="G270" s="18"/>
      <c r="H270" s="18"/>
      <c r="I270" s="25"/>
      <c r="J270" s="18"/>
      <c r="K270" s="18"/>
      <c r="L270" s="18"/>
      <c r="M270" s="18"/>
      <c r="N270" s="109"/>
      <c r="O270" s="18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>
      <c r="A271" s="1"/>
      <c r="B271" s="1"/>
      <c r="C271" s="18"/>
      <c r="D271" s="47"/>
      <c r="E271" s="18"/>
      <c r="F271" s="18"/>
      <c r="G271" s="18"/>
      <c r="H271" s="18"/>
      <c r="I271" s="25"/>
      <c r="J271" s="18"/>
      <c r="K271" s="18"/>
      <c r="L271" s="18"/>
      <c r="M271" s="18"/>
      <c r="N271" s="109"/>
      <c r="O271" s="18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>
      <c r="A272" s="1"/>
      <c r="B272" s="1"/>
      <c r="C272" s="18"/>
      <c r="D272" s="47"/>
      <c r="E272" s="18"/>
      <c r="F272" s="18"/>
      <c r="G272" s="18"/>
      <c r="H272" s="18"/>
      <c r="I272" s="25"/>
      <c r="J272" s="18"/>
      <c r="K272" s="18"/>
      <c r="L272" s="18"/>
      <c r="M272" s="18"/>
      <c r="N272" s="109"/>
      <c r="O272" s="18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>
      <c r="A273" s="1"/>
      <c r="B273" s="1"/>
      <c r="C273" s="18"/>
      <c r="D273" s="47"/>
      <c r="E273" s="18"/>
      <c r="F273" s="18"/>
      <c r="G273" s="18"/>
      <c r="H273" s="18"/>
      <c r="I273" s="25"/>
      <c r="J273" s="18"/>
      <c r="K273" s="18"/>
      <c r="L273" s="18"/>
      <c r="M273" s="18"/>
      <c r="N273" s="109"/>
      <c r="O273" s="18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>
      <c r="A274" s="1"/>
      <c r="B274" s="1"/>
      <c r="C274" s="18"/>
      <c r="D274" s="47"/>
      <c r="E274" s="18"/>
      <c r="F274" s="18"/>
      <c r="G274" s="18"/>
      <c r="H274" s="18"/>
      <c r="I274" s="25"/>
      <c r="J274" s="18"/>
      <c r="K274" s="18"/>
      <c r="L274" s="18"/>
      <c r="M274" s="18"/>
      <c r="N274" s="109"/>
      <c r="O274" s="18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>
      <c r="A275" s="1"/>
      <c r="B275" s="1"/>
      <c r="C275" s="18"/>
      <c r="D275" s="47"/>
      <c r="E275" s="18"/>
      <c r="F275" s="18"/>
      <c r="G275" s="18"/>
      <c r="H275" s="18"/>
      <c r="I275" s="25"/>
      <c r="J275" s="18"/>
      <c r="K275" s="18"/>
      <c r="L275" s="18"/>
      <c r="M275" s="18"/>
      <c r="N275" s="109"/>
      <c r="O275" s="18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>
      <c r="A276" s="1"/>
      <c r="B276" s="1"/>
      <c r="C276" s="18"/>
      <c r="D276" s="47"/>
      <c r="E276" s="18"/>
      <c r="F276" s="18"/>
      <c r="G276" s="18"/>
      <c r="H276" s="18"/>
      <c r="I276" s="25"/>
      <c r="J276" s="18"/>
      <c r="K276" s="18"/>
      <c r="L276" s="18"/>
      <c r="M276" s="18"/>
      <c r="N276" s="109"/>
      <c r="O276" s="18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>
      <c r="A277" s="1"/>
      <c r="B277" s="1"/>
      <c r="C277" s="18"/>
      <c r="D277" s="47"/>
      <c r="E277" s="18"/>
      <c r="F277" s="18"/>
      <c r="G277" s="18"/>
      <c r="H277" s="18"/>
      <c r="I277" s="25"/>
      <c r="J277" s="18"/>
      <c r="K277" s="18"/>
      <c r="L277" s="18"/>
      <c r="M277" s="18"/>
      <c r="N277" s="109"/>
      <c r="O277" s="18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>
      <c r="A278" s="1"/>
      <c r="B278" s="1"/>
      <c r="C278" s="18"/>
      <c r="D278" s="47"/>
      <c r="E278" s="18"/>
      <c r="F278" s="18"/>
      <c r="G278" s="18"/>
      <c r="H278" s="18"/>
      <c r="I278" s="25"/>
      <c r="J278" s="18"/>
      <c r="K278" s="18"/>
      <c r="L278" s="18"/>
      <c r="M278" s="18"/>
      <c r="N278" s="109"/>
      <c r="O278" s="18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>
      <c r="A279" s="1"/>
      <c r="B279" s="1"/>
      <c r="C279" s="18"/>
      <c r="D279" s="47"/>
      <c r="E279" s="18"/>
      <c r="F279" s="18"/>
      <c r="G279" s="18"/>
      <c r="H279" s="18"/>
      <c r="I279" s="25"/>
      <c r="J279" s="18"/>
      <c r="K279" s="18"/>
      <c r="L279" s="18"/>
      <c r="M279" s="18"/>
      <c r="N279" s="109"/>
      <c r="O279" s="18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>
      <c r="A280" s="1"/>
      <c r="B280" s="1"/>
      <c r="C280" s="18"/>
      <c r="D280" s="47"/>
      <c r="E280" s="18"/>
      <c r="F280" s="18"/>
      <c r="G280" s="18"/>
      <c r="H280" s="18"/>
      <c r="I280" s="25"/>
      <c r="J280" s="18"/>
      <c r="K280" s="18"/>
      <c r="L280" s="18"/>
      <c r="M280" s="18"/>
      <c r="N280" s="109"/>
      <c r="O280" s="18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>
      <c r="A281" s="1"/>
      <c r="B281" s="1"/>
      <c r="C281" s="18"/>
      <c r="D281" s="47"/>
      <c r="E281" s="18"/>
      <c r="F281" s="18"/>
      <c r="G281" s="18"/>
      <c r="H281" s="18"/>
      <c r="I281" s="25"/>
      <c r="J281" s="18"/>
      <c r="K281" s="18"/>
      <c r="L281" s="18"/>
      <c r="M281" s="18"/>
      <c r="N281" s="109"/>
      <c r="O281" s="18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>
      <c r="A282" s="1"/>
      <c r="B282" s="1"/>
      <c r="C282" s="18"/>
      <c r="D282" s="47"/>
      <c r="E282" s="18"/>
      <c r="F282" s="18"/>
      <c r="G282" s="18"/>
      <c r="H282" s="18"/>
      <c r="I282" s="25"/>
      <c r="J282" s="18"/>
      <c r="K282" s="18"/>
      <c r="L282" s="18"/>
      <c r="M282" s="18"/>
      <c r="N282" s="109"/>
      <c r="O282" s="18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>
      <c r="A283" s="1"/>
      <c r="B283" s="1"/>
      <c r="C283" s="18"/>
      <c r="D283" s="47"/>
      <c r="E283" s="18"/>
      <c r="F283" s="18"/>
      <c r="G283" s="18"/>
      <c r="H283" s="18"/>
      <c r="I283" s="25"/>
      <c r="J283" s="18"/>
      <c r="K283" s="18"/>
      <c r="L283" s="18"/>
      <c r="M283" s="18"/>
      <c r="N283" s="109"/>
      <c r="O283" s="18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>
      <c r="A284" s="1"/>
      <c r="B284" s="1"/>
      <c r="C284" s="18"/>
      <c r="D284" s="47"/>
      <c r="E284" s="18"/>
      <c r="F284" s="18"/>
      <c r="G284" s="18"/>
      <c r="H284" s="18"/>
      <c r="I284" s="25"/>
      <c r="J284" s="18"/>
      <c r="K284" s="18"/>
      <c r="L284" s="18"/>
      <c r="M284" s="18"/>
      <c r="N284" s="109"/>
      <c r="O284" s="18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>
      <c r="A285" s="1"/>
      <c r="B285" s="1"/>
      <c r="C285" s="18"/>
      <c r="D285" s="47"/>
      <c r="E285" s="18"/>
      <c r="F285" s="18"/>
      <c r="G285" s="18"/>
      <c r="H285" s="18"/>
      <c r="I285" s="25"/>
      <c r="J285" s="18"/>
      <c r="K285" s="18"/>
      <c r="L285" s="18"/>
      <c r="M285" s="18"/>
      <c r="N285" s="109"/>
      <c r="O285" s="18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>
      <c r="A286" s="1"/>
      <c r="B286" s="1"/>
      <c r="C286" s="18"/>
      <c r="D286" s="47"/>
      <c r="E286" s="18"/>
      <c r="F286" s="18"/>
      <c r="G286" s="18"/>
      <c r="H286" s="18"/>
      <c r="I286" s="25"/>
      <c r="J286" s="18"/>
      <c r="K286" s="18"/>
      <c r="L286" s="18"/>
      <c r="M286" s="18"/>
      <c r="N286" s="109"/>
      <c r="O286" s="18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>
      <c r="A287" s="1"/>
      <c r="B287" s="1"/>
      <c r="C287" s="18"/>
      <c r="D287" s="47"/>
      <c r="E287" s="18"/>
      <c r="F287" s="18"/>
      <c r="G287" s="18"/>
      <c r="H287" s="18"/>
      <c r="I287" s="25"/>
      <c r="J287" s="18"/>
      <c r="K287" s="18"/>
      <c r="L287" s="18"/>
      <c r="M287" s="18"/>
      <c r="N287" s="109"/>
      <c r="O287" s="18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>
      <c r="A288" s="1"/>
      <c r="B288" s="1"/>
      <c r="C288" s="18"/>
      <c r="D288" s="47"/>
      <c r="E288" s="18"/>
      <c r="F288" s="18"/>
      <c r="G288" s="18"/>
      <c r="H288" s="18"/>
      <c r="I288" s="25"/>
      <c r="J288" s="18"/>
      <c r="K288" s="18"/>
      <c r="L288" s="18"/>
      <c r="M288" s="18"/>
      <c r="N288" s="109"/>
      <c r="O288" s="18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>
      <c r="A289" s="1"/>
      <c r="B289" s="1"/>
      <c r="C289" s="18"/>
      <c r="D289" s="47"/>
      <c r="E289" s="18"/>
      <c r="F289" s="18"/>
      <c r="G289" s="18"/>
      <c r="H289" s="18"/>
      <c r="I289" s="25"/>
      <c r="J289" s="18"/>
      <c r="K289" s="18"/>
      <c r="L289" s="18"/>
      <c r="M289" s="18"/>
      <c r="N289" s="109"/>
      <c r="O289" s="18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>
      <c r="A290" s="1"/>
      <c r="B290" s="1"/>
      <c r="C290" s="18"/>
      <c r="D290" s="47"/>
      <c r="E290" s="18"/>
      <c r="F290" s="18"/>
      <c r="G290" s="18"/>
      <c r="H290" s="18"/>
      <c r="I290" s="25"/>
      <c r="J290" s="18"/>
      <c r="K290" s="18"/>
      <c r="L290" s="18"/>
      <c r="M290" s="18"/>
      <c r="N290" s="109"/>
      <c r="O290" s="18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>
      <c r="A291" s="1"/>
      <c r="B291" s="1"/>
      <c r="C291" s="18"/>
      <c r="D291" s="47"/>
      <c r="E291" s="18"/>
      <c r="F291" s="18"/>
      <c r="G291" s="18"/>
      <c r="H291" s="18"/>
      <c r="I291" s="25"/>
      <c r="J291" s="18"/>
      <c r="K291" s="18"/>
      <c r="L291" s="18"/>
      <c r="M291" s="18"/>
      <c r="N291" s="109"/>
      <c r="O291" s="18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>
      <c r="A292" s="1"/>
      <c r="B292" s="1"/>
      <c r="C292" s="18"/>
      <c r="D292" s="47"/>
      <c r="E292" s="18"/>
      <c r="F292" s="18"/>
      <c r="G292" s="18"/>
      <c r="H292" s="18"/>
      <c r="I292" s="25"/>
      <c r="J292" s="18"/>
      <c r="K292" s="18"/>
      <c r="L292" s="18"/>
      <c r="M292" s="18"/>
      <c r="N292" s="109"/>
      <c r="O292" s="18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>
      <c r="A293" s="1"/>
      <c r="B293" s="1"/>
      <c r="C293" s="18"/>
      <c r="D293" s="47"/>
      <c r="E293" s="18"/>
      <c r="F293" s="18"/>
      <c r="G293" s="18"/>
      <c r="H293" s="18"/>
      <c r="I293" s="25"/>
      <c r="J293" s="18"/>
      <c r="K293" s="18"/>
      <c r="L293" s="18"/>
      <c r="M293" s="18"/>
      <c r="N293" s="109"/>
      <c r="O293" s="18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>
      <c r="A294" s="1"/>
      <c r="B294" s="1"/>
      <c r="C294" s="18"/>
      <c r="D294" s="47"/>
      <c r="E294" s="18"/>
      <c r="F294" s="18"/>
      <c r="G294" s="18"/>
      <c r="H294" s="18"/>
      <c r="I294" s="25"/>
      <c r="J294" s="18"/>
      <c r="K294" s="18"/>
      <c r="L294" s="18"/>
      <c r="M294" s="18"/>
      <c r="N294" s="109"/>
      <c r="O294" s="18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>
      <c r="A295" s="1"/>
      <c r="B295" s="1"/>
      <c r="C295" s="18"/>
      <c r="D295" s="47"/>
      <c r="E295" s="18"/>
      <c r="F295" s="18"/>
      <c r="G295" s="18"/>
      <c r="H295" s="18"/>
      <c r="I295" s="25"/>
      <c r="J295" s="18"/>
      <c r="K295" s="18"/>
      <c r="L295" s="18"/>
      <c r="M295" s="18"/>
      <c r="N295" s="109"/>
      <c r="O295" s="18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>
      <c r="A296" s="1"/>
      <c r="B296" s="1"/>
      <c r="C296" s="18"/>
      <c r="D296" s="47"/>
      <c r="E296" s="18"/>
      <c r="F296" s="18"/>
      <c r="G296" s="18"/>
      <c r="H296" s="18"/>
      <c r="I296" s="25"/>
      <c r="J296" s="18"/>
      <c r="K296" s="18"/>
      <c r="L296" s="18"/>
      <c r="M296" s="18"/>
      <c r="N296" s="109"/>
      <c r="O296" s="18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>
      <c r="A297" s="1"/>
      <c r="B297" s="1"/>
      <c r="C297" s="18"/>
      <c r="D297" s="47"/>
      <c r="E297" s="18"/>
      <c r="F297" s="18"/>
      <c r="G297" s="18"/>
      <c r="H297" s="18"/>
      <c r="I297" s="25"/>
      <c r="J297" s="18"/>
      <c r="K297" s="18"/>
      <c r="L297" s="18"/>
      <c r="M297" s="18"/>
      <c r="N297" s="109"/>
      <c r="O297" s="18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>
      <c r="A298" s="1"/>
      <c r="B298" s="1"/>
      <c r="C298" s="18"/>
      <c r="D298" s="47"/>
      <c r="E298" s="18"/>
      <c r="F298" s="18"/>
      <c r="G298" s="18"/>
      <c r="H298" s="18"/>
      <c r="I298" s="25"/>
      <c r="J298" s="18"/>
      <c r="K298" s="18"/>
      <c r="L298" s="18"/>
      <c r="M298" s="18"/>
      <c r="N298" s="109"/>
      <c r="O298" s="18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>
      <c r="A299" s="1"/>
      <c r="B299" s="1"/>
      <c r="C299" s="18"/>
      <c r="D299" s="47"/>
      <c r="E299" s="18"/>
      <c r="F299" s="18"/>
      <c r="G299" s="18"/>
      <c r="H299" s="18"/>
      <c r="I299" s="25"/>
      <c r="J299" s="18"/>
      <c r="K299" s="18"/>
      <c r="L299" s="18"/>
      <c r="M299" s="18"/>
      <c r="N299" s="109"/>
      <c r="O299" s="18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>
      <c r="A300" s="1"/>
      <c r="B300" s="1"/>
      <c r="C300" s="18"/>
      <c r="D300" s="47"/>
      <c r="E300" s="18"/>
      <c r="F300" s="18"/>
      <c r="G300" s="18"/>
      <c r="H300" s="18"/>
      <c r="I300" s="25"/>
      <c r="J300" s="18"/>
      <c r="K300" s="18"/>
      <c r="L300" s="18"/>
      <c r="M300" s="18"/>
      <c r="N300" s="109"/>
      <c r="O300" s="18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>
      <c r="A301" s="1"/>
      <c r="B301" s="1"/>
      <c r="C301" s="18"/>
      <c r="D301" s="47"/>
      <c r="E301" s="18"/>
      <c r="F301" s="18"/>
      <c r="G301" s="18"/>
      <c r="H301" s="18"/>
      <c r="I301" s="25"/>
      <c r="J301" s="18"/>
      <c r="K301" s="18"/>
      <c r="L301" s="18"/>
      <c r="M301" s="18"/>
      <c r="N301" s="109"/>
      <c r="O301" s="18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>
      <c r="A302" s="1"/>
      <c r="B302" s="1"/>
      <c r="C302" s="18"/>
      <c r="D302" s="47"/>
      <c r="E302" s="18"/>
      <c r="F302" s="18"/>
      <c r="G302" s="18"/>
      <c r="H302" s="18"/>
      <c r="I302" s="25"/>
      <c r="J302" s="18"/>
      <c r="K302" s="18"/>
      <c r="L302" s="18"/>
      <c r="M302" s="18"/>
      <c r="N302" s="109"/>
      <c r="O302" s="18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>
      <c r="A303" s="1"/>
      <c r="B303" s="1"/>
      <c r="C303" s="18"/>
      <c r="D303" s="47"/>
      <c r="E303" s="18"/>
      <c r="F303" s="18"/>
      <c r="G303" s="18"/>
      <c r="H303" s="18"/>
      <c r="I303" s="25"/>
      <c r="J303" s="18"/>
      <c r="K303" s="18"/>
      <c r="L303" s="18"/>
      <c r="M303" s="18"/>
      <c r="N303" s="109"/>
      <c r="O303" s="18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>
      <c r="A304" s="1"/>
      <c r="B304" s="1"/>
      <c r="C304" s="18"/>
      <c r="D304" s="47"/>
      <c r="E304" s="18"/>
      <c r="F304" s="18"/>
      <c r="G304" s="18"/>
      <c r="H304" s="18"/>
      <c r="I304" s="25"/>
      <c r="J304" s="18"/>
      <c r="K304" s="18"/>
      <c r="L304" s="18"/>
      <c r="M304" s="18"/>
      <c r="N304" s="109"/>
      <c r="O304" s="18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>
      <c r="A305" s="1"/>
      <c r="B305" s="1"/>
      <c r="C305" s="18"/>
      <c r="D305" s="47"/>
      <c r="E305" s="18"/>
      <c r="F305" s="18"/>
      <c r="G305" s="18"/>
      <c r="H305" s="18"/>
      <c r="I305" s="25"/>
      <c r="J305" s="18"/>
      <c r="K305" s="18"/>
      <c r="L305" s="18"/>
      <c r="M305" s="18"/>
      <c r="N305" s="109"/>
      <c r="O305" s="18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>
      <c r="A306" s="1"/>
      <c r="B306" s="1"/>
      <c r="C306" s="18"/>
      <c r="D306" s="47"/>
      <c r="E306" s="18"/>
      <c r="F306" s="18"/>
      <c r="G306" s="18"/>
      <c r="H306" s="18"/>
      <c r="I306" s="25"/>
      <c r="J306" s="18"/>
      <c r="K306" s="18"/>
      <c r="L306" s="18"/>
      <c r="M306" s="18"/>
      <c r="N306" s="109"/>
      <c r="O306" s="18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>
      <c r="A307" s="1"/>
      <c r="B307" s="1"/>
      <c r="C307" s="18"/>
      <c r="D307" s="47"/>
      <c r="E307" s="18"/>
      <c r="F307" s="18"/>
      <c r="G307" s="18"/>
      <c r="H307" s="18"/>
      <c r="I307" s="25"/>
      <c r="J307" s="18"/>
      <c r="K307" s="18"/>
      <c r="L307" s="18"/>
      <c r="M307" s="18"/>
      <c r="N307" s="109"/>
      <c r="O307" s="18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>
      <c r="A308" s="1"/>
      <c r="B308" s="1"/>
      <c r="C308" s="18"/>
      <c r="D308" s="47"/>
      <c r="E308" s="18"/>
      <c r="F308" s="18"/>
      <c r="G308" s="18"/>
      <c r="H308" s="18"/>
      <c r="I308" s="25"/>
      <c r="J308" s="18"/>
      <c r="K308" s="18"/>
      <c r="L308" s="18"/>
      <c r="M308" s="18"/>
      <c r="N308" s="109"/>
      <c r="O308" s="18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>
      <c r="A309" s="1"/>
      <c r="B309" s="1"/>
      <c r="C309" s="18"/>
      <c r="D309" s="47"/>
      <c r="E309" s="18"/>
      <c r="F309" s="18"/>
      <c r="G309" s="18"/>
      <c r="H309" s="18"/>
      <c r="I309" s="25"/>
      <c r="J309" s="18"/>
      <c r="K309" s="18"/>
      <c r="L309" s="18"/>
      <c r="M309" s="18"/>
      <c r="N309" s="109"/>
      <c r="O309" s="18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>
      <c r="A310" s="1"/>
      <c r="B310" s="1"/>
      <c r="C310" s="18"/>
      <c r="D310" s="47"/>
      <c r="E310" s="18"/>
      <c r="F310" s="18"/>
      <c r="G310" s="18"/>
      <c r="H310" s="18"/>
      <c r="I310" s="25"/>
      <c r="J310" s="18"/>
      <c r="K310" s="18"/>
      <c r="L310" s="18"/>
      <c r="M310" s="18"/>
      <c r="N310" s="109"/>
      <c r="O310" s="18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>
      <c r="A311" s="1"/>
      <c r="B311" s="1"/>
      <c r="C311" s="18"/>
      <c r="D311" s="47"/>
      <c r="E311" s="18"/>
      <c r="F311" s="18"/>
      <c r="G311" s="18"/>
      <c r="H311" s="18"/>
      <c r="I311" s="25"/>
      <c r="J311" s="18"/>
      <c r="K311" s="18"/>
      <c r="L311" s="18"/>
      <c r="M311" s="18"/>
      <c r="N311" s="109"/>
      <c r="O311" s="18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>
      <c r="A312" s="1"/>
      <c r="B312" s="1"/>
      <c r="C312" s="18"/>
      <c r="D312" s="47"/>
      <c r="E312" s="18"/>
      <c r="F312" s="18"/>
      <c r="G312" s="18"/>
      <c r="H312" s="18"/>
      <c r="I312" s="25"/>
      <c r="J312" s="18"/>
      <c r="K312" s="18"/>
      <c r="L312" s="18"/>
      <c r="M312" s="18"/>
      <c r="N312" s="109"/>
      <c r="O312" s="18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>
      <c r="A313" s="1"/>
      <c r="B313" s="1"/>
      <c r="C313" s="18"/>
      <c r="D313" s="47"/>
      <c r="E313" s="18"/>
      <c r="F313" s="18"/>
      <c r="G313" s="18"/>
      <c r="H313" s="18"/>
      <c r="I313" s="25"/>
      <c r="J313" s="18"/>
      <c r="K313" s="18"/>
      <c r="L313" s="18"/>
      <c r="M313" s="18"/>
      <c r="N313" s="109"/>
      <c r="O313" s="18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>
      <c r="A314" s="1"/>
      <c r="B314" s="1"/>
      <c r="C314" s="18"/>
      <c r="D314" s="47"/>
      <c r="E314" s="18"/>
      <c r="F314" s="18"/>
      <c r="G314" s="18"/>
      <c r="H314" s="18"/>
      <c r="I314" s="25"/>
      <c r="J314" s="18"/>
      <c r="K314" s="18"/>
      <c r="L314" s="18"/>
      <c r="M314" s="18"/>
      <c r="N314" s="109"/>
      <c r="O314" s="18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>
      <c r="A315" s="1"/>
      <c r="B315" s="1"/>
      <c r="C315" s="18"/>
      <c r="D315" s="47"/>
      <c r="E315" s="18"/>
      <c r="F315" s="18"/>
      <c r="G315" s="18"/>
      <c r="H315" s="18"/>
      <c r="I315" s="25"/>
      <c r="J315" s="18"/>
      <c r="K315" s="18"/>
      <c r="L315" s="18"/>
      <c r="M315" s="18"/>
      <c r="N315" s="109"/>
      <c r="O315" s="18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>
      <c r="A316" s="1"/>
      <c r="B316" s="1"/>
      <c r="C316" s="18"/>
      <c r="D316" s="47"/>
      <c r="E316" s="18"/>
      <c r="F316" s="18"/>
      <c r="G316" s="18"/>
      <c r="H316" s="18"/>
      <c r="I316" s="25"/>
      <c r="J316" s="18"/>
      <c r="K316" s="18"/>
      <c r="L316" s="18"/>
      <c r="M316" s="18"/>
      <c r="N316" s="109"/>
      <c r="O316" s="18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>
      <c r="A317" s="1"/>
      <c r="B317" s="1"/>
      <c r="C317" s="18"/>
      <c r="D317" s="47"/>
      <c r="E317" s="18"/>
      <c r="F317" s="18"/>
      <c r="G317" s="18"/>
      <c r="H317" s="18"/>
      <c r="I317" s="25"/>
      <c r="J317" s="18"/>
      <c r="K317" s="18"/>
      <c r="L317" s="18"/>
      <c r="M317" s="18"/>
      <c r="N317" s="109"/>
      <c r="O317" s="18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>
      <c r="A318" s="1"/>
      <c r="B318" s="1"/>
      <c r="C318" s="18"/>
      <c r="D318" s="47"/>
      <c r="E318" s="18"/>
      <c r="F318" s="18"/>
      <c r="G318" s="18"/>
      <c r="H318" s="18"/>
      <c r="I318" s="25"/>
      <c r="J318" s="18"/>
      <c r="K318" s="18"/>
      <c r="L318" s="18"/>
      <c r="M318" s="18"/>
      <c r="N318" s="109"/>
      <c r="O318" s="18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>
      <c r="A319" s="1"/>
      <c r="B319" s="1"/>
      <c r="C319" s="18"/>
      <c r="D319" s="47"/>
      <c r="E319" s="18"/>
      <c r="F319" s="18"/>
      <c r="G319" s="18"/>
      <c r="H319" s="18"/>
      <c r="I319" s="25"/>
      <c r="J319" s="18"/>
      <c r="K319" s="18"/>
      <c r="L319" s="18"/>
      <c r="M319" s="18"/>
      <c r="N319" s="109"/>
      <c r="O319" s="18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>
      <c r="A320" s="1"/>
      <c r="B320" s="1"/>
      <c r="C320" s="18"/>
      <c r="D320" s="47"/>
      <c r="E320" s="18"/>
      <c r="F320" s="18"/>
      <c r="G320" s="18"/>
      <c r="H320" s="18"/>
      <c r="I320" s="25"/>
      <c r="J320" s="18"/>
      <c r="K320" s="18"/>
      <c r="L320" s="18"/>
      <c r="M320" s="18"/>
      <c r="N320" s="109"/>
      <c r="O320" s="18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>
      <c r="A321" s="1"/>
      <c r="B321" s="1"/>
      <c r="C321" s="18"/>
      <c r="D321" s="47"/>
      <c r="E321" s="18"/>
      <c r="F321" s="18"/>
      <c r="G321" s="18"/>
      <c r="H321" s="18"/>
      <c r="I321" s="25"/>
      <c r="J321" s="18"/>
      <c r="K321" s="18"/>
      <c r="L321" s="18"/>
      <c r="M321" s="18"/>
      <c r="N321" s="109"/>
      <c r="O321" s="18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>
      <c r="A322" s="1"/>
      <c r="B322" s="1"/>
      <c r="C322" s="18"/>
      <c r="D322" s="47"/>
      <c r="E322" s="18"/>
      <c r="F322" s="18"/>
      <c r="G322" s="18"/>
      <c r="H322" s="18"/>
      <c r="I322" s="25"/>
      <c r="J322" s="18"/>
      <c r="K322" s="18"/>
      <c r="L322" s="18"/>
      <c r="M322" s="18"/>
      <c r="N322" s="109"/>
      <c r="O322" s="18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>
      <c r="A323" s="1"/>
      <c r="B323" s="1"/>
      <c r="C323" s="18"/>
      <c r="D323" s="47"/>
      <c r="E323" s="18"/>
      <c r="F323" s="18"/>
      <c r="G323" s="18"/>
      <c r="H323" s="18"/>
      <c r="I323" s="25"/>
      <c r="J323" s="18"/>
      <c r="K323" s="18"/>
      <c r="L323" s="18"/>
      <c r="M323" s="18"/>
      <c r="N323" s="109"/>
      <c r="O323" s="18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>
      <c r="A324" s="1"/>
      <c r="B324" s="1"/>
      <c r="C324" s="18"/>
      <c r="D324" s="47"/>
      <c r="E324" s="18"/>
      <c r="F324" s="18"/>
      <c r="G324" s="18"/>
      <c r="H324" s="18"/>
      <c r="I324" s="25"/>
      <c r="J324" s="18"/>
      <c r="K324" s="18"/>
      <c r="L324" s="18"/>
      <c r="M324" s="18"/>
      <c r="N324" s="109"/>
      <c r="O324" s="18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>
      <c r="A325" s="1"/>
      <c r="B325" s="1"/>
      <c r="C325" s="18"/>
      <c r="D325" s="47"/>
      <c r="E325" s="18"/>
      <c r="F325" s="18"/>
      <c r="G325" s="18"/>
      <c r="H325" s="18"/>
      <c r="I325" s="25"/>
      <c r="J325" s="18"/>
      <c r="K325" s="18"/>
      <c r="L325" s="18"/>
      <c r="M325" s="18"/>
      <c r="N325" s="109"/>
      <c r="O325" s="18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>
      <c r="A326" s="1"/>
      <c r="B326" s="1"/>
      <c r="C326" s="18"/>
      <c r="D326" s="47"/>
      <c r="E326" s="18"/>
      <c r="F326" s="18"/>
      <c r="G326" s="18"/>
      <c r="H326" s="18"/>
      <c r="I326" s="25"/>
      <c r="J326" s="18"/>
      <c r="K326" s="18"/>
      <c r="L326" s="18"/>
      <c r="M326" s="18"/>
      <c r="N326" s="109"/>
      <c r="O326" s="18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>
      <c r="A327" s="1"/>
      <c r="B327" s="1"/>
      <c r="C327" s="18"/>
      <c r="D327" s="47"/>
      <c r="E327" s="18"/>
      <c r="F327" s="18"/>
      <c r="G327" s="18"/>
      <c r="H327" s="18"/>
      <c r="I327" s="25"/>
      <c r="J327" s="18"/>
      <c r="K327" s="18"/>
      <c r="L327" s="18"/>
      <c r="M327" s="18"/>
      <c r="N327" s="109"/>
      <c r="O327" s="18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>
      <c r="A328" s="1"/>
      <c r="B328" s="1"/>
      <c r="C328" s="18"/>
      <c r="D328" s="47"/>
      <c r="E328" s="18"/>
      <c r="F328" s="18"/>
      <c r="G328" s="18"/>
      <c r="H328" s="18"/>
      <c r="I328" s="25"/>
      <c r="J328" s="18"/>
      <c r="K328" s="18"/>
      <c r="L328" s="18"/>
      <c r="M328" s="18"/>
      <c r="N328" s="109"/>
      <c r="O328" s="18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>
      <c r="A329" s="1"/>
      <c r="B329" s="1"/>
      <c r="C329" s="18"/>
      <c r="D329" s="47"/>
      <c r="E329" s="18"/>
      <c r="F329" s="18"/>
      <c r="G329" s="18"/>
      <c r="H329" s="18"/>
      <c r="I329" s="25"/>
      <c r="J329" s="18"/>
      <c r="K329" s="18"/>
      <c r="L329" s="18"/>
      <c r="M329" s="18"/>
      <c r="N329" s="109"/>
      <c r="O329" s="18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>
      <c r="A330" s="1"/>
      <c r="B330" s="1"/>
      <c r="C330" s="18"/>
      <c r="D330" s="47"/>
      <c r="E330" s="18"/>
      <c r="F330" s="18"/>
      <c r="G330" s="18"/>
      <c r="H330" s="18"/>
      <c r="I330" s="25"/>
      <c r="J330" s="18"/>
      <c r="K330" s="18"/>
      <c r="L330" s="18"/>
      <c r="M330" s="18"/>
      <c r="N330" s="109"/>
      <c r="O330" s="18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>
      <c r="A331" s="1"/>
      <c r="B331" s="1"/>
      <c r="C331" s="18"/>
      <c r="D331" s="47"/>
      <c r="E331" s="18"/>
      <c r="F331" s="18"/>
      <c r="G331" s="18"/>
      <c r="H331" s="18"/>
      <c r="I331" s="25"/>
      <c r="J331" s="18"/>
      <c r="K331" s="18"/>
      <c r="L331" s="18"/>
      <c r="M331" s="18"/>
      <c r="N331" s="109"/>
      <c r="O331" s="18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>
      <c r="A332" s="1"/>
      <c r="B332" s="1"/>
      <c r="C332" s="18"/>
      <c r="D332" s="47"/>
      <c r="E332" s="18"/>
      <c r="F332" s="18"/>
      <c r="G332" s="18"/>
      <c r="H332" s="18"/>
      <c r="I332" s="25"/>
      <c r="J332" s="18"/>
      <c r="K332" s="18"/>
      <c r="L332" s="18"/>
      <c r="M332" s="18"/>
      <c r="N332" s="109"/>
      <c r="O332" s="18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>
      <c r="A333" s="1"/>
      <c r="B333" s="1"/>
      <c r="C333" s="18"/>
      <c r="D333" s="47"/>
      <c r="E333" s="18"/>
      <c r="F333" s="18"/>
      <c r="G333" s="18"/>
      <c r="H333" s="18"/>
      <c r="I333" s="25"/>
      <c r="J333" s="18"/>
      <c r="K333" s="18"/>
      <c r="L333" s="18"/>
      <c r="M333" s="18"/>
      <c r="N333" s="109"/>
      <c r="O333" s="18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>
      <c r="A334" s="1"/>
      <c r="B334" s="1"/>
      <c r="C334" s="18"/>
      <c r="D334" s="47"/>
      <c r="E334" s="18"/>
      <c r="F334" s="18"/>
      <c r="G334" s="18"/>
      <c r="H334" s="18"/>
      <c r="I334" s="25"/>
      <c r="J334" s="18"/>
      <c r="K334" s="18"/>
      <c r="L334" s="18"/>
      <c r="M334" s="18"/>
      <c r="N334" s="109"/>
      <c r="O334" s="18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>
      <c r="A335" s="1"/>
      <c r="B335" s="1"/>
      <c r="C335" s="18"/>
      <c r="D335" s="47"/>
      <c r="E335" s="18"/>
      <c r="F335" s="18"/>
      <c r="G335" s="18"/>
      <c r="H335" s="18"/>
      <c r="I335" s="25"/>
      <c r="J335" s="18"/>
      <c r="K335" s="18"/>
      <c r="L335" s="18"/>
      <c r="M335" s="18"/>
      <c r="N335" s="109"/>
      <c r="O335" s="18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>
      <c r="A336" s="1"/>
      <c r="B336" s="1"/>
      <c r="C336" s="18"/>
      <c r="D336" s="47"/>
      <c r="E336" s="18"/>
      <c r="F336" s="18"/>
      <c r="G336" s="18"/>
      <c r="H336" s="18"/>
      <c r="I336" s="25"/>
      <c r="J336" s="18"/>
      <c r="K336" s="18"/>
      <c r="L336" s="18"/>
      <c r="M336" s="18"/>
      <c r="N336" s="109"/>
      <c r="O336" s="18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>
      <c r="A337" s="1"/>
      <c r="B337" s="1"/>
      <c r="C337" s="18"/>
      <c r="D337" s="47"/>
      <c r="E337" s="18"/>
      <c r="F337" s="18"/>
      <c r="G337" s="18"/>
      <c r="H337" s="18"/>
      <c r="I337" s="25"/>
      <c r="J337" s="18"/>
      <c r="K337" s="18"/>
      <c r="L337" s="18"/>
      <c r="M337" s="18"/>
      <c r="N337" s="109"/>
      <c r="O337" s="18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>
      <c r="A338" s="1"/>
      <c r="B338" s="1"/>
      <c r="C338" s="18"/>
      <c r="D338" s="47"/>
      <c r="E338" s="18"/>
      <c r="F338" s="18"/>
      <c r="G338" s="18"/>
      <c r="H338" s="18"/>
      <c r="I338" s="25"/>
      <c r="J338" s="18"/>
      <c r="K338" s="18"/>
      <c r="L338" s="18"/>
      <c r="M338" s="18"/>
      <c r="N338" s="109"/>
      <c r="O338" s="18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>
      <c r="A339" s="1"/>
      <c r="B339" s="1"/>
      <c r="C339" s="18"/>
      <c r="D339" s="47"/>
      <c r="E339" s="18"/>
      <c r="F339" s="18"/>
      <c r="G339" s="18"/>
      <c r="H339" s="18"/>
      <c r="I339" s="25"/>
      <c r="J339" s="18"/>
      <c r="K339" s="18"/>
      <c r="L339" s="18"/>
      <c r="M339" s="18"/>
      <c r="N339" s="109"/>
      <c r="O339" s="18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>
      <c r="A340" s="1"/>
      <c r="B340" s="1"/>
      <c r="C340" s="18"/>
      <c r="D340" s="47"/>
      <c r="E340" s="18"/>
      <c r="F340" s="18"/>
      <c r="G340" s="18"/>
      <c r="H340" s="18"/>
      <c r="I340" s="25"/>
      <c r="J340" s="18"/>
      <c r="K340" s="18"/>
      <c r="L340" s="18"/>
      <c r="M340" s="18"/>
      <c r="N340" s="109"/>
      <c r="O340" s="18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>
      <c r="A341" s="1"/>
      <c r="B341" s="1"/>
      <c r="C341" s="18"/>
      <c r="D341" s="47"/>
      <c r="E341" s="18"/>
      <c r="F341" s="18"/>
      <c r="G341" s="18"/>
      <c r="H341" s="18"/>
      <c r="I341" s="25"/>
      <c r="J341" s="18"/>
      <c r="K341" s="18"/>
      <c r="L341" s="18"/>
      <c r="M341" s="18"/>
      <c r="N341" s="109"/>
      <c r="O341" s="18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>
      <c r="A342" s="1"/>
      <c r="B342" s="1"/>
      <c r="C342" s="18"/>
      <c r="D342" s="47"/>
      <c r="E342" s="18"/>
      <c r="F342" s="18"/>
      <c r="G342" s="18"/>
      <c r="H342" s="18"/>
      <c r="I342" s="25"/>
      <c r="J342" s="18"/>
      <c r="K342" s="18"/>
      <c r="L342" s="18"/>
      <c r="M342" s="18"/>
      <c r="N342" s="109"/>
      <c r="O342" s="18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>
      <c r="A343" s="1"/>
      <c r="B343" s="1"/>
      <c r="C343" s="18"/>
      <c r="D343" s="47"/>
      <c r="E343" s="18"/>
      <c r="F343" s="18"/>
      <c r="G343" s="18"/>
      <c r="H343" s="18"/>
      <c r="I343" s="25"/>
      <c r="J343" s="18"/>
      <c r="K343" s="18"/>
      <c r="L343" s="18"/>
      <c r="M343" s="18"/>
      <c r="N343" s="109"/>
      <c r="O343" s="18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>
      <c r="A344" s="1"/>
      <c r="B344" s="1"/>
      <c r="C344" s="18"/>
      <c r="D344" s="47"/>
      <c r="E344" s="18"/>
      <c r="F344" s="18"/>
      <c r="G344" s="18"/>
      <c r="H344" s="18"/>
      <c r="I344" s="25"/>
      <c r="J344" s="18"/>
      <c r="K344" s="18"/>
      <c r="L344" s="18"/>
      <c r="M344" s="18"/>
      <c r="N344" s="109"/>
      <c r="O344" s="18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>
      <c r="A345" s="1"/>
      <c r="B345" s="1"/>
      <c r="C345" s="18"/>
      <c r="D345" s="47"/>
      <c r="E345" s="18"/>
      <c r="F345" s="18"/>
      <c r="G345" s="18"/>
      <c r="H345" s="18"/>
      <c r="I345" s="25"/>
      <c r="J345" s="18"/>
      <c r="K345" s="18"/>
      <c r="L345" s="18"/>
      <c r="M345" s="18"/>
      <c r="N345" s="109"/>
      <c r="O345" s="18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>
      <c r="A346" s="1"/>
      <c r="B346" s="1"/>
      <c r="C346" s="18"/>
      <c r="D346" s="47"/>
      <c r="E346" s="18"/>
      <c r="F346" s="18"/>
      <c r="G346" s="18"/>
      <c r="H346" s="18"/>
      <c r="I346" s="25"/>
      <c r="J346" s="18"/>
      <c r="K346" s="18"/>
      <c r="L346" s="18"/>
      <c r="M346" s="18"/>
      <c r="N346" s="109"/>
      <c r="O346" s="18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>
      <c r="A347" s="1"/>
      <c r="B347" s="1"/>
      <c r="C347" s="18"/>
      <c r="D347" s="47"/>
      <c r="E347" s="18"/>
      <c r="F347" s="18"/>
      <c r="G347" s="18"/>
      <c r="H347" s="18"/>
      <c r="I347" s="25"/>
      <c r="J347" s="18"/>
      <c r="K347" s="18"/>
      <c r="L347" s="18"/>
      <c r="M347" s="18"/>
      <c r="N347" s="109"/>
      <c r="O347" s="18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>
      <c r="A348" s="1"/>
      <c r="B348" s="1"/>
      <c r="C348" s="18"/>
      <c r="D348" s="47"/>
      <c r="E348" s="18"/>
      <c r="F348" s="18"/>
      <c r="G348" s="18"/>
      <c r="H348" s="18"/>
      <c r="I348" s="25"/>
      <c r="J348" s="18"/>
      <c r="K348" s="18"/>
      <c r="L348" s="18"/>
      <c r="M348" s="18"/>
      <c r="N348" s="109"/>
      <c r="O348" s="18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>
      <c r="A349" s="1"/>
      <c r="B349" s="1"/>
      <c r="C349" s="18"/>
      <c r="D349" s="47"/>
      <c r="E349" s="18"/>
      <c r="F349" s="18"/>
      <c r="G349" s="18"/>
      <c r="H349" s="18"/>
      <c r="I349" s="25"/>
      <c r="J349" s="18"/>
      <c r="K349" s="18"/>
      <c r="L349" s="18"/>
      <c r="M349" s="18"/>
      <c r="N349" s="109"/>
      <c r="O349" s="18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>
      <c r="A350" s="1"/>
      <c r="B350" s="1"/>
      <c r="C350" s="18"/>
      <c r="D350" s="47"/>
      <c r="E350" s="18"/>
      <c r="F350" s="18"/>
      <c r="G350" s="18"/>
      <c r="H350" s="18"/>
      <c r="I350" s="25"/>
      <c r="J350" s="18"/>
      <c r="K350" s="18"/>
      <c r="L350" s="18"/>
      <c r="M350" s="18"/>
      <c r="N350" s="109"/>
      <c r="O350" s="18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>
      <c r="A351" s="1"/>
      <c r="B351" s="1"/>
      <c r="C351" s="18"/>
      <c r="D351" s="47"/>
      <c r="E351" s="18"/>
      <c r="F351" s="18"/>
      <c r="G351" s="18"/>
      <c r="H351" s="18"/>
      <c r="I351" s="25"/>
      <c r="J351" s="18"/>
      <c r="K351" s="18"/>
      <c r="L351" s="18"/>
      <c r="M351" s="18"/>
      <c r="N351" s="109"/>
      <c r="O351" s="18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>
      <c r="A352" s="1"/>
      <c r="B352" s="1"/>
      <c r="C352" s="18"/>
      <c r="D352" s="47"/>
      <c r="E352" s="18"/>
      <c r="F352" s="18"/>
      <c r="G352" s="18"/>
      <c r="H352" s="18"/>
      <c r="I352" s="25"/>
      <c r="J352" s="18"/>
      <c r="K352" s="18"/>
      <c r="L352" s="18"/>
      <c r="M352" s="18"/>
      <c r="N352" s="109"/>
      <c r="O352" s="18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>
      <c r="A353" s="1"/>
      <c r="B353" s="1"/>
      <c r="C353" s="18"/>
      <c r="D353" s="47"/>
      <c r="E353" s="18"/>
      <c r="F353" s="18"/>
      <c r="G353" s="18"/>
      <c r="H353" s="18"/>
      <c r="I353" s="25"/>
      <c r="J353" s="18"/>
      <c r="K353" s="18"/>
      <c r="L353" s="18"/>
      <c r="M353" s="18"/>
      <c r="N353" s="109"/>
      <c r="O353" s="18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>
      <c r="A354" s="1"/>
      <c r="B354" s="1"/>
      <c r="C354" s="18"/>
      <c r="D354" s="47"/>
      <c r="E354" s="18"/>
      <c r="F354" s="18"/>
      <c r="G354" s="18"/>
      <c r="H354" s="18"/>
      <c r="I354" s="25"/>
      <c r="J354" s="18"/>
      <c r="K354" s="18"/>
      <c r="L354" s="18"/>
      <c r="M354" s="18"/>
      <c r="N354" s="109"/>
      <c r="O354" s="18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>
      <c r="A355" s="1"/>
      <c r="B355" s="1"/>
      <c r="C355" s="18"/>
      <c r="D355" s="47"/>
      <c r="E355" s="18"/>
      <c r="F355" s="18"/>
      <c r="G355" s="18"/>
      <c r="H355" s="18"/>
      <c r="I355" s="25"/>
      <c r="J355" s="18"/>
      <c r="K355" s="18"/>
      <c r="L355" s="18"/>
      <c r="M355" s="18"/>
      <c r="N355" s="109"/>
      <c r="O355" s="18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>
      <c r="A356" s="1"/>
      <c r="B356" s="1"/>
      <c r="C356" s="18"/>
      <c r="D356" s="47"/>
      <c r="E356" s="18"/>
      <c r="F356" s="18"/>
      <c r="G356" s="18"/>
      <c r="H356" s="18"/>
      <c r="I356" s="25"/>
      <c r="J356" s="18"/>
      <c r="K356" s="18"/>
      <c r="L356" s="18"/>
      <c r="M356" s="18"/>
      <c r="N356" s="109"/>
      <c r="O356" s="18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>
      <c r="A357" s="1"/>
      <c r="B357" s="1"/>
      <c r="C357" s="18"/>
      <c r="D357" s="47"/>
      <c r="E357" s="18"/>
      <c r="F357" s="18"/>
      <c r="G357" s="18"/>
      <c r="H357" s="18"/>
      <c r="I357" s="25"/>
      <c r="J357" s="18"/>
      <c r="K357" s="18"/>
      <c r="L357" s="18"/>
      <c r="M357" s="18"/>
      <c r="N357" s="109"/>
      <c r="O357" s="18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>
      <c r="A358" s="1"/>
      <c r="B358" s="1"/>
      <c r="C358" s="18"/>
      <c r="D358" s="47"/>
      <c r="E358" s="18"/>
      <c r="F358" s="18"/>
      <c r="G358" s="18"/>
      <c r="H358" s="18"/>
      <c r="I358" s="25"/>
      <c r="J358" s="18"/>
      <c r="K358" s="18"/>
      <c r="L358" s="18"/>
      <c r="M358" s="18"/>
      <c r="N358" s="109"/>
      <c r="O358" s="18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>
      <c r="A359" s="1"/>
      <c r="B359" s="1"/>
      <c r="C359" s="18"/>
      <c r="D359" s="47"/>
      <c r="E359" s="18"/>
      <c r="F359" s="18"/>
      <c r="G359" s="18"/>
      <c r="H359" s="18"/>
      <c r="I359" s="25"/>
      <c r="J359" s="18"/>
      <c r="K359" s="18"/>
      <c r="L359" s="18"/>
      <c r="M359" s="18"/>
      <c r="N359" s="109"/>
      <c r="O359" s="18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>
      <c r="A360" s="1"/>
      <c r="B360" s="1"/>
      <c r="C360" s="18"/>
      <c r="D360" s="47"/>
      <c r="E360" s="18"/>
      <c r="F360" s="18"/>
      <c r="G360" s="18"/>
      <c r="H360" s="18"/>
      <c r="I360" s="25"/>
      <c r="J360" s="18"/>
      <c r="K360" s="18"/>
      <c r="L360" s="18"/>
      <c r="M360" s="18"/>
      <c r="N360" s="109"/>
      <c r="O360" s="18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>
      <c r="A361" s="1"/>
      <c r="B361" s="1"/>
      <c r="C361" s="18"/>
      <c r="D361" s="47"/>
      <c r="E361" s="18"/>
      <c r="F361" s="18"/>
      <c r="G361" s="18"/>
      <c r="H361" s="18"/>
      <c r="I361" s="25"/>
      <c r="J361" s="18"/>
      <c r="K361" s="18"/>
      <c r="L361" s="18"/>
      <c r="M361" s="18"/>
      <c r="N361" s="109"/>
      <c r="O361" s="18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>
      <c r="A362" s="1"/>
      <c r="B362" s="1"/>
      <c r="C362" s="18"/>
      <c r="D362" s="47"/>
      <c r="E362" s="18"/>
      <c r="F362" s="18"/>
      <c r="G362" s="18"/>
      <c r="H362" s="18"/>
      <c r="I362" s="25"/>
      <c r="J362" s="18"/>
      <c r="K362" s="18"/>
      <c r="L362" s="18"/>
      <c r="M362" s="18"/>
      <c r="N362" s="109"/>
      <c r="O362" s="18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>
      <c r="A363" s="1"/>
      <c r="B363" s="1"/>
      <c r="C363" s="18"/>
      <c r="D363" s="47"/>
      <c r="E363" s="18"/>
      <c r="F363" s="18"/>
      <c r="G363" s="18"/>
      <c r="H363" s="18"/>
      <c r="I363" s="25"/>
      <c r="J363" s="18"/>
      <c r="K363" s="18"/>
      <c r="L363" s="18"/>
      <c r="M363" s="18"/>
      <c r="N363" s="109"/>
      <c r="O363" s="18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>
      <c r="A364" s="1"/>
      <c r="B364" s="1"/>
      <c r="C364" s="18"/>
      <c r="D364" s="47"/>
      <c r="E364" s="18"/>
      <c r="F364" s="18"/>
      <c r="G364" s="18"/>
      <c r="H364" s="18"/>
      <c r="I364" s="25"/>
      <c r="J364" s="18"/>
      <c r="K364" s="18"/>
      <c r="L364" s="18"/>
      <c r="M364" s="18"/>
      <c r="N364" s="109"/>
      <c r="O364" s="18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>
      <c r="A365" s="1"/>
      <c r="B365" s="1"/>
      <c r="C365" s="18"/>
      <c r="D365" s="47"/>
      <c r="E365" s="18"/>
      <c r="F365" s="18"/>
      <c r="G365" s="18"/>
      <c r="H365" s="18"/>
      <c r="I365" s="25"/>
      <c r="J365" s="18"/>
      <c r="K365" s="18"/>
      <c r="L365" s="18"/>
      <c r="M365" s="18"/>
      <c r="N365" s="109"/>
      <c r="O365" s="18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>
      <c r="A366" s="1"/>
      <c r="B366" s="1"/>
      <c r="C366" s="18"/>
      <c r="D366" s="47"/>
      <c r="E366" s="18"/>
      <c r="F366" s="18"/>
      <c r="G366" s="18"/>
      <c r="H366" s="18"/>
      <c r="I366" s="25"/>
      <c r="J366" s="18"/>
      <c r="K366" s="18"/>
      <c r="L366" s="18"/>
      <c r="M366" s="18"/>
      <c r="N366" s="109"/>
      <c r="O366" s="18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>
      <c r="A367" s="1"/>
      <c r="B367" s="1"/>
      <c r="C367" s="18"/>
      <c r="D367" s="47"/>
      <c r="E367" s="18"/>
      <c r="F367" s="18"/>
      <c r="G367" s="18"/>
      <c r="H367" s="18"/>
      <c r="I367" s="25"/>
      <c r="J367" s="18"/>
      <c r="K367" s="18"/>
      <c r="L367" s="18"/>
      <c r="M367" s="18"/>
      <c r="N367" s="109"/>
      <c r="O367" s="18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>
      <c r="A368" s="1"/>
      <c r="B368" s="1"/>
      <c r="C368" s="18"/>
      <c r="D368" s="47"/>
      <c r="E368" s="18"/>
      <c r="F368" s="18"/>
      <c r="G368" s="18"/>
      <c r="H368" s="18"/>
      <c r="I368" s="25"/>
      <c r="J368" s="18"/>
      <c r="K368" s="18"/>
      <c r="L368" s="18"/>
      <c r="M368" s="18"/>
      <c r="N368" s="109"/>
      <c r="O368" s="18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>
      <c r="A369" s="1"/>
      <c r="B369" s="1"/>
      <c r="C369" s="18"/>
      <c r="D369" s="47"/>
      <c r="E369" s="18"/>
      <c r="F369" s="18"/>
      <c r="G369" s="18"/>
      <c r="H369" s="18"/>
      <c r="I369" s="25"/>
      <c r="J369" s="18"/>
      <c r="K369" s="18"/>
      <c r="L369" s="18"/>
      <c r="M369" s="18"/>
      <c r="N369" s="109"/>
      <c r="O369" s="18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>
      <c r="A370" s="1"/>
      <c r="B370" s="1"/>
      <c r="C370" s="18"/>
      <c r="D370" s="47"/>
      <c r="E370" s="18"/>
      <c r="F370" s="18"/>
      <c r="G370" s="18"/>
      <c r="H370" s="18"/>
      <c r="I370" s="25"/>
      <c r="J370" s="18"/>
      <c r="K370" s="18"/>
      <c r="L370" s="18"/>
      <c r="M370" s="18"/>
      <c r="N370" s="109"/>
      <c r="O370" s="18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>
      <c r="A371" s="1"/>
      <c r="B371" s="1"/>
      <c r="C371" s="18"/>
      <c r="D371" s="47"/>
      <c r="E371" s="18"/>
      <c r="F371" s="18"/>
      <c r="G371" s="18"/>
      <c r="H371" s="18"/>
      <c r="I371" s="25"/>
      <c r="J371" s="18"/>
      <c r="K371" s="18"/>
      <c r="L371" s="18"/>
      <c r="M371" s="18"/>
      <c r="N371" s="109"/>
      <c r="O371" s="18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>
      <c r="A372" s="1"/>
      <c r="B372" s="1"/>
      <c r="C372" s="18"/>
      <c r="D372" s="47"/>
      <c r="E372" s="18"/>
      <c r="F372" s="18"/>
      <c r="G372" s="18"/>
      <c r="H372" s="18"/>
      <c r="I372" s="25"/>
      <c r="J372" s="18"/>
      <c r="K372" s="18"/>
      <c r="L372" s="18"/>
      <c r="M372" s="18"/>
      <c r="N372" s="109"/>
      <c r="O372" s="18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>
      <c r="A373" s="1"/>
      <c r="B373" s="1"/>
      <c r="C373" s="18"/>
      <c r="D373" s="47"/>
      <c r="E373" s="18"/>
      <c r="F373" s="18"/>
      <c r="G373" s="18"/>
      <c r="H373" s="18"/>
      <c r="I373" s="25"/>
      <c r="J373" s="18"/>
      <c r="K373" s="18"/>
      <c r="L373" s="18"/>
      <c r="M373" s="18"/>
      <c r="N373" s="109"/>
      <c r="O373" s="18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>
      <c r="A374" s="1"/>
      <c r="B374" s="1"/>
      <c r="C374" s="18"/>
      <c r="D374" s="47"/>
      <c r="E374" s="18"/>
      <c r="F374" s="18"/>
      <c r="G374" s="18"/>
      <c r="H374" s="18"/>
      <c r="I374" s="25"/>
      <c r="J374" s="18"/>
      <c r="K374" s="18"/>
      <c r="L374" s="18"/>
      <c r="M374" s="18"/>
      <c r="N374" s="109"/>
      <c r="O374" s="18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>
      <c r="A375" s="1"/>
      <c r="B375" s="1"/>
      <c r="C375" s="18"/>
      <c r="D375" s="47"/>
      <c r="E375" s="18"/>
      <c r="F375" s="18"/>
      <c r="G375" s="18"/>
      <c r="H375" s="18"/>
      <c r="I375" s="25"/>
      <c r="J375" s="18"/>
      <c r="K375" s="18"/>
      <c r="L375" s="18"/>
      <c r="M375" s="18"/>
      <c r="N375" s="109"/>
      <c r="O375" s="18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>
      <c r="A376" s="1"/>
      <c r="B376" s="1"/>
      <c r="C376" s="18"/>
      <c r="D376" s="47"/>
      <c r="E376" s="18"/>
      <c r="F376" s="18"/>
      <c r="G376" s="18"/>
      <c r="H376" s="18"/>
      <c r="I376" s="25"/>
      <c r="J376" s="18"/>
      <c r="K376" s="18"/>
      <c r="L376" s="18"/>
      <c r="M376" s="18"/>
      <c r="N376" s="109"/>
      <c r="O376" s="18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>
      <c r="A377" s="1"/>
      <c r="B377" s="1"/>
      <c r="C377" s="18"/>
      <c r="D377" s="47"/>
      <c r="E377" s="18"/>
      <c r="F377" s="18"/>
      <c r="G377" s="18"/>
      <c r="H377" s="18"/>
      <c r="I377" s="25"/>
      <c r="J377" s="18"/>
      <c r="K377" s="18"/>
      <c r="L377" s="18"/>
      <c r="M377" s="18"/>
      <c r="N377" s="109"/>
      <c r="O377" s="18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>
      <c r="A378" s="1"/>
      <c r="B378" s="1"/>
      <c r="C378" s="18"/>
      <c r="D378" s="47"/>
      <c r="E378" s="18"/>
      <c r="F378" s="18"/>
      <c r="G378" s="18"/>
      <c r="H378" s="18"/>
      <c r="I378" s="25"/>
      <c r="J378" s="18"/>
      <c r="K378" s="18"/>
      <c r="L378" s="18"/>
      <c r="M378" s="18"/>
      <c r="N378" s="109"/>
      <c r="O378" s="18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>
      <c r="A379" s="1"/>
      <c r="B379" s="1"/>
      <c r="C379" s="18"/>
      <c r="D379" s="47"/>
      <c r="E379" s="18"/>
      <c r="F379" s="18"/>
      <c r="G379" s="18"/>
      <c r="H379" s="18"/>
      <c r="I379" s="25"/>
      <c r="J379" s="18"/>
      <c r="K379" s="18"/>
      <c r="L379" s="18"/>
      <c r="M379" s="18"/>
      <c r="N379" s="109"/>
      <c r="O379" s="18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>
      <c r="A380" s="1"/>
      <c r="B380" s="1"/>
      <c r="C380" s="18"/>
      <c r="D380" s="47"/>
      <c r="E380" s="18"/>
      <c r="F380" s="18"/>
      <c r="G380" s="18"/>
      <c r="H380" s="18"/>
      <c r="I380" s="25"/>
      <c r="J380" s="18"/>
      <c r="K380" s="18"/>
      <c r="L380" s="18"/>
      <c r="M380" s="18"/>
      <c r="N380" s="109"/>
      <c r="O380" s="18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>
      <c r="A381" s="1"/>
      <c r="B381" s="1"/>
      <c r="C381" s="18"/>
      <c r="D381" s="47"/>
      <c r="E381" s="18"/>
      <c r="F381" s="18"/>
      <c r="G381" s="18"/>
      <c r="H381" s="18"/>
      <c r="I381" s="25"/>
      <c r="J381" s="18"/>
      <c r="K381" s="18"/>
      <c r="L381" s="18"/>
      <c r="M381" s="18"/>
      <c r="N381" s="109"/>
      <c r="O381" s="18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>
      <c r="A382" s="1"/>
      <c r="B382" s="1"/>
      <c r="C382" s="18"/>
      <c r="D382" s="47"/>
      <c r="E382" s="18"/>
      <c r="F382" s="18"/>
      <c r="G382" s="18"/>
      <c r="H382" s="18"/>
      <c r="I382" s="25"/>
      <c r="J382" s="18"/>
      <c r="K382" s="18"/>
      <c r="L382" s="18"/>
      <c r="M382" s="18"/>
      <c r="N382" s="109"/>
      <c r="O382" s="18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>
      <c r="A383" s="1"/>
      <c r="B383" s="1"/>
      <c r="C383" s="18"/>
      <c r="D383" s="47"/>
      <c r="E383" s="18"/>
      <c r="F383" s="18"/>
      <c r="G383" s="18"/>
      <c r="H383" s="18"/>
      <c r="I383" s="25"/>
      <c r="J383" s="18"/>
      <c r="K383" s="18"/>
      <c r="L383" s="18"/>
      <c r="M383" s="18"/>
      <c r="N383" s="109"/>
      <c r="O383" s="18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>
      <c r="A384" s="1"/>
      <c r="B384" s="1"/>
      <c r="C384" s="18"/>
      <c r="D384" s="47"/>
      <c r="E384" s="18"/>
      <c r="F384" s="18"/>
      <c r="G384" s="18"/>
      <c r="H384" s="18"/>
      <c r="I384" s="25"/>
      <c r="J384" s="18"/>
      <c r="K384" s="18"/>
      <c r="L384" s="18"/>
      <c r="M384" s="18"/>
      <c r="N384" s="109"/>
      <c r="O384" s="18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>
      <c r="A385" s="1"/>
      <c r="B385" s="1"/>
      <c r="C385" s="18"/>
      <c r="D385" s="47"/>
      <c r="E385" s="18"/>
      <c r="F385" s="18"/>
      <c r="G385" s="18"/>
      <c r="H385" s="18"/>
      <c r="I385" s="25"/>
      <c r="J385" s="18"/>
      <c r="K385" s="18"/>
      <c r="L385" s="18"/>
      <c r="M385" s="18"/>
      <c r="N385" s="109"/>
      <c r="O385" s="18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>
      <c r="A386" s="1"/>
      <c r="B386" s="1"/>
      <c r="C386" s="18"/>
      <c r="D386" s="47"/>
      <c r="E386" s="18"/>
      <c r="F386" s="18"/>
      <c r="G386" s="18"/>
      <c r="H386" s="18"/>
      <c r="I386" s="25"/>
      <c r="J386" s="18"/>
      <c r="K386" s="18"/>
      <c r="L386" s="18"/>
      <c r="M386" s="18"/>
      <c r="N386" s="109"/>
      <c r="O386" s="18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>
      <c r="A387" s="1"/>
      <c r="B387" s="1"/>
      <c r="C387" s="18"/>
      <c r="D387" s="47"/>
      <c r="E387" s="18"/>
      <c r="F387" s="18"/>
      <c r="G387" s="18"/>
      <c r="H387" s="18"/>
      <c r="I387" s="25"/>
      <c r="J387" s="18"/>
      <c r="K387" s="18"/>
      <c r="L387" s="18"/>
      <c r="M387" s="18"/>
      <c r="N387" s="109"/>
      <c r="O387" s="18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>
      <c r="A388" s="1"/>
      <c r="B388" s="1"/>
      <c r="C388" s="18"/>
      <c r="D388" s="47"/>
      <c r="E388" s="18"/>
      <c r="F388" s="18"/>
      <c r="G388" s="18"/>
      <c r="H388" s="18"/>
      <c r="I388" s="25"/>
      <c r="J388" s="18"/>
      <c r="K388" s="18"/>
      <c r="L388" s="18"/>
      <c r="M388" s="18"/>
      <c r="N388" s="109"/>
      <c r="O388" s="18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>
      <c r="A389" s="1"/>
      <c r="B389" s="1"/>
      <c r="C389" s="18"/>
      <c r="D389" s="47"/>
      <c r="E389" s="18"/>
      <c r="F389" s="18"/>
      <c r="G389" s="18"/>
      <c r="H389" s="18"/>
      <c r="I389" s="25"/>
      <c r="J389" s="18"/>
      <c r="K389" s="18"/>
      <c r="L389" s="18"/>
      <c r="M389" s="18"/>
      <c r="N389" s="109"/>
      <c r="O389" s="18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>
      <c r="A390" s="1"/>
      <c r="B390" s="1"/>
      <c r="C390" s="18"/>
      <c r="D390" s="47"/>
      <c r="E390" s="18"/>
      <c r="F390" s="18"/>
      <c r="G390" s="18"/>
      <c r="H390" s="18"/>
      <c r="I390" s="25"/>
      <c r="J390" s="18"/>
      <c r="K390" s="18"/>
      <c r="L390" s="18"/>
      <c r="M390" s="18"/>
      <c r="N390" s="109"/>
      <c r="O390" s="18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>
      <c r="A391" s="1"/>
      <c r="B391" s="1"/>
      <c r="C391" s="18"/>
      <c r="D391" s="47"/>
      <c r="E391" s="18"/>
      <c r="F391" s="18"/>
      <c r="G391" s="18"/>
      <c r="H391" s="18"/>
      <c r="I391" s="25"/>
      <c r="J391" s="18"/>
      <c r="K391" s="18"/>
      <c r="L391" s="18"/>
      <c r="M391" s="18"/>
      <c r="N391" s="109"/>
      <c r="O391" s="18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>
      <c r="A392" s="1"/>
      <c r="B392" s="1"/>
      <c r="C392" s="18"/>
      <c r="D392" s="47"/>
      <c r="E392" s="18"/>
      <c r="F392" s="18"/>
      <c r="G392" s="18"/>
      <c r="H392" s="18"/>
      <c r="I392" s="25"/>
      <c r="J392" s="18"/>
      <c r="K392" s="18"/>
      <c r="L392" s="18"/>
      <c r="M392" s="18"/>
      <c r="N392" s="109"/>
      <c r="O392" s="18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>
      <c r="A393" s="1"/>
      <c r="B393" s="1"/>
      <c r="C393" s="18"/>
      <c r="D393" s="47"/>
      <c r="E393" s="18"/>
      <c r="F393" s="18"/>
      <c r="G393" s="18"/>
      <c r="H393" s="18"/>
      <c r="I393" s="25"/>
      <c r="J393" s="18"/>
      <c r="K393" s="18"/>
      <c r="L393" s="18"/>
      <c r="M393" s="18"/>
      <c r="N393" s="109"/>
      <c r="O393" s="18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>
      <c r="A394" s="1"/>
      <c r="B394" s="1"/>
      <c r="C394" s="18"/>
      <c r="D394" s="47"/>
      <c r="E394" s="18"/>
      <c r="F394" s="18"/>
      <c r="G394" s="18"/>
      <c r="H394" s="18"/>
      <c r="I394" s="25"/>
      <c r="J394" s="18"/>
      <c r="K394" s="18"/>
      <c r="L394" s="18"/>
      <c r="M394" s="18"/>
      <c r="N394" s="109"/>
      <c r="O394" s="18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>
      <c r="A395" s="1"/>
      <c r="B395" s="1"/>
      <c r="C395" s="18"/>
      <c r="D395" s="47"/>
      <c r="E395" s="18"/>
      <c r="F395" s="18"/>
      <c r="G395" s="18"/>
      <c r="H395" s="18"/>
      <c r="I395" s="25"/>
      <c r="J395" s="18"/>
      <c r="K395" s="18"/>
      <c r="L395" s="18"/>
      <c r="M395" s="18"/>
      <c r="N395" s="109"/>
      <c r="O395" s="18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>
      <c r="A396" s="1"/>
      <c r="B396" s="1"/>
      <c r="C396" s="18"/>
      <c r="D396" s="47"/>
      <c r="E396" s="18"/>
      <c r="F396" s="18"/>
      <c r="G396" s="18"/>
      <c r="H396" s="18"/>
      <c r="I396" s="25"/>
      <c r="J396" s="18"/>
      <c r="K396" s="18"/>
      <c r="L396" s="18"/>
      <c r="M396" s="18"/>
      <c r="N396" s="109"/>
      <c r="O396" s="18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>
      <c r="A397" s="1"/>
      <c r="B397" s="1"/>
      <c r="C397" s="18"/>
      <c r="D397" s="47"/>
      <c r="E397" s="18"/>
      <c r="F397" s="18"/>
      <c r="G397" s="18"/>
      <c r="H397" s="18"/>
      <c r="I397" s="25"/>
      <c r="J397" s="18"/>
      <c r="K397" s="18"/>
      <c r="L397" s="18"/>
      <c r="M397" s="18"/>
      <c r="N397" s="109"/>
      <c r="O397" s="18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>
      <c r="A398" s="1"/>
      <c r="B398" s="1"/>
      <c r="C398" s="18"/>
      <c r="D398" s="47"/>
      <c r="E398" s="18"/>
      <c r="F398" s="18"/>
      <c r="G398" s="18"/>
      <c r="H398" s="18"/>
      <c r="I398" s="25"/>
      <c r="J398" s="18"/>
      <c r="K398" s="18"/>
      <c r="L398" s="18"/>
      <c r="M398" s="18"/>
      <c r="N398" s="109"/>
      <c r="O398" s="18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>
      <c r="A399" s="1"/>
      <c r="B399" s="1"/>
      <c r="C399" s="18"/>
      <c r="D399" s="47"/>
      <c r="E399" s="18"/>
      <c r="F399" s="18"/>
      <c r="G399" s="18"/>
      <c r="H399" s="18"/>
      <c r="I399" s="25"/>
      <c r="J399" s="18"/>
      <c r="K399" s="18"/>
      <c r="L399" s="18"/>
      <c r="M399" s="18"/>
      <c r="N399" s="109"/>
      <c r="O399" s="18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>
      <c r="A400" s="1"/>
      <c r="B400" s="1"/>
      <c r="C400" s="18"/>
      <c r="D400" s="47"/>
      <c r="E400" s="18"/>
      <c r="F400" s="18"/>
      <c r="G400" s="18"/>
      <c r="H400" s="18"/>
      <c r="I400" s="25"/>
      <c r="J400" s="18"/>
      <c r="K400" s="18"/>
      <c r="L400" s="18"/>
      <c r="M400" s="18"/>
      <c r="N400" s="109"/>
      <c r="O400" s="18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>
      <c r="A401" s="1"/>
      <c r="B401" s="1"/>
      <c r="C401" s="18"/>
      <c r="D401" s="47"/>
      <c r="E401" s="18"/>
      <c r="F401" s="18"/>
      <c r="G401" s="18"/>
      <c r="H401" s="18"/>
      <c r="I401" s="25"/>
      <c r="J401" s="18"/>
      <c r="K401" s="18"/>
      <c r="L401" s="18"/>
      <c r="M401" s="18"/>
      <c r="N401" s="109"/>
      <c r="O401" s="18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>
      <c r="A402" s="1"/>
      <c r="B402" s="1"/>
      <c r="C402" s="18"/>
      <c r="D402" s="47"/>
      <c r="E402" s="18"/>
      <c r="F402" s="18"/>
      <c r="G402" s="18"/>
      <c r="H402" s="18"/>
      <c r="I402" s="25"/>
      <c r="J402" s="18"/>
      <c r="K402" s="18"/>
      <c r="L402" s="18"/>
      <c r="M402" s="18"/>
      <c r="N402" s="109"/>
      <c r="O402" s="18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>
      <c r="A403" s="1"/>
      <c r="B403" s="1"/>
      <c r="C403" s="18"/>
      <c r="D403" s="47"/>
      <c r="E403" s="18"/>
      <c r="F403" s="18"/>
      <c r="G403" s="18"/>
      <c r="H403" s="18"/>
      <c r="I403" s="25"/>
      <c r="J403" s="18"/>
      <c r="K403" s="18"/>
      <c r="L403" s="18"/>
      <c r="M403" s="18"/>
      <c r="N403" s="109"/>
      <c r="O403" s="18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>
      <c r="A404" s="1"/>
      <c r="B404" s="1"/>
      <c r="C404" s="18"/>
      <c r="D404" s="47"/>
      <c r="E404" s="18"/>
      <c r="F404" s="18"/>
      <c r="G404" s="18"/>
      <c r="H404" s="18"/>
      <c r="I404" s="25"/>
      <c r="J404" s="18"/>
      <c r="K404" s="18"/>
      <c r="L404" s="18"/>
      <c r="M404" s="18"/>
      <c r="N404" s="109"/>
      <c r="O404" s="18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>
      <c r="A405" s="1"/>
      <c r="B405" s="1"/>
      <c r="C405" s="18"/>
      <c r="D405" s="47"/>
      <c r="E405" s="18"/>
      <c r="F405" s="18"/>
      <c r="G405" s="18"/>
      <c r="H405" s="18"/>
      <c r="I405" s="25"/>
      <c r="J405" s="18"/>
      <c r="K405" s="18"/>
      <c r="L405" s="18"/>
      <c r="M405" s="18"/>
      <c r="N405" s="109"/>
      <c r="O405" s="18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>
      <c r="A406" s="1"/>
      <c r="B406" s="1"/>
      <c r="C406" s="18"/>
      <c r="D406" s="47"/>
      <c r="E406" s="18"/>
      <c r="F406" s="18"/>
      <c r="G406" s="18"/>
      <c r="H406" s="18"/>
      <c r="I406" s="25"/>
      <c r="J406" s="18"/>
      <c r="K406" s="18"/>
      <c r="L406" s="18"/>
      <c r="M406" s="18"/>
      <c r="N406" s="109"/>
      <c r="O406" s="18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>
      <c r="A407" s="1"/>
      <c r="B407" s="1"/>
      <c r="C407" s="18"/>
      <c r="D407" s="47"/>
      <c r="E407" s="18"/>
      <c r="F407" s="18"/>
      <c r="G407" s="18"/>
      <c r="H407" s="18"/>
      <c r="I407" s="25"/>
      <c r="J407" s="18"/>
      <c r="K407" s="18"/>
      <c r="L407" s="18"/>
      <c r="M407" s="18"/>
      <c r="N407" s="109"/>
      <c r="O407" s="18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>
      <c r="A408" s="1"/>
      <c r="B408" s="1"/>
      <c r="C408" s="18"/>
      <c r="D408" s="47"/>
      <c r="E408" s="18"/>
      <c r="F408" s="18"/>
      <c r="G408" s="18"/>
      <c r="H408" s="18"/>
      <c r="I408" s="25"/>
      <c r="J408" s="18"/>
      <c r="K408" s="18"/>
      <c r="L408" s="18"/>
      <c r="M408" s="18"/>
      <c r="N408" s="109"/>
      <c r="O408" s="18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>
      <c r="A409" s="1"/>
      <c r="B409" s="1"/>
      <c r="C409" s="18"/>
      <c r="D409" s="47"/>
      <c r="E409" s="18"/>
      <c r="F409" s="18"/>
      <c r="G409" s="18"/>
      <c r="H409" s="18"/>
      <c r="I409" s="25"/>
      <c r="J409" s="18"/>
      <c r="K409" s="18"/>
      <c r="L409" s="18"/>
      <c r="M409" s="18"/>
      <c r="N409" s="109"/>
      <c r="O409" s="18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>
      <c r="A410" s="1"/>
      <c r="B410" s="1"/>
      <c r="C410" s="18"/>
      <c r="D410" s="47"/>
      <c r="E410" s="18"/>
      <c r="F410" s="18"/>
      <c r="G410" s="18"/>
      <c r="H410" s="18"/>
      <c r="I410" s="25"/>
      <c r="J410" s="18"/>
      <c r="K410" s="18"/>
      <c r="L410" s="18"/>
      <c r="M410" s="18"/>
      <c r="N410" s="109"/>
      <c r="O410" s="18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>
      <c r="A411" s="1"/>
      <c r="B411" s="1"/>
      <c r="C411" s="18"/>
      <c r="D411" s="47"/>
      <c r="E411" s="18"/>
      <c r="F411" s="18"/>
      <c r="G411" s="18"/>
      <c r="H411" s="18"/>
      <c r="I411" s="25"/>
      <c r="J411" s="18"/>
      <c r="K411" s="18"/>
      <c r="L411" s="18"/>
      <c r="M411" s="18"/>
      <c r="N411" s="109"/>
      <c r="O411" s="18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>
      <c r="A412" s="1"/>
      <c r="B412" s="1"/>
      <c r="C412" s="18"/>
      <c r="D412" s="47"/>
      <c r="E412" s="18"/>
      <c r="F412" s="18"/>
      <c r="G412" s="18"/>
      <c r="H412" s="18"/>
      <c r="I412" s="25"/>
      <c r="J412" s="18"/>
      <c r="K412" s="18"/>
      <c r="L412" s="18"/>
      <c r="M412" s="18"/>
      <c r="N412" s="109"/>
      <c r="O412" s="18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>
      <c r="A413" s="1"/>
      <c r="B413" s="1"/>
      <c r="C413" s="18"/>
      <c r="D413" s="47"/>
      <c r="E413" s="18"/>
      <c r="F413" s="18"/>
      <c r="G413" s="18"/>
      <c r="H413" s="18"/>
      <c r="I413" s="25"/>
      <c r="J413" s="18"/>
      <c r="K413" s="18"/>
      <c r="L413" s="18"/>
      <c r="M413" s="18"/>
      <c r="N413" s="109"/>
      <c r="O413" s="18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>
      <c r="A414" s="1"/>
      <c r="B414" s="1"/>
      <c r="C414" s="18"/>
      <c r="D414" s="47"/>
      <c r="E414" s="18"/>
      <c r="F414" s="18"/>
      <c r="G414" s="18"/>
      <c r="H414" s="18"/>
      <c r="I414" s="25"/>
      <c r="J414" s="18"/>
      <c r="K414" s="18"/>
      <c r="L414" s="18"/>
      <c r="M414" s="18"/>
      <c r="N414" s="109"/>
      <c r="O414" s="18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>
      <c r="A415" s="1"/>
      <c r="B415" s="1"/>
      <c r="C415" s="18"/>
      <c r="D415" s="47"/>
      <c r="E415" s="18"/>
      <c r="F415" s="18"/>
      <c r="G415" s="18"/>
      <c r="H415" s="18"/>
      <c r="I415" s="25"/>
      <c r="J415" s="18"/>
      <c r="K415" s="18"/>
      <c r="L415" s="18"/>
      <c r="M415" s="18"/>
      <c r="N415" s="109"/>
      <c r="O415" s="18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>
      <c r="A416" s="1"/>
      <c r="B416" s="1"/>
      <c r="C416" s="18"/>
      <c r="D416" s="47"/>
      <c r="E416" s="18"/>
      <c r="F416" s="18"/>
      <c r="G416" s="18"/>
      <c r="H416" s="18"/>
      <c r="I416" s="25"/>
      <c r="J416" s="18"/>
      <c r="K416" s="18"/>
      <c r="L416" s="18"/>
      <c r="M416" s="18"/>
      <c r="N416" s="109"/>
      <c r="O416" s="18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>
      <c r="A417" s="1"/>
      <c r="B417" s="1"/>
      <c r="C417" s="18"/>
      <c r="D417" s="47"/>
      <c r="E417" s="18"/>
      <c r="F417" s="18"/>
      <c r="G417" s="18"/>
      <c r="H417" s="18"/>
      <c r="I417" s="25"/>
      <c r="J417" s="18"/>
      <c r="K417" s="18"/>
      <c r="L417" s="18"/>
      <c r="M417" s="18"/>
      <c r="N417" s="109"/>
      <c r="O417" s="18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>
      <c r="A418" s="1"/>
      <c r="B418" s="1"/>
      <c r="C418" s="18"/>
      <c r="D418" s="47"/>
      <c r="E418" s="18"/>
      <c r="F418" s="18"/>
      <c r="G418" s="18"/>
      <c r="H418" s="18"/>
      <c r="I418" s="25"/>
      <c r="J418" s="18"/>
      <c r="K418" s="18"/>
      <c r="L418" s="18"/>
      <c r="M418" s="18"/>
      <c r="N418" s="109"/>
      <c r="O418" s="18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>
      <c r="A419" s="1"/>
      <c r="B419" s="1"/>
      <c r="C419" s="18"/>
      <c r="D419" s="47"/>
      <c r="E419" s="18"/>
      <c r="F419" s="18"/>
      <c r="G419" s="18"/>
      <c r="H419" s="18"/>
      <c r="I419" s="25"/>
      <c r="J419" s="18"/>
      <c r="K419" s="18"/>
      <c r="L419" s="18"/>
      <c r="M419" s="18"/>
      <c r="N419" s="109"/>
      <c r="O419" s="18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>
      <c r="A420" s="1"/>
      <c r="B420" s="1"/>
      <c r="C420" s="18"/>
      <c r="D420" s="47"/>
      <c r="E420" s="18"/>
      <c r="F420" s="18"/>
      <c r="G420" s="18"/>
      <c r="H420" s="18"/>
      <c r="I420" s="25"/>
      <c r="J420" s="18"/>
      <c r="K420" s="18"/>
      <c r="L420" s="18"/>
      <c r="M420" s="18"/>
      <c r="N420" s="109"/>
      <c r="O420" s="18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>
      <c r="A421" s="1"/>
      <c r="B421" s="1"/>
      <c r="C421" s="18"/>
      <c r="D421" s="47"/>
      <c r="E421" s="18"/>
      <c r="F421" s="18"/>
      <c r="G421" s="18"/>
      <c r="H421" s="18"/>
      <c r="I421" s="25"/>
      <c r="J421" s="18"/>
      <c r="K421" s="18"/>
      <c r="L421" s="18"/>
      <c r="M421" s="18"/>
      <c r="N421" s="109"/>
      <c r="O421" s="18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>
      <c r="A422" s="1"/>
      <c r="B422" s="1"/>
      <c r="C422" s="18"/>
      <c r="D422" s="47"/>
      <c r="E422" s="18"/>
      <c r="F422" s="18"/>
      <c r="G422" s="18"/>
      <c r="H422" s="18"/>
      <c r="I422" s="25"/>
      <c r="J422" s="18"/>
      <c r="K422" s="18"/>
      <c r="L422" s="18"/>
      <c r="M422" s="18"/>
      <c r="N422" s="109"/>
      <c r="O422" s="18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>
      <c r="A423" s="1"/>
      <c r="B423" s="1"/>
      <c r="C423" s="18"/>
      <c r="D423" s="47"/>
      <c r="E423" s="18"/>
      <c r="F423" s="18"/>
      <c r="G423" s="18"/>
      <c r="H423" s="18"/>
      <c r="I423" s="25"/>
      <c r="J423" s="18"/>
      <c r="K423" s="18"/>
      <c r="L423" s="18"/>
      <c r="M423" s="18"/>
      <c r="N423" s="109"/>
      <c r="O423" s="18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>
      <c r="A424" s="1"/>
      <c r="B424" s="1"/>
      <c r="C424" s="18"/>
      <c r="D424" s="47"/>
      <c r="E424" s="18"/>
      <c r="F424" s="18"/>
      <c r="G424" s="18"/>
      <c r="H424" s="18"/>
      <c r="I424" s="25"/>
      <c r="J424" s="18"/>
      <c r="K424" s="18"/>
      <c r="L424" s="18"/>
      <c r="M424" s="18"/>
      <c r="N424" s="109"/>
      <c r="O424" s="18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>
      <c r="A425" s="1"/>
      <c r="B425" s="1"/>
      <c r="C425" s="18"/>
      <c r="D425" s="47"/>
      <c r="E425" s="18"/>
      <c r="F425" s="18"/>
      <c r="G425" s="18"/>
      <c r="H425" s="18"/>
      <c r="I425" s="25"/>
      <c r="J425" s="18"/>
      <c r="K425" s="18"/>
      <c r="L425" s="18"/>
      <c r="M425" s="18"/>
      <c r="N425" s="109"/>
      <c r="O425" s="18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>
      <c r="A426" s="1"/>
      <c r="B426" s="1"/>
      <c r="C426" s="18"/>
      <c r="D426" s="47"/>
      <c r="E426" s="18"/>
      <c r="F426" s="18"/>
      <c r="G426" s="18"/>
      <c r="H426" s="18"/>
      <c r="I426" s="25"/>
      <c r="J426" s="18"/>
      <c r="K426" s="18"/>
      <c r="L426" s="18"/>
      <c r="M426" s="18"/>
      <c r="N426" s="109"/>
      <c r="O426" s="18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>
      <c r="A427" s="1"/>
      <c r="B427" s="1"/>
      <c r="C427" s="18"/>
      <c r="D427" s="47"/>
      <c r="E427" s="18"/>
      <c r="F427" s="18"/>
      <c r="G427" s="18"/>
      <c r="H427" s="18"/>
      <c r="I427" s="25"/>
      <c r="J427" s="18"/>
      <c r="K427" s="18"/>
      <c r="L427" s="18"/>
      <c r="M427" s="18"/>
      <c r="N427" s="109"/>
      <c r="O427" s="18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>
      <c r="A428" s="1"/>
      <c r="B428" s="1"/>
      <c r="C428" s="18"/>
      <c r="D428" s="47"/>
      <c r="E428" s="18"/>
      <c r="F428" s="18"/>
      <c r="G428" s="18"/>
      <c r="H428" s="18"/>
      <c r="I428" s="25"/>
      <c r="J428" s="18"/>
      <c r="K428" s="18"/>
      <c r="L428" s="18"/>
      <c r="M428" s="18"/>
      <c r="N428" s="109"/>
      <c r="O428" s="18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>
      <c r="A429" s="1"/>
      <c r="B429" s="1"/>
      <c r="C429" s="18"/>
      <c r="D429" s="47"/>
      <c r="E429" s="18"/>
      <c r="F429" s="18"/>
      <c r="G429" s="18"/>
      <c r="H429" s="18"/>
      <c r="I429" s="25"/>
      <c r="J429" s="18"/>
      <c r="K429" s="18"/>
      <c r="L429" s="18"/>
      <c r="M429" s="18"/>
      <c r="N429" s="109"/>
      <c r="O429" s="18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>
      <c r="A430" s="1"/>
      <c r="B430" s="1"/>
      <c r="C430" s="18"/>
      <c r="D430" s="47"/>
      <c r="E430" s="18"/>
      <c r="F430" s="18"/>
      <c r="G430" s="18"/>
      <c r="H430" s="18"/>
      <c r="I430" s="25"/>
      <c r="J430" s="18"/>
      <c r="K430" s="18"/>
      <c r="L430" s="18"/>
      <c r="M430" s="18"/>
      <c r="N430" s="109"/>
      <c r="O430" s="18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>
      <c r="A431" s="1"/>
      <c r="B431" s="1"/>
      <c r="C431" s="18"/>
      <c r="D431" s="47"/>
      <c r="E431" s="18"/>
      <c r="F431" s="18"/>
      <c r="G431" s="18"/>
      <c r="H431" s="18"/>
      <c r="I431" s="25"/>
      <c r="J431" s="18"/>
      <c r="K431" s="18"/>
      <c r="L431" s="18"/>
      <c r="M431" s="18"/>
      <c r="N431" s="109"/>
      <c r="O431" s="18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>
      <c r="A432" s="1"/>
      <c r="B432" s="1"/>
      <c r="C432" s="18"/>
      <c r="D432" s="47"/>
      <c r="E432" s="18"/>
      <c r="F432" s="18"/>
      <c r="G432" s="18"/>
      <c r="H432" s="18"/>
      <c r="I432" s="25"/>
      <c r="J432" s="18"/>
      <c r="K432" s="18"/>
      <c r="L432" s="18"/>
      <c r="M432" s="18"/>
      <c r="N432" s="109"/>
      <c r="O432" s="18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>
      <c r="A433" s="1"/>
      <c r="B433" s="1"/>
      <c r="C433" s="18"/>
      <c r="D433" s="47"/>
      <c r="E433" s="18"/>
      <c r="F433" s="18"/>
      <c r="G433" s="18"/>
      <c r="H433" s="18"/>
      <c r="I433" s="25"/>
      <c r="J433" s="18"/>
      <c r="K433" s="18"/>
      <c r="L433" s="18"/>
      <c r="M433" s="18"/>
      <c r="N433" s="109"/>
      <c r="O433" s="18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>
      <c r="A434" s="1"/>
      <c r="B434" s="1"/>
      <c r="C434" s="18"/>
      <c r="D434" s="47"/>
      <c r="E434" s="18"/>
      <c r="F434" s="18"/>
      <c r="G434" s="18"/>
      <c r="H434" s="18"/>
      <c r="I434" s="25"/>
      <c r="J434" s="18"/>
      <c r="K434" s="18"/>
      <c r="L434" s="18"/>
      <c r="M434" s="18"/>
      <c r="N434" s="109"/>
      <c r="O434" s="18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>
      <c r="A435" s="1"/>
      <c r="B435" s="1"/>
      <c r="C435" s="18"/>
      <c r="D435" s="47"/>
      <c r="E435" s="18"/>
      <c r="F435" s="18"/>
      <c r="G435" s="18"/>
      <c r="H435" s="18"/>
      <c r="I435" s="25"/>
      <c r="J435" s="18"/>
      <c r="K435" s="18"/>
      <c r="L435" s="18"/>
      <c r="M435" s="18"/>
      <c r="N435" s="109"/>
      <c r="O435" s="18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>
      <c r="A436" s="1"/>
      <c r="B436" s="1"/>
      <c r="C436" s="18"/>
      <c r="D436" s="47"/>
      <c r="E436" s="18"/>
      <c r="F436" s="18"/>
      <c r="G436" s="18"/>
      <c r="H436" s="18"/>
      <c r="I436" s="25"/>
      <c r="J436" s="18"/>
      <c r="K436" s="18"/>
      <c r="L436" s="18"/>
      <c r="M436" s="18"/>
      <c r="N436" s="109"/>
      <c r="O436" s="18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>
      <c r="A437" s="1"/>
      <c r="B437" s="1"/>
      <c r="C437" s="18"/>
      <c r="D437" s="47"/>
      <c r="E437" s="18"/>
      <c r="F437" s="18"/>
      <c r="G437" s="18"/>
      <c r="H437" s="18"/>
      <c r="I437" s="25"/>
      <c r="J437" s="18"/>
      <c r="K437" s="18"/>
      <c r="L437" s="18"/>
      <c r="M437" s="18"/>
      <c r="N437" s="109"/>
      <c r="O437" s="18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>
      <c r="A438" s="1"/>
      <c r="B438" s="1"/>
      <c r="C438" s="18"/>
      <c r="D438" s="47"/>
      <c r="E438" s="18"/>
      <c r="F438" s="18"/>
      <c r="G438" s="18"/>
      <c r="H438" s="18"/>
      <c r="I438" s="25"/>
      <c r="J438" s="18"/>
      <c r="K438" s="18"/>
      <c r="L438" s="18"/>
      <c r="M438" s="18"/>
      <c r="N438" s="109"/>
      <c r="O438" s="18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>
      <c r="A439" s="1"/>
      <c r="B439" s="1"/>
      <c r="C439" s="18"/>
      <c r="D439" s="47"/>
      <c r="E439" s="18"/>
      <c r="F439" s="18"/>
      <c r="G439" s="18"/>
      <c r="H439" s="18"/>
      <c r="I439" s="25"/>
      <c r="J439" s="18"/>
      <c r="K439" s="18"/>
      <c r="L439" s="18"/>
      <c r="M439" s="18"/>
      <c r="N439" s="109"/>
      <c r="O439" s="18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>
      <c r="A440" s="1"/>
      <c r="B440" s="1"/>
      <c r="C440" s="18"/>
      <c r="D440" s="47"/>
      <c r="E440" s="18"/>
      <c r="F440" s="18"/>
      <c r="G440" s="18"/>
      <c r="H440" s="18"/>
      <c r="I440" s="25"/>
      <c r="J440" s="18"/>
      <c r="K440" s="18"/>
      <c r="L440" s="18"/>
      <c r="M440" s="18"/>
      <c r="N440" s="109"/>
      <c r="O440" s="18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>
      <c r="A441" s="1"/>
      <c r="B441" s="1"/>
      <c r="C441" s="18"/>
      <c r="D441" s="47"/>
      <c r="E441" s="18"/>
      <c r="F441" s="18"/>
      <c r="G441" s="18"/>
      <c r="H441" s="18"/>
      <c r="I441" s="25"/>
      <c r="J441" s="18"/>
      <c r="K441" s="18"/>
      <c r="L441" s="18"/>
      <c r="M441" s="18"/>
      <c r="N441" s="109"/>
      <c r="O441" s="18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>
      <c r="A442" s="1"/>
      <c r="B442" s="1"/>
      <c r="C442" s="18"/>
      <c r="D442" s="47"/>
      <c r="E442" s="18"/>
      <c r="F442" s="18"/>
      <c r="G442" s="18"/>
      <c r="H442" s="18"/>
      <c r="I442" s="25"/>
      <c r="J442" s="18"/>
      <c r="K442" s="18"/>
      <c r="L442" s="18"/>
      <c r="M442" s="18"/>
      <c r="N442" s="109"/>
      <c r="O442" s="18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>
      <c r="A443" s="1"/>
      <c r="B443" s="1"/>
      <c r="C443" s="18"/>
      <c r="D443" s="47"/>
      <c r="E443" s="18"/>
      <c r="F443" s="18"/>
      <c r="G443" s="18"/>
      <c r="H443" s="18"/>
      <c r="I443" s="25"/>
      <c r="J443" s="18"/>
      <c r="K443" s="18"/>
      <c r="L443" s="18"/>
      <c r="M443" s="18"/>
      <c r="N443" s="109"/>
      <c r="O443" s="18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>
      <c r="A444" s="1"/>
      <c r="B444" s="1"/>
      <c r="C444" s="18"/>
      <c r="D444" s="47"/>
      <c r="E444" s="18"/>
      <c r="F444" s="18"/>
      <c r="G444" s="18"/>
      <c r="H444" s="18"/>
      <c r="I444" s="25"/>
      <c r="J444" s="18"/>
      <c r="K444" s="18"/>
      <c r="L444" s="18"/>
      <c r="M444" s="18"/>
      <c r="N444" s="109"/>
      <c r="O444" s="18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>
      <c r="A445" s="1"/>
      <c r="B445" s="1"/>
      <c r="C445" s="18"/>
      <c r="D445" s="47"/>
      <c r="E445" s="18"/>
      <c r="F445" s="18"/>
      <c r="G445" s="18"/>
      <c r="H445" s="18"/>
      <c r="I445" s="25"/>
      <c r="J445" s="18"/>
      <c r="K445" s="18"/>
      <c r="L445" s="18"/>
      <c r="M445" s="18"/>
      <c r="N445" s="109"/>
      <c r="O445" s="18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>
      <c r="A446" s="1"/>
      <c r="B446" s="1"/>
      <c r="C446" s="18"/>
      <c r="D446" s="47"/>
      <c r="E446" s="18"/>
      <c r="F446" s="18"/>
      <c r="G446" s="18"/>
      <c r="H446" s="18"/>
      <c r="I446" s="25"/>
      <c r="J446" s="18"/>
      <c r="K446" s="18"/>
      <c r="L446" s="18"/>
      <c r="M446" s="18"/>
      <c r="N446" s="109"/>
      <c r="O446" s="18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>
      <c r="A447" s="1"/>
      <c r="B447" s="1"/>
      <c r="C447" s="18"/>
      <c r="D447" s="47"/>
      <c r="E447" s="18"/>
      <c r="F447" s="18"/>
      <c r="G447" s="18"/>
      <c r="H447" s="18"/>
      <c r="I447" s="25"/>
      <c r="J447" s="18"/>
      <c r="K447" s="18"/>
      <c r="L447" s="18"/>
      <c r="M447" s="18"/>
      <c r="N447" s="109"/>
      <c r="O447" s="18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>
      <c r="A448" s="1"/>
      <c r="B448" s="1"/>
      <c r="C448" s="18"/>
      <c r="D448" s="47"/>
      <c r="E448" s="18"/>
      <c r="F448" s="18"/>
      <c r="G448" s="18"/>
      <c r="H448" s="18"/>
      <c r="I448" s="25"/>
      <c r="J448" s="18"/>
      <c r="K448" s="18"/>
      <c r="L448" s="18"/>
      <c r="M448" s="18"/>
      <c r="N448" s="109"/>
      <c r="O448" s="18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>
      <c r="A449" s="1"/>
      <c r="B449" s="1"/>
      <c r="C449" s="18"/>
      <c r="D449" s="47"/>
      <c r="E449" s="18"/>
      <c r="F449" s="18"/>
      <c r="G449" s="18"/>
      <c r="H449" s="18"/>
      <c r="I449" s="25"/>
      <c r="J449" s="18"/>
      <c r="K449" s="18"/>
      <c r="L449" s="18"/>
      <c r="M449" s="18"/>
      <c r="N449" s="109"/>
      <c r="O449" s="18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>
      <c r="A450" s="1"/>
      <c r="B450" s="1"/>
      <c r="C450" s="18"/>
      <c r="D450" s="47"/>
      <c r="E450" s="18"/>
      <c r="F450" s="18"/>
      <c r="G450" s="18"/>
      <c r="H450" s="18"/>
      <c r="I450" s="25"/>
      <c r="J450" s="18"/>
      <c r="K450" s="18"/>
      <c r="L450" s="18"/>
      <c r="M450" s="18"/>
      <c r="N450" s="109"/>
      <c r="O450" s="18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>
      <c r="A451" s="1"/>
      <c r="B451" s="1"/>
      <c r="C451" s="18"/>
      <c r="D451" s="47"/>
      <c r="E451" s="18"/>
      <c r="F451" s="18"/>
      <c r="G451" s="18"/>
      <c r="H451" s="18"/>
      <c r="I451" s="25"/>
      <c r="J451" s="18"/>
      <c r="K451" s="18"/>
      <c r="L451" s="18"/>
      <c r="M451" s="18"/>
      <c r="N451" s="109"/>
      <c r="O451" s="18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>
      <c r="A452" s="1"/>
      <c r="B452" s="1"/>
      <c r="C452" s="18"/>
      <c r="D452" s="47"/>
      <c r="E452" s="18"/>
      <c r="F452" s="18"/>
      <c r="G452" s="18"/>
      <c r="H452" s="18"/>
      <c r="I452" s="25"/>
      <c r="J452" s="18"/>
      <c r="K452" s="18"/>
      <c r="L452" s="18"/>
      <c r="M452" s="18"/>
      <c r="N452" s="109"/>
      <c r="O452" s="18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>
      <c r="A453" s="1"/>
      <c r="B453" s="1"/>
      <c r="C453" s="18"/>
      <c r="D453" s="47"/>
      <c r="E453" s="18"/>
      <c r="F453" s="18"/>
      <c r="G453" s="18"/>
      <c r="H453" s="18"/>
      <c r="I453" s="25"/>
      <c r="J453" s="18"/>
      <c r="K453" s="18"/>
      <c r="L453" s="18"/>
      <c r="M453" s="18"/>
      <c r="N453" s="109"/>
      <c r="O453" s="18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>
      <c r="A454" s="1"/>
      <c r="B454" s="1"/>
      <c r="C454" s="18"/>
      <c r="D454" s="47"/>
      <c r="E454" s="18"/>
      <c r="F454" s="18"/>
      <c r="G454" s="18"/>
      <c r="H454" s="18"/>
      <c r="I454" s="25"/>
      <c r="J454" s="18"/>
      <c r="K454" s="18"/>
      <c r="L454" s="18"/>
      <c r="M454" s="18"/>
      <c r="N454" s="109"/>
      <c r="O454" s="18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>
      <c r="A455" s="1"/>
      <c r="B455" s="1"/>
      <c r="C455" s="18"/>
      <c r="D455" s="47"/>
      <c r="E455" s="18"/>
      <c r="F455" s="18"/>
      <c r="G455" s="18"/>
      <c r="H455" s="18"/>
      <c r="I455" s="25"/>
      <c r="J455" s="18"/>
      <c r="K455" s="18"/>
      <c r="L455" s="18"/>
      <c r="M455" s="18"/>
      <c r="N455" s="109"/>
      <c r="O455" s="18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>
      <c r="A456" s="1"/>
      <c r="B456" s="1"/>
      <c r="C456" s="18"/>
      <c r="D456" s="47"/>
      <c r="E456" s="18"/>
      <c r="F456" s="18"/>
      <c r="G456" s="18"/>
      <c r="H456" s="18"/>
      <c r="I456" s="25"/>
      <c r="J456" s="18"/>
      <c r="K456" s="18"/>
      <c r="L456" s="18"/>
      <c r="M456" s="18"/>
      <c r="N456" s="109"/>
      <c r="O456" s="18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>
      <c r="A457" s="1"/>
      <c r="B457" s="1"/>
      <c r="C457" s="18"/>
      <c r="D457" s="47"/>
      <c r="E457" s="18"/>
      <c r="F457" s="18"/>
      <c r="G457" s="18"/>
      <c r="H457" s="18"/>
      <c r="I457" s="25"/>
      <c r="J457" s="18"/>
      <c r="K457" s="18"/>
      <c r="L457" s="18"/>
      <c r="M457" s="18"/>
      <c r="N457" s="109"/>
      <c r="O457" s="18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>
      <c r="A458" s="1"/>
      <c r="B458" s="1"/>
      <c r="C458" s="18"/>
      <c r="D458" s="47"/>
      <c r="E458" s="18"/>
      <c r="F458" s="18"/>
      <c r="G458" s="18"/>
      <c r="H458" s="18"/>
      <c r="I458" s="25"/>
      <c r="J458" s="18"/>
      <c r="K458" s="18"/>
      <c r="L458" s="18"/>
      <c r="M458" s="18"/>
      <c r="N458" s="109"/>
      <c r="O458" s="18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>
      <c r="A459" s="1"/>
      <c r="B459" s="1"/>
      <c r="C459" s="18"/>
      <c r="D459" s="47"/>
      <c r="E459" s="18"/>
      <c r="F459" s="18"/>
      <c r="G459" s="18"/>
      <c r="H459" s="18"/>
      <c r="I459" s="25"/>
      <c r="J459" s="18"/>
      <c r="K459" s="18"/>
      <c r="L459" s="18"/>
      <c r="M459" s="18"/>
      <c r="N459" s="109"/>
      <c r="O459" s="18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>
      <c r="A460" s="1"/>
      <c r="B460" s="1"/>
      <c r="C460" s="18"/>
      <c r="D460" s="47"/>
      <c r="E460" s="18"/>
      <c r="F460" s="18"/>
      <c r="G460" s="18"/>
      <c r="H460" s="18"/>
      <c r="I460" s="25"/>
      <c r="J460" s="18"/>
      <c r="K460" s="18"/>
      <c r="L460" s="18"/>
      <c r="M460" s="18"/>
      <c r="N460" s="109"/>
      <c r="O460" s="18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>
      <c r="A461" s="1"/>
      <c r="B461" s="1"/>
      <c r="C461" s="18"/>
      <c r="D461" s="47"/>
      <c r="E461" s="18"/>
      <c r="F461" s="18"/>
      <c r="G461" s="18"/>
      <c r="H461" s="18"/>
      <c r="I461" s="25"/>
      <c r="J461" s="18"/>
      <c r="K461" s="18"/>
      <c r="L461" s="18"/>
      <c r="M461" s="18"/>
      <c r="N461" s="109"/>
      <c r="O461" s="18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>
      <c r="A462" s="1"/>
      <c r="B462" s="1"/>
      <c r="C462" s="18"/>
      <c r="D462" s="47"/>
      <c r="E462" s="18"/>
      <c r="F462" s="18"/>
      <c r="G462" s="18"/>
      <c r="H462" s="18"/>
      <c r="I462" s="25"/>
      <c r="J462" s="18"/>
      <c r="K462" s="18"/>
      <c r="L462" s="18"/>
      <c r="M462" s="18"/>
      <c r="N462" s="109"/>
      <c r="O462" s="18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>
      <c r="A463" s="1"/>
      <c r="B463" s="1"/>
      <c r="C463" s="18"/>
      <c r="D463" s="47"/>
      <c r="E463" s="18"/>
      <c r="F463" s="18"/>
      <c r="G463" s="18"/>
      <c r="H463" s="18"/>
      <c r="I463" s="25"/>
      <c r="J463" s="18"/>
      <c r="K463" s="18"/>
      <c r="L463" s="18"/>
      <c r="M463" s="18"/>
      <c r="N463" s="109"/>
      <c r="O463" s="18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>
      <c r="A464" s="1"/>
      <c r="B464" s="1"/>
      <c r="C464" s="18"/>
      <c r="D464" s="47"/>
      <c r="E464" s="18"/>
      <c r="F464" s="18"/>
      <c r="G464" s="18"/>
      <c r="H464" s="18"/>
      <c r="I464" s="25"/>
      <c r="J464" s="18"/>
      <c r="K464" s="18"/>
      <c r="L464" s="18"/>
      <c r="M464" s="18"/>
      <c r="N464" s="109"/>
      <c r="O464" s="18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>
      <c r="A465" s="1"/>
      <c r="B465" s="1"/>
      <c r="C465" s="18"/>
      <c r="D465" s="47"/>
      <c r="E465" s="18"/>
      <c r="F465" s="18"/>
      <c r="G465" s="18"/>
      <c r="H465" s="18"/>
      <c r="I465" s="25"/>
      <c r="J465" s="18"/>
      <c r="K465" s="18"/>
      <c r="L465" s="18"/>
      <c r="M465" s="18"/>
      <c r="N465" s="109"/>
      <c r="O465" s="18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>
      <c r="A466" s="1"/>
      <c r="B466" s="1"/>
      <c r="C466" s="18"/>
      <c r="D466" s="47"/>
      <c r="E466" s="18"/>
      <c r="F466" s="18"/>
      <c r="G466" s="18"/>
      <c r="H466" s="18"/>
      <c r="I466" s="25"/>
      <c r="J466" s="18"/>
      <c r="K466" s="18"/>
      <c r="L466" s="18"/>
      <c r="M466" s="18"/>
      <c r="N466" s="109"/>
      <c r="O466" s="18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>
      <c r="A467" s="1"/>
      <c r="B467" s="1"/>
      <c r="C467" s="18"/>
      <c r="D467" s="47"/>
      <c r="E467" s="18"/>
      <c r="F467" s="18"/>
      <c r="G467" s="18"/>
      <c r="H467" s="18"/>
      <c r="I467" s="25"/>
      <c r="J467" s="18"/>
      <c r="K467" s="18"/>
      <c r="L467" s="18"/>
      <c r="M467" s="18"/>
      <c r="N467" s="109"/>
      <c r="O467" s="18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>
      <c r="A468" s="1"/>
      <c r="B468" s="1"/>
      <c r="C468" s="18"/>
      <c r="D468" s="47"/>
      <c r="E468" s="18"/>
      <c r="F468" s="18"/>
      <c r="G468" s="18"/>
      <c r="H468" s="18"/>
      <c r="I468" s="25"/>
      <c r="J468" s="18"/>
      <c r="K468" s="18"/>
      <c r="L468" s="18"/>
      <c r="M468" s="18"/>
      <c r="N468" s="109"/>
      <c r="O468" s="18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>
      <c r="A469" s="1"/>
      <c r="B469" s="1"/>
      <c r="C469" s="18"/>
      <c r="D469" s="47"/>
      <c r="E469" s="18"/>
      <c r="F469" s="18"/>
      <c r="G469" s="18"/>
      <c r="H469" s="18"/>
      <c r="I469" s="25"/>
      <c r="J469" s="18"/>
      <c r="K469" s="18"/>
      <c r="L469" s="18"/>
      <c r="M469" s="18"/>
      <c r="N469" s="109"/>
      <c r="O469" s="18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>
      <c r="A470" s="1"/>
      <c r="B470" s="1"/>
      <c r="C470" s="18"/>
      <c r="D470" s="47"/>
      <c r="E470" s="18"/>
      <c r="F470" s="18"/>
      <c r="G470" s="18"/>
      <c r="H470" s="18"/>
      <c r="I470" s="25"/>
      <c r="J470" s="18"/>
      <c r="K470" s="18"/>
      <c r="L470" s="18"/>
      <c r="M470" s="18"/>
      <c r="N470" s="109"/>
      <c r="O470" s="18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>
      <c r="A471" s="1"/>
      <c r="B471" s="1"/>
      <c r="C471" s="18"/>
      <c r="D471" s="47"/>
      <c r="E471" s="18"/>
      <c r="F471" s="18"/>
      <c r="G471" s="18"/>
      <c r="H471" s="18"/>
      <c r="I471" s="25"/>
      <c r="J471" s="18"/>
      <c r="K471" s="18"/>
      <c r="L471" s="18"/>
      <c r="M471" s="18"/>
      <c r="N471" s="109"/>
      <c r="O471" s="18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>
      <c r="A472" s="1"/>
      <c r="B472" s="1"/>
      <c r="C472" s="18"/>
      <c r="D472" s="47"/>
      <c r="E472" s="18"/>
      <c r="F472" s="18"/>
      <c r="G472" s="18"/>
      <c r="H472" s="18"/>
      <c r="I472" s="25"/>
      <c r="J472" s="18"/>
      <c r="K472" s="18"/>
      <c r="L472" s="18"/>
      <c r="M472" s="18"/>
      <c r="N472" s="109"/>
      <c r="O472" s="18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>
      <c r="A473" s="1"/>
      <c r="B473" s="1"/>
      <c r="C473" s="18"/>
      <c r="D473" s="47"/>
      <c r="E473" s="18"/>
      <c r="F473" s="18"/>
      <c r="G473" s="18"/>
      <c r="H473" s="18"/>
      <c r="I473" s="25"/>
      <c r="J473" s="18"/>
      <c r="K473" s="18"/>
      <c r="L473" s="18"/>
      <c r="M473" s="18"/>
      <c r="N473" s="109"/>
      <c r="O473" s="18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>
      <c r="A474" s="1"/>
      <c r="B474" s="1"/>
      <c r="C474" s="18"/>
      <c r="D474" s="47"/>
      <c r="E474" s="18"/>
      <c r="F474" s="18"/>
      <c r="G474" s="18"/>
      <c r="H474" s="18"/>
      <c r="I474" s="25"/>
      <c r="J474" s="18"/>
      <c r="K474" s="18"/>
      <c r="L474" s="18"/>
      <c r="M474" s="18"/>
      <c r="N474" s="109"/>
      <c r="O474" s="18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>
      <c r="A475" s="1"/>
      <c r="B475" s="1"/>
      <c r="C475" s="18"/>
      <c r="D475" s="47"/>
      <c r="E475" s="18"/>
      <c r="F475" s="18"/>
      <c r="G475" s="18"/>
      <c r="H475" s="18"/>
      <c r="I475" s="25"/>
      <c r="J475" s="18"/>
      <c r="K475" s="18"/>
      <c r="L475" s="18"/>
      <c r="M475" s="18"/>
      <c r="N475" s="109"/>
      <c r="O475" s="18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>
      <c r="A476" s="1"/>
      <c r="B476" s="1"/>
      <c r="C476" s="18"/>
      <c r="D476" s="47"/>
      <c r="E476" s="18"/>
      <c r="F476" s="18"/>
      <c r="G476" s="18"/>
      <c r="H476" s="18"/>
      <c r="I476" s="25"/>
      <c r="J476" s="18"/>
      <c r="K476" s="18"/>
      <c r="L476" s="18"/>
      <c r="M476" s="18"/>
      <c r="N476" s="109"/>
      <c r="O476" s="18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>
      <c r="A477" s="1"/>
      <c r="B477" s="1"/>
      <c r="C477" s="18"/>
      <c r="D477" s="47"/>
      <c r="E477" s="18"/>
      <c r="F477" s="18"/>
      <c r="G477" s="18"/>
      <c r="H477" s="18"/>
      <c r="I477" s="25"/>
      <c r="J477" s="18"/>
      <c r="K477" s="18"/>
      <c r="L477" s="18"/>
      <c r="M477" s="18"/>
      <c r="N477" s="109"/>
      <c r="O477" s="18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>
      <c r="A478" s="1"/>
      <c r="B478" s="1"/>
      <c r="C478" s="18"/>
      <c r="D478" s="47"/>
      <c r="E478" s="18"/>
      <c r="F478" s="18"/>
      <c r="G478" s="18"/>
      <c r="H478" s="18"/>
      <c r="I478" s="25"/>
      <c r="J478" s="18"/>
      <c r="K478" s="18"/>
      <c r="L478" s="18"/>
      <c r="M478" s="18"/>
      <c r="N478" s="109"/>
      <c r="O478" s="18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>
      <c r="A479" s="1"/>
      <c r="B479" s="1"/>
      <c r="C479" s="18"/>
      <c r="D479" s="47"/>
      <c r="E479" s="18"/>
      <c r="F479" s="18"/>
      <c r="G479" s="18"/>
      <c r="H479" s="18"/>
      <c r="I479" s="25"/>
      <c r="J479" s="18"/>
      <c r="K479" s="18"/>
      <c r="L479" s="18"/>
      <c r="M479" s="18"/>
      <c r="N479" s="109"/>
      <c r="O479" s="18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>
      <c r="A480" s="1"/>
      <c r="B480" s="1"/>
      <c r="C480" s="18"/>
      <c r="D480" s="47"/>
      <c r="E480" s="18"/>
      <c r="F480" s="18"/>
      <c r="G480" s="18"/>
      <c r="H480" s="18"/>
      <c r="I480" s="25"/>
      <c r="J480" s="18"/>
      <c r="K480" s="18"/>
      <c r="L480" s="18"/>
      <c r="M480" s="18"/>
      <c r="N480" s="109"/>
      <c r="O480" s="18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>
      <c r="A481" s="1"/>
      <c r="B481" s="1"/>
      <c r="C481" s="18"/>
      <c r="D481" s="47"/>
      <c r="E481" s="18"/>
      <c r="F481" s="18"/>
      <c r="G481" s="18"/>
      <c r="H481" s="18"/>
      <c r="I481" s="25"/>
      <c r="J481" s="18"/>
      <c r="K481" s="18"/>
      <c r="L481" s="18"/>
      <c r="M481" s="18"/>
      <c r="N481" s="109"/>
      <c r="O481" s="18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>
      <c r="A482" s="1"/>
      <c r="B482" s="1"/>
      <c r="C482" s="18"/>
      <c r="D482" s="47"/>
      <c r="E482" s="18"/>
      <c r="F482" s="18"/>
      <c r="G482" s="18"/>
      <c r="H482" s="18"/>
      <c r="I482" s="25"/>
      <c r="J482" s="18"/>
      <c r="K482" s="18"/>
      <c r="L482" s="18"/>
      <c r="M482" s="18"/>
      <c r="N482" s="109"/>
      <c r="O482" s="18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>
      <c r="A483" s="1"/>
      <c r="B483" s="1"/>
      <c r="C483" s="18"/>
      <c r="D483" s="47"/>
      <c r="E483" s="18"/>
      <c r="F483" s="18"/>
      <c r="G483" s="18"/>
      <c r="H483" s="18"/>
      <c r="I483" s="25"/>
      <c r="J483" s="18"/>
      <c r="K483" s="18"/>
      <c r="L483" s="18"/>
      <c r="M483" s="18"/>
      <c r="N483" s="109"/>
      <c r="O483" s="18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>
      <c r="A484" s="1"/>
      <c r="B484" s="1"/>
      <c r="C484" s="18"/>
      <c r="D484" s="47"/>
      <c r="E484" s="18"/>
      <c r="F484" s="18"/>
      <c r="G484" s="18"/>
      <c r="H484" s="18"/>
      <c r="I484" s="25"/>
      <c r="J484" s="18"/>
      <c r="K484" s="18"/>
      <c r="L484" s="18"/>
      <c r="M484" s="18"/>
      <c r="N484" s="109"/>
      <c r="O484" s="18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>
      <c r="A485" s="1"/>
      <c r="B485" s="1"/>
      <c r="C485" s="18"/>
      <c r="D485" s="47"/>
      <c r="E485" s="18"/>
      <c r="F485" s="18"/>
      <c r="G485" s="18"/>
      <c r="H485" s="18"/>
      <c r="I485" s="25"/>
      <c r="J485" s="18"/>
      <c r="K485" s="18"/>
      <c r="L485" s="18"/>
      <c r="M485" s="18"/>
      <c r="N485" s="109"/>
      <c r="O485" s="18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>
      <c r="A486" s="1"/>
      <c r="B486" s="1"/>
      <c r="C486" s="18"/>
      <c r="D486" s="47"/>
      <c r="E486" s="18"/>
      <c r="F486" s="18"/>
      <c r="G486" s="18"/>
      <c r="H486" s="18"/>
      <c r="I486" s="25"/>
      <c r="J486" s="18"/>
      <c r="K486" s="18"/>
      <c r="L486" s="18"/>
      <c r="M486" s="18"/>
      <c r="N486" s="109"/>
      <c r="O486" s="18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>
      <c r="A487" s="1"/>
      <c r="B487" s="1"/>
      <c r="C487" s="18"/>
      <c r="D487" s="47"/>
      <c r="E487" s="18"/>
      <c r="F487" s="18"/>
      <c r="G487" s="18"/>
      <c r="H487" s="18"/>
      <c r="I487" s="25"/>
      <c r="J487" s="18"/>
      <c r="K487" s="18"/>
      <c r="L487" s="18"/>
      <c r="M487" s="18"/>
      <c r="N487" s="109"/>
      <c r="O487" s="18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>
      <c r="A488" s="1"/>
      <c r="B488" s="1"/>
      <c r="C488" s="18"/>
      <c r="D488" s="47"/>
      <c r="E488" s="18"/>
      <c r="F488" s="18"/>
      <c r="G488" s="18"/>
      <c r="H488" s="18"/>
      <c r="I488" s="25"/>
      <c r="J488" s="18"/>
      <c r="K488" s="18"/>
      <c r="L488" s="18"/>
      <c r="M488" s="18"/>
      <c r="N488" s="109"/>
      <c r="O488" s="18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>
      <c r="A489" s="1"/>
      <c r="B489" s="1"/>
      <c r="C489" s="18"/>
      <c r="D489" s="47"/>
      <c r="E489" s="18"/>
      <c r="F489" s="18"/>
      <c r="G489" s="18"/>
      <c r="H489" s="18"/>
      <c r="I489" s="25"/>
      <c r="J489" s="18"/>
      <c r="K489" s="18"/>
      <c r="L489" s="18"/>
      <c r="M489" s="18"/>
      <c r="N489" s="109"/>
      <c r="O489" s="18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>
      <c r="A490" s="1"/>
      <c r="B490" s="1"/>
      <c r="C490" s="18"/>
      <c r="D490" s="47"/>
      <c r="E490" s="18"/>
      <c r="F490" s="18"/>
      <c r="G490" s="18"/>
      <c r="H490" s="18"/>
      <c r="I490" s="25"/>
      <c r="J490" s="18"/>
      <c r="K490" s="18"/>
      <c r="L490" s="18"/>
      <c r="M490" s="18"/>
      <c r="N490" s="109"/>
      <c r="O490" s="18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>
      <c r="A491" s="1"/>
      <c r="B491" s="1"/>
      <c r="C491" s="18"/>
      <c r="D491" s="47"/>
      <c r="E491" s="18"/>
      <c r="F491" s="18"/>
      <c r="G491" s="18"/>
      <c r="H491" s="18"/>
      <c r="I491" s="25"/>
      <c r="J491" s="18"/>
      <c r="K491" s="18"/>
      <c r="L491" s="18"/>
      <c r="M491" s="18"/>
      <c r="N491" s="109"/>
      <c r="O491" s="18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>
      <c r="A492" s="1"/>
      <c r="B492" s="1"/>
      <c r="C492" s="18"/>
      <c r="D492" s="47"/>
      <c r="E492" s="18"/>
      <c r="F492" s="18"/>
      <c r="G492" s="18"/>
      <c r="H492" s="18"/>
      <c r="I492" s="25"/>
      <c r="J492" s="18"/>
      <c r="K492" s="18"/>
      <c r="L492" s="18"/>
      <c r="M492" s="18"/>
      <c r="N492" s="109"/>
      <c r="O492" s="18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>
      <c r="A493" s="1"/>
      <c r="B493" s="1"/>
      <c r="C493" s="18"/>
      <c r="D493" s="47"/>
      <c r="E493" s="18"/>
      <c r="F493" s="18"/>
      <c r="G493" s="18"/>
      <c r="H493" s="18"/>
      <c r="I493" s="25"/>
      <c r="J493" s="18"/>
      <c r="K493" s="18"/>
      <c r="L493" s="18"/>
      <c r="M493" s="18"/>
      <c r="N493" s="109"/>
      <c r="O493" s="18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>
      <c r="A494" s="1"/>
      <c r="B494" s="1"/>
      <c r="C494" s="18"/>
      <c r="D494" s="47"/>
      <c r="E494" s="18"/>
      <c r="F494" s="18"/>
      <c r="G494" s="18"/>
      <c r="H494" s="18"/>
      <c r="I494" s="25"/>
      <c r="J494" s="18"/>
      <c r="K494" s="18"/>
      <c r="L494" s="18"/>
      <c r="M494" s="18"/>
      <c r="N494" s="109"/>
      <c r="O494" s="18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>
      <c r="A495" s="1"/>
      <c r="B495" s="1"/>
      <c r="C495" s="18"/>
      <c r="D495" s="47"/>
      <c r="E495" s="18"/>
      <c r="F495" s="18"/>
      <c r="G495" s="18"/>
      <c r="H495" s="18"/>
      <c r="I495" s="25"/>
      <c r="J495" s="18"/>
      <c r="K495" s="18"/>
      <c r="L495" s="18"/>
      <c r="M495" s="18"/>
      <c r="N495" s="109"/>
      <c r="O495" s="18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>
      <c r="A496" s="1"/>
      <c r="B496" s="1"/>
      <c r="C496" s="18"/>
      <c r="D496" s="47"/>
      <c r="E496" s="18"/>
      <c r="F496" s="18"/>
      <c r="G496" s="18"/>
      <c r="H496" s="18"/>
      <c r="I496" s="25"/>
      <c r="J496" s="18"/>
      <c r="K496" s="18"/>
      <c r="L496" s="18"/>
      <c r="M496" s="18"/>
      <c r="N496" s="109"/>
      <c r="O496" s="18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>
      <c r="A497" s="1"/>
      <c r="B497" s="1"/>
      <c r="C497" s="18"/>
      <c r="D497" s="47"/>
      <c r="E497" s="18"/>
      <c r="F497" s="18"/>
      <c r="G497" s="18"/>
      <c r="H497" s="18"/>
      <c r="I497" s="25"/>
      <c r="J497" s="18"/>
      <c r="K497" s="18"/>
      <c r="L497" s="18"/>
      <c r="M497" s="18"/>
      <c r="N497" s="109"/>
      <c r="O497" s="18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>
      <c r="A498" s="1"/>
      <c r="B498" s="1"/>
      <c r="C498" s="18"/>
      <c r="D498" s="47"/>
      <c r="E498" s="18"/>
      <c r="F498" s="18"/>
      <c r="G498" s="18"/>
      <c r="H498" s="18"/>
      <c r="I498" s="25"/>
      <c r="J498" s="18"/>
      <c r="K498" s="18"/>
      <c r="L498" s="18"/>
      <c r="M498" s="18"/>
      <c r="N498" s="109"/>
      <c r="O498" s="18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>
      <c r="A499" s="1"/>
      <c r="B499" s="1"/>
      <c r="C499" s="18"/>
      <c r="D499" s="47"/>
      <c r="E499" s="18"/>
      <c r="F499" s="18"/>
      <c r="G499" s="18"/>
      <c r="H499" s="18"/>
      <c r="I499" s="25"/>
      <c r="J499" s="18"/>
      <c r="K499" s="18"/>
      <c r="L499" s="18"/>
      <c r="M499" s="18"/>
      <c r="N499" s="109"/>
      <c r="O499" s="18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>
      <c r="A500" s="1"/>
      <c r="B500" s="1"/>
      <c r="C500" s="18"/>
      <c r="D500" s="47"/>
      <c r="E500" s="18"/>
      <c r="F500" s="18"/>
      <c r="G500" s="18"/>
      <c r="H500" s="18"/>
      <c r="I500" s="25"/>
      <c r="J500" s="18"/>
      <c r="K500" s="18"/>
      <c r="L500" s="18"/>
      <c r="M500" s="18"/>
      <c r="N500" s="109"/>
      <c r="O500" s="18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>
      <c r="A501" s="1"/>
      <c r="B501" s="1"/>
      <c r="C501" s="18"/>
      <c r="D501" s="47"/>
      <c r="E501" s="18"/>
      <c r="F501" s="18"/>
      <c r="G501" s="18"/>
      <c r="H501" s="18"/>
      <c r="I501" s="25"/>
      <c r="J501" s="18"/>
      <c r="K501" s="18"/>
      <c r="L501" s="18"/>
      <c r="M501" s="18"/>
      <c r="N501" s="109"/>
      <c r="O501" s="18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>
      <c r="A502" s="1"/>
      <c r="B502" s="1"/>
      <c r="C502" s="18"/>
      <c r="D502" s="47"/>
      <c r="E502" s="18"/>
      <c r="F502" s="18"/>
      <c r="G502" s="18"/>
      <c r="H502" s="18"/>
      <c r="I502" s="25"/>
      <c r="J502" s="18"/>
      <c r="K502" s="18"/>
      <c r="L502" s="18"/>
      <c r="M502" s="18"/>
      <c r="N502" s="109"/>
      <c r="O502" s="18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>
      <c r="A503" s="1"/>
      <c r="B503" s="1"/>
      <c r="C503" s="18"/>
      <c r="D503" s="47"/>
      <c r="E503" s="18"/>
      <c r="F503" s="18"/>
      <c r="G503" s="18"/>
      <c r="H503" s="18"/>
      <c r="I503" s="25"/>
      <c r="J503" s="18"/>
      <c r="K503" s="18"/>
      <c r="L503" s="18"/>
      <c r="M503" s="18"/>
      <c r="N503" s="109"/>
      <c r="O503" s="18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>
      <c r="A504" s="1"/>
      <c r="B504" s="1"/>
      <c r="C504" s="18"/>
      <c r="D504" s="47"/>
      <c r="E504" s="18"/>
      <c r="F504" s="18"/>
      <c r="G504" s="18"/>
      <c r="H504" s="18"/>
      <c r="I504" s="25"/>
      <c r="J504" s="18"/>
      <c r="K504" s="18"/>
      <c r="L504" s="18"/>
      <c r="M504" s="18"/>
      <c r="N504" s="109"/>
      <c r="O504" s="18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>
      <c r="A505" s="1"/>
      <c r="B505" s="1"/>
      <c r="C505" s="18"/>
      <c r="D505" s="47"/>
      <c r="E505" s="18"/>
      <c r="F505" s="18"/>
      <c r="G505" s="18"/>
      <c r="H505" s="18"/>
      <c r="I505" s="25"/>
      <c r="J505" s="18"/>
      <c r="K505" s="18"/>
      <c r="L505" s="18"/>
      <c r="M505" s="18"/>
      <c r="N505" s="109"/>
      <c r="O505" s="18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>
      <c r="A506" s="1"/>
      <c r="B506" s="1"/>
      <c r="C506" s="18"/>
      <c r="D506" s="47"/>
      <c r="E506" s="18"/>
      <c r="F506" s="18"/>
      <c r="G506" s="18"/>
      <c r="H506" s="18"/>
      <c r="I506" s="25"/>
      <c r="J506" s="18"/>
      <c r="K506" s="18"/>
      <c r="L506" s="18"/>
      <c r="M506" s="18"/>
      <c r="N506" s="109"/>
      <c r="O506" s="18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>
      <c r="A507" s="1"/>
      <c r="B507" s="1"/>
      <c r="C507" s="18"/>
      <c r="D507" s="47"/>
      <c r="E507" s="18"/>
      <c r="F507" s="18"/>
      <c r="G507" s="18"/>
      <c r="H507" s="18"/>
      <c r="I507" s="25"/>
      <c r="J507" s="18"/>
      <c r="K507" s="18"/>
      <c r="L507" s="18"/>
      <c r="M507" s="18"/>
      <c r="N507" s="109"/>
      <c r="O507" s="18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>
      <c r="A508" s="1"/>
      <c r="B508" s="1"/>
      <c r="C508" s="18"/>
      <c r="D508" s="47"/>
      <c r="E508" s="18"/>
      <c r="F508" s="18"/>
      <c r="G508" s="18"/>
      <c r="H508" s="18"/>
      <c r="I508" s="25"/>
      <c r="J508" s="18"/>
      <c r="K508" s="18"/>
      <c r="L508" s="18"/>
      <c r="M508" s="18"/>
      <c r="N508" s="109"/>
      <c r="O508" s="18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>
      <c r="A509" s="1"/>
      <c r="B509" s="1"/>
      <c r="C509" s="18"/>
      <c r="D509" s="47"/>
      <c r="E509" s="18"/>
      <c r="F509" s="18"/>
      <c r="G509" s="18"/>
      <c r="H509" s="18"/>
      <c r="I509" s="25"/>
      <c r="J509" s="18"/>
      <c r="K509" s="18"/>
      <c r="L509" s="18"/>
      <c r="M509" s="18"/>
      <c r="N509" s="109"/>
      <c r="O509" s="18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>
      <c r="A510" s="1"/>
      <c r="B510" s="1"/>
      <c r="C510" s="18"/>
      <c r="D510" s="47"/>
      <c r="E510" s="18"/>
      <c r="F510" s="18"/>
      <c r="G510" s="18"/>
      <c r="H510" s="18"/>
      <c r="I510" s="25"/>
      <c r="J510" s="18"/>
      <c r="K510" s="18"/>
      <c r="L510" s="18"/>
      <c r="M510" s="18"/>
      <c r="N510" s="109"/>
      <c r="O510" s="18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>
      <c r="A511" s="1"/>
      <c r="B511" s="1"/>
      <c r="C511" s="18"/>
      <c r="D511" s="47"/>
      <c r="E511" s="18"/>
      <c r="F511" s="18"/>
      <c r="G511" s="18"/>
      <c r="H511" s="18"/>
      <c r="I511" s="25"/>
      <c r="J511" s="18"/>
      <c r="K511" s="18"/>
      <c r="L511" s="18"/>
      <c r="M511" s="18"/>
      <c r="N511" s="109"/>
      <c r="O511" s="18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>
      <c r="A512" s="1"/>
      <c r="B512" s="1"/>
      <c r="C512" s="18"/>
      <c r="D512" s="47"/>
      <c r="E512" s="18"/>
      <c r="F512" s="18"/>
      <c r="G512" s="18"/>
      <c r="H512" s="18"/>
      <c r="I512" s="25"/>
      <c r="J512" s="18"/>
      <c r="K512" s="18"/>
      <c r="L512" s="18"/>
      <c r="M512" s="18"/>
      <c r="N512" s="109"/>
      <c r="O512" s="18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>
      <c r="A513" s="1"/>
      <c r="B513" s="1"/>
      <c r="C513" s="18"/>
      <c r="D513" s="47"/>
      <c r="E513" s="18"/>
      <c r="F513" s="18"/>
      <c r="G513" s="18"/>
      <c r="H513" s="18"/>
      <c r="I513" s="25"/>
      <c r="J513" s="18"/>
      <c r="K513" s="18"/>
      <c r="L513" s="18"/>
      <c r="M513" s="18"/>
      <c r="N513" s="109"/>
      <c r="O513" s="18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>
      <c r="A514" s="1"/>
      <c r="B514" s="1"/>
      <c r="C514" s="18"/>
      <c r="D514" s="47"/>
      <c r="E514" s="18"/>
      <c r="F514" s="18"/>
      <c r="G514" s="18"/>
      <c r="H514" s="18"/>
      <c r="I514" s="25"/>
      <c r="J514" s="18"/>
      <c r="K514" s="18"/>
      <c r="L514" s="18"/>
      <c r="M514" s="18"/>
      <c r="N514" s="109"/>
      <c r="O514" s="18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>
      <c r="A515" s="1"/>
      <c r="B515" s="1"/>
      <c r="C515" s="18"/>
      <c r="D515" s="47"/>
      <c r="E515" s="18"/>
      <c r="F515" s="18"/>
      <c r="G515" s="18"/>
      <c r="H515" s="18"/>
      <c r="I515" s="25"/>
      <c r="J515" s="18"/>
      <c r="K515" s="18"/>
      <c r="L515" s="18"/>
      <c r="M515" s="18"/>
      <c r="N515" s="109"/>
      <c r="O515" s="18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>
      <c r="A516" s="1"/>
      <c r="B516" s="1"/>
      <c r="C516" s="18"/>
      <c r="D516" s="47"/>
      <c r="E516" s="18"/>
      <c r="F516" s="18"/>
      <c r="G516" s="18"/>
      <c r="H516" s="18"/>
      <c r="I516" s="25"/>
      <c r="J516" s="18"/>
      <c r="K516" s="18"/>
      <c r="L516" s="18"/>
      <c r="M516" s="18"/>
      <c r="N516" s="109"/>
      <c r="O516" s="18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>
      <c r="A517" s="1"/>
      <c r="B517" s="1"/>
      <c r="C517" s="18"/>
      <c r="D517" s="47"/>
      <c r="E517" s="18"/>
      <c r="F517" s="18"/>
      <c r="G517" s="18"/>
      <c r="H517" s="18"/>
      <c r="I517" s="25"/>
      <c r="J517" s="18"/>
      <c r="K517" s="18"/>
      <c r="L517" s="18"/>
      <c r="M517" s="18"/>
      <c r="N517" s="109"/>
      <c r="O517" s="18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>
      <c r="A518" s="1"/>
      <c r="B518" s="1"/>
      <c r="C518" s="18"/>
      <c r="D518" s="47"/>
      <c r="E518" s="18"/>
      <c r="F518" s="18"/>
      <c r="G518" s="18"/>
      <c r="H518" s="18"/>
      <c r="I518" s="25"/>
      <c r="J518" s="18"/>
      <c r="K518" s="18"/>
      <c r="L518" s="18"/>
      <c r="M518" s="18"/>
      <c r="N518" s="109"/>
      <c r="O518" s="18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>
      <c r="A519" s="1"/>
      <c r="B519" s="1"/>
      <c r="C519" s="18"/>
      <c r="D519" s="47"/>
      <c r="E519" s="18"/>
      <c r="F519" s="18"/>
      <c r="G519" s="18"/>
      <c r="H519" s="18"/>
      <c r="I519" s="25"/>
      <c r="J519" s="18"/>
      <c r="K519" s="18"/>
      <c r="L519" s="18"/>
      <c r="M519" s="18"/>
      <c r="N519" s="109"/>
      <c r="O519" s="18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>
      <c r="A520" s="1"/>
      <c r="B520" s="1"/>
      <c r="C520" s="18"/>
      <c r="D520" s="47"/>
      <c r="E520" s="18"/>
      <c r="F520" s="18"/>
      <c r="G520" s="18"/>
      <c r="H520" s="18"/>
      <c r="I520" s="25"/>
      <c r="J520" s="18"/>
      <c r="K520" s="18"/>
      <c r="L520" s="18"/>
      <c r="M520" s="18"/>
      <c r="N520" s="109"/>
      <c r="O520" s="18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>
      <c r="A521" s="1"/>
      <c r="B521" s="1"/>
      <c r="C521" s="18"/>
      <c r="D521" s="47"/>
      <c r="E521" s="18"/>
      <c r="F521" s="18"/>
      <c r="G521" s="18"/>
      <c r="H521" s="18"/>
      <c r="I521" s="25"/>
      <c r="J521" s="18"/>
      <c r="K521" s="18"/>
      <c r="L521" s="18"/>
      <c r="M521" s="18"/>
      <c r="N521" s="109"/>
      <c r="O521" s="18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>
      <c r="A522" s="1"/>
      <c r="B522" s="1"/>
      <c r="C522" s="18"/>
      <c r="D522" s="47"/>
      <c r="E522" s="18"/>
      <c r="F522" s="18"/>
      <c r="G522" s="18"/>
      <c r="H522" s="18"/>
      <c r="I522" s="25"/>
      <c r="J522" s="18"/>
      <c r="K522" s="18"/>
      <c r="L522" s="18"/>
      <c r="M522" s="18"/>
      <c r="N522" s="109"/>
      <c r="O522" s="18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>
      <c r="A523" s="1"/>
      <c r="B523" s="1"/>
      <c r="C523" s="18"/>
      <c r="D523" s="47"/>
      <c r="E523" s="18"/>
      <c r="F523" s="18"/>
      <c r="G523" s="18"/>
      <c r="H523" s="18"/>
      <c r="I523" s="25"/>
      <c r="J523" s="18"/>
      <c r="K523" s="18"/>
      <c r="L523" s="18"/>
      <c r="M523" s="18"/>
      <c r="N523" s="109"/>
      <c r="O523" s="18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>
      <c r="A524" s="1"/>
      <c r="B524" s="1"/>
      <c r="C524" s="18"/>
      <c r="D524" s="47"/>
      <c r="E524" s="18"/>
      <c r="F524" s="18"/>
      <c r="G524" s="18"/>
      <c r="H524" s="18"/>
      <c r="I524" s="25"/>
      <c r="J524" s="18"/>
      <c r="K524" s="18"/>
      <c r="L524" s="18"/>
      <c r="M524" s="18"/>
      <c r="N524" s="109"/>
      <c r="O524" s="18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>
      <c r="A525" s="1"/>
      <c r="B525" s="1"/>
      <c r="C525" s="18"/>
      <c r="D525" s="47"/>
      <c r="E525" s="18"/>
      <c r="F525" s="18"/>
      <c r="G525" s="18"/>
      <c r="H525" s="18"/>
      <c r="I525" s="25"/>
      <c r="J525" s="18"/>
      <c r="K525" s="18"/>
      <c r="L525" s="18"/>
      <c r="M525" s="18"/>
      <c r="N525" s="109"/>
      <c r="O525" s="18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>
      <c r="A526" s="1"/>
      <c r="B526" s="1"/>
      <c r="C526" s="18"/>
      <c r="D526" s="47"/>
      <c r="E526" s="18"/>
      <c r="F526" s="18"/>
      <c r="G526" s="18"/>
      <c r="H526" s="18"/>
      <c r="I526" s="25"/>
      <c r="J526" s="18"/>
      <c r="K526" s="18"/>
      <c r="L526" s="18"/>
      <c r="M526" s="18"/>
      <c r="N526" s="109"/>
      <c r="O526" s="18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>
      <c r="A527" s="1"/>
      <c r="B527" s="1"/>
      <c r="C527" s="18"/>
      <c r="D527" s="47"/>
      <c r="E527" s="18"/>
      <c r="F527" s="18"/>
      <c r="G527" s="18"/>
      <c r="H527" s="18"/>
      <c r="I527" s="25"/>
      <c r="J527" s="18"/>
      <c r="K527" s="18"/>
      <c r="L527" s="18"/>
      <c r="M527" s="18"/>
      <c r="N527" s="109"/>
      <c r="O527" s="18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>
      <c r="A528" s="1"/>
      <c r="B528" s="1"/>
      <c r="C528" s="18"/>
      <c r="D528" s="47"/>
      <c r="E528" s="18"/>
      <c r="F528" s="18"/>
      <c r="G528" s="18"/>
      <c r="H528" s="18"/>
      <c r="I528" s="25"/>
      <c r="J528" s="18"/>
      <c r="K528" s="18"/>
      <c r="L528" s="18"/>
      <c r="M528" s="18"/>
      <c r="N528" s="109"/>
      <c r="O528" s="18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>
      <c r="A529" s="1"/>
      <c r="B529" s="1"/>
      <c r="C529" s="18"/>
      <c r="D529" s="47"/>
      <c r="E529" s="18"/>
      <c r="F529" s="18"/>
      <c r="G529" s="18"/>
      <c r="H529" s="18"/>
      <c r="I529" s="25"/>
      <c r="J529" s="18"/>
      <c r="K529" s="18"/>
      <c r="L529" s="18"/>
      <c r="M529" s="18"/>
      <c r="N529" s="109"/>
      <c r="O529" s="18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>
      <c r="A530" s="1"/>
      <c r="B530" s="1"/>
      <c r="C530" s="18"/>
      <c r="D530" s="47"/>
      <c r="E530" s="18"/>
      <c r="F530" s="18"/>
      <c r="G530" s="18"/>
      <c r="H530" s="18"/>
      <c r="I530" s="25"/>
      <c r="J530" s="18"/>
      <c r="K530" s="18"/>
      <c r="L530" s="18"/>
      <c r="M530" s="18"/>
      <c r="N530" s="109"/>
      <c r="O530" s="18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>
      <c r="A531" s="1"/>
      <c r="B531" s="1"/>
      <c r="C531" s="18"/>
      <c r="D531" s="47"/>
      <c r="E531" s="18"/>
      <c r="F531" s="18"/>
      <c r="G531" s="18"/>
      <c r="H531" s="18"/>
      <c r="I531" s="25"/>
      <c r="J531" s="18"/>
      <c r="K531" s="18"/>
      <c r="L531" s="18"/>
      <c r="M531" s="18"/>
      <c r="N531" s="109"/>
      <c r="O531" s="18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>
      <c r="A532" s="1"/>
      <c r="B532" s="1"/>
      <c r="C532" s="18"/>
      <c r="D532" s="47"/>
      <c r="E532" s="18"/>
      <c r="F532" s="18"/>
      <c r="G532" s="18"/>
      <c r="H532" s="18"/>
      <c r="I532" s="25"/>
      <c r="J532" s="18"/>
      <c r="K532" s="18"/>
      <c r="L532" s="18"/>
      <c r="M532" s="18"/>
      <c r="N532" s="109"/>
      <c r="O532" s="18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>
      <c r="A533" s="1"/>
      <c r="B533" s="1"/>
      <c r="C533" s="18"/>
      <c r="D533" s="47"/>
      <c r="E533" s="18"/>
      <c r="F533" s="18"/>
      <c r="G533" s="18"/>
      <c r="H533" s="18"/>
      <c r="I533" s="25"/>
      <c r="J533" s="18"/>
      <c r="K533" s="18"/>
      <c r="L533" s="18"/>
      <c r="M533" s="18"/>
      <c r="N533" s="109"/>
      <c r="O533" s="18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>
      <c r="A534" s="1"/>
      <c r="B534" s="1"/>
      <c r="C534" s="18"/>
      <c r="D534" s="47"/>
      <c r="E534" s="18"/>
      <c r="F534" s="18"/>
      <c r="G534" s="18"/>
      <c r="H534" s="18"/>
      <c r="I534" s="25"/>
      <c r="J534" s="18"/>
      <c r="K534" s="18"/>
      <c r="L534" s="18"/>
      <c r="M534" s="18"/>
      <c r="N534" s="109"/>
      <c r="O534" s="18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>
      <c r="A535" s="1"/>
      <c r="B535" s="1"/>
      <c r="C535" s="18"/>
      <c r="D535" s="47"/>
      <c r="E535" s="18"/>
      <c r="F535" s="18"/>
      <c r="G535" s="18"/>
      <c r="H535" s="18"/>
      <c r="I535" s="25"/>
      <c r="J535" s="18"/>
      <c r="K535" s="18"/>
      <c r="L535" s="18"/>
      <c r="M535" s="18"/>
      <c r="N535" s="109"/>
      <c r="O535" s="18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>
      <c r="A536" s="1"/>
      <c r="B536" s="1"/>
      <c r="C536" s="18"/>
      <c r="D536" s="47"/>
      <c r="E536" s="18"/>
      <c r="F536" s="18"/>
      <c r="G536" s="18"/>
      <c r="H536" s="18"/>
      <c r="I536" s="25"/>
      <c r="J536" s="18"/>
      <c r="K536" s="18"/>
      <c r="L536" s="18"/>
      <c r="M536" s="18"/>
      <c r="N536" s="109"/>
      <c r="O536" s="18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>
      <c r="A537" s="1"/>
      <c r="B537" s="1"/>
      <c r="C537" s="18"/>
      <c r="D537" s="47"/>
      <c r="E537" s="18"/>
      <c r="F537" s="18"/>
      <c r="G537" s="18"/>
      <c r="H537" s="18"/>
      <c r="I537" s="25"/>
      <c r="J537" s="18"/>
      <c r="K537" s="18"/>
      <c r="L537" s="18"/>
      <c r="M537" s="18"/>
      <c r="N537" s="109"/>
      <c r="O537" s="18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>
      <c r="A538" s="1"/>
      <c r="B538" s="1"/>
      <c r="C538" s="18"/>
      <c r="D538" s="47"/>
      <c r="E538" s="18"/>
      <c r="F538" s="18"/>
      <c r="G538" s="18"/>
      <c r="H538" s="18"/>
      <c r="I538" s="25"/>
      <c r="J538" s="18"/>
      <c r="K538" s="18"/>
      <c r="L538" s="18"/>
      <c r="M538" s="18"/>
      <c r="N538" s="109"/>
      <c r="O538" s="18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>
      <c r="A539" s="1"/>
      <c r="B539" s="1"/>
      <c r="C539" s="18"/>
      <c r="D539" s="47"/>
      <c r="E539" s="18"/>
      <c r="F539" s="18"/>
      <c r="G539" s="18"/>
      <c r="H539" s="18"/>
      <c r="I539" s="25"/>
      <c r="J539" s="18"/>
      <c r="K539" s="18"/>
      <c r="L539" s="18"/>
      <c r="M539" s="18"/>
      <c r="N539" s="109"/>
      <c r="O539" s="18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>
      <c r="A540" s="1"/>
      <c r="B540" s="1"/>
      <c r="C540" s="18"/>
      <c r="D540" s="47"/>
      <c r="E540" s="18"/>
      <c r="F540" s="18"/>
      <c r="G540" s="18"/>
      <c r="H540" s="18"/>
      <c r="I540" s="25"/>
      <c r="J540" s="18"/>
      <c r="K540" s="18"/>
      <c r="L540" s="18"/>
      <c r="M540" s="18"/>
      <c r="N540" s="109"/>
      <c r="O540" s="18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>
      <c r="A541" s="1"/>
      <c r="B541" s="1"/>
      <c r="C541" s="18"/>
      <c r="D541" s="47"/>
      <c r="E541" s="18"/>
      <c r="F541" s="18"/>
      <c r="G541" s="18"/>
      <c r="H541" s="18"/>
      <c r="I541" s="25"/>
      <c r="J541" s="18"/>
      <c r="K541" s="18"/>
      <c r="L541" s="18"/>
      <c r="M541" s="18"/>
      <c r="N541" s="109"/>
      <c r="O541" s="18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>
      <c r="A542" s="1"/>
      <c r="B542" s="1"/>
      <c r="C542" s="18"/>
      <c r="D542" s="47"/>
      <c r="E542" s="18"/>
      <c r="F542" s="18"/>
      <c r="G542" s="18"/>
      <c r="H542" s="18"/>
      <c r="I542" s="25"/>
      <c r="J542" s="18"/>
      <c r="K542" s="18"/>
      <c r="L542" s="18"/>
      <c r="M542" s="18"/>
      <c r="N542" s="109"/>
      <c r="O542" s="18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>
      <c r="A543" s="1"/>
      <c r="B543" s="1"/>
      <c r="C543" s="18"/>
      <c r="D543" s="47"/>
      <c r="E543" s="18"/>
      <c r="F543" s="18"/>
      <c r="G543" s="18"/>
      <c r="H543" s="18"/>
      <c r="I543" s="25"/>
      <c r="J543" s="18"/>
      <c r="K543" s="18"/>
      <c r="L543" s="18"/>
      <c r="M543" s="18"/>
      <c r="N543" s="109"/>
      <c r="O543" s="18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>
      <c r="A544" s="1"/>
      <c r="B544" s="1"/>
      <c r="C544" s="18"/>
      <c r="D544" s="47"/>
      <c r="E544" s="18"/>
      <c r="F544" s="18"/>
      <c r="G544" s="18"/>
      <c r="H544" s="18"/>
      <c r="I544" s="25"/>
      <c r="J544" s="18"/>
      <c r="K544" s="18"/>
      <c r="L544" s="18"/>
      <c r="M544" s="18"/>
      <c r="N544" s="109"/>
      <c r="O544" s="18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>
      <c r="A545" s="1"/>
      <c r="B545" s="1"/>
      <c r="C545" s="18"/>
      <c r="D545" s="47"/>
      <c r="E545" s="18"/>
      <c r="F545" s="18"/>
      <c r="G545" s="18"/>
      <c r="H545" s="18"/>
      <c r="I545" s="25"/>
      <c r="J545" s="18"/>
      <c r="K545" s="18"/>
      <c r="L545" s="18"/>
      <c r="M545" s="18"/>
      <c r="N545" s="109"/>
      <c r="O545" s="18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>
      <c r="A546" s="1"/>
      <c r="B546" s="1"/>
      <c r="C546" s="18"/>
      <c r="D546" s="47"/>
      <c r="E546" s="18"/>
      <c r="F546" s="18"/>
      <c r="G546" s="18"/>
      <c r="H546" s="18"/>
      <c r="I546" s="25"/>
      <c r="J546" s="18"/>
      <c r="K546" s="18"/>
      <c r="L546" s="18"/>
      <c r="M546" s="18"/>
      <c r="N546" s="109"/>
      <c r="O546" s="18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>
      <c r="A547" s="1"/>
      <c r="B547" s="1"/>
      <c r="C547" s="18"/>
      <c r="D547" s="47"/>
      <c r="E547" s="18"/>
      <c r="F547" s="18"/>
      <c r="G547" s="18"/>
      <c r="H547" s="18"/>
      <c r="I547" s="25"/>
      <c r="J547" s="18"/>
      <c r="K547" s="18"/>
      <c r="L547" s="18"/>
      <c r="M547" s="18"/>
      <c r="N547" s="109"/>
      <c r="O547" s="18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>
      <c r="A548" s="1"/>
      <c r="B548" s="1"/>
      <c r="C548" s="18"/>
      <c r="D548" s="47"/>
      <c r="E548" s="18"/>
      <c r="F548" s="18"/>
      <c r="G548" s="18"/>
      <c r="H548" s="18"/>
      <c r="I548" s="25"/>
      <c r="J548" s="18"/>
      <c r="K548" s="18"/>
      <c r="L548" s="18"/>
      <c r="M548" s="18"/>
      <c r="N548" s="109"/>
      <c r="O548" s="18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>
      <c r="A549" s="1"/>
      <c r="B549" s="1"/>
      <c r="C549" s="18"/>
      <c r="D549" s="47"/>
      <c r="E549" s="18"/>
      <c r="F549" s="18"/>
      <c r="G549" s="18"/>
      <c r="H549" s="18"/>
      <c r="I549" s="25"/>
      <c r="J549" s="18"/>
      <c r="K549" s="18"/>
      <c r="L549" s="18"/>
      <c r="M549" s="18"/>
      <c r="N549" s="109"/>
      <c r="O549" s="18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>
      <c r="A550" s="1"/>
      <c r="B550" s="1"/>
      <c r="C550" s="18"/>
      <c r="D550" s="47"/>
      <c r="E550" s="18"/>
      <c r="F550" s="18"/>
      <c r="G550" s="18"/>
      <c r="H550" s="18"/>
      <c r="I550" s="25"/>
      <c r="J550" s="18"/>
      <c r="K550" s="18"/>
      <c r="L550" s="18"/>
      <c r="M550" s="18"/>
      <c r="N550" s="109"/>
      <c r="O550" s="18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>
      <c r="A551" s="1"/>
      <c r="B551" s="1"/>
      <c r="C551" s="18"/>
      <c r="D551" s="47"/>
      <c r="E551" s="18"/>
      <c r="F551" s="18"/>
      <c r="G551" s="18"/>
      <c r="H551" s="18"/>
      <c r="I551" s="25"/>
      <c r="J551" s="18"/>
      <c r="K551" s="18"/>
      <c r="L551" s="18"/>
      <c r="M551" s="18"/>
      <c r="N551" s="109"/>
      <c r="O551" s="18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>
      <c r="A552" s="1"/>
      <c r="B552" s="1"/>
      <c r="C552" s="18"/>
      <c r="D552" s="47"/>
      <c r="E552" s="18"/>
      <c r="F552" s="18"/>
      <c r="G552" s="18"/>
      <c r="H552" s="18"/>
      <c r="I552" s="25"/>
      <c r="J552" s="18"/>
      <c r="K552" s="18"/>
      <c r="L552" s="18"/>
      <c r="M552" s="18"/>
      <c r="N552" s="109"/>
      <c r="O552" s="18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>
      <c r="A553" s="1"/>
      <c r="B553" s="1"/>
      <c r="C553" s="18"/>
      <c r="D553" s="47"/>
      <c r="E553" s="18"/>
      <c r="F553" s="18"/>
      <c r="G553" s="18"/>
      <c r="H553" s="18"/>
      <c r="I553" s="25"/>
      <c r="J553" s="18"/>
      <c r="K553" s="18"/>
      <c r="L553" s="18"/>
      <c r="M553" s="18"/>
      <c r="N553" s="109"/>
      <c r="O553" s="18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>
      <c r="A554" s="1"/>
      <c r="B554" s="1"/>
      <c r="C554" s="18"/>
      <c r="D554" s="47"/>
      <c r="E554" s="18"/>
      <c r="F554" s="18"/>
      <c r="G554" s="18"/>
      <c r="H554" s="18"/>
      <c r="I554" s="25"/>
      <c r="J554" s="18"/>
      <c r="K554" s="18"/>
      <c r="L554" s="18"/>
      <c r="M554" s="18"/>
      <c r="N554" s="109"/>
      <c r="O554" s="18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>
      <c r="A555" s="1"/>
      <c r="B555" s="1"/>
      <c r="C555" s="18"/>
      <c r="D555" s="47"/>
      <c r="E555" s="18"/>
      <c r="F555" s="18"/>
      <c r="G555" s="18"/>
      <c r="H555" s="18"/>
      <c r="I555" s="25"/>
      <c r="J555" s="18"/>
      <c r="K555" s="18"/>
      <c r="L555" s="18"/>
      <c r="M555" s="18"/>
      <c r="N555" s="109"/>
      <c r="O555" s="18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>
      <c r="A556" s="1"/>
      <c r="B556" s="1"/>
      <c r="C556" s="18"/>
      <c r="D556" s="47"/>
      <c r="E556" s="18"/>
      <c r="F556" s="18"/>
      <c r="G556" s="18"/>
      <c r="H556" s="18"/>
      <c r="I556" s="25"/>
      <c r="J556" s="18"/>
      <c r="K556" s="18"/>
      <c r="L556" s="18"/>
      <c r="M556" s="18"/>
      <c r="N556" s="109"/>
      <c r="O556" s="18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>
      <c r="A557" s="1"/>
      <c r="B557" s="1"/>
      <c r="C557" s="18"/>
      <c r="D557" s="47"/>
      <c r="E557" s="18"/>
      <c r="F557" s="18"/>
      <c r="G557" s="18"/>
      <c r="H557" s="18"/>
      <c r="I557" s="25"/>
      <c r="J557" s="18"/>
      <c r="K557" s="18"/>
      <c r="L557" s="18"/>
      <c r="M557" s="18"/>
      <c r="N557" s="109"/>
      <c r="O557" s="18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>
      <c r="A558" s="1"/>
      <c r="B558" s="1"/>
      <c r="C558" s="18"/>
      <c r="D558" s="47"/>
      <c r="E558" s="18"/>
      <c r="F558" s="18"/>
      <c r="G558" s="18"/>
      <c r="H558" s="18"/>
      <c r="I558" s="25"/>
      <c r="J558" s="18"/>
      <c r="K558" s="18"/>
      <c r="L558" s="18"/>
      <c r="M558" s="18"/>
      <c r="N558" s="109"/>
      <c r="O558" s="18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>
      <c r="A559" s="1"/>
      <c r="B559" s="1"/>
      <c r="C559" s="18"/>
      <c r="D559" s="47"/>
      <c r="E559" s="18"/>
      <c r="F559" s="18"/>
      <c r="G559" s="18"/>
      <c r="H559" s="18"/>
      <c r="I559" s="25"/>
      <c r="J559" s="18"/>
      <c r="K559" s="18"/>
      <c r="L559" s="18"/>
      <c r="M559" s="18"/>
      <c r="N559" s="109"/>
      <c r="O559" s="18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>
      <c r="A560" s="1"/>
      <c r="B560" s="1"/>
      <c r="C560" s="18"/>
      <c r="D560" s="47"/>
      <c r="E560" s="18"/>
      <c r="F560" s="18"/>
      <c r="G560" s="18"/>
      <c r="H560" s="18"/>
      <c r="I560" s="25"/>
      <c r="J560" s="18"/>
      <c r="K560" s="18"/>
      <c r="L560" s="18"/>
      <c r="M560" s="18"/>
      <c r="N560" s="109"/>
      <c r="O560" s="18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>
      <c r="A561" s="1"/>
      <c r="B561" s="1"/>
      <c r="C561" s="18"/>
      <c r="D561" s="47"/>
      <c r="E561" s="18"/>
      <c r="F561" s="18"/>
      <c r="G561" s="18"/>
      <c r="H561" s="18"/>
      <c r="I561" s="25"/>
      <c r="J561" s="18"/>
      <c r="K561" s="18"/>
      <c r="L561" s="18"/>
      <c r="M561" s="18"/>
      <c r="N561" s="109"/>
      <c r="O561" s="18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>
      <c r="A562" s="1"/>
      <c r="B562" s="1"/>
      <c r="C562" s="18"/>
      <c r="D562" s="47"/>
      <c r="E562" s="18"/>
      <c r="F562" s="18"/>
      <c r="G562" s="18"/>
      <c r="H562" s="18"/>
      <c r="I562" s="25"/>
      <c r="J562" s="18"/>
      <c r="K562" s="18"/>
      <c r="L562" s="18"/>
      <c r="M562" s="18"/>
      <c r="N562" s="109"/>
      <c r="O562" s="18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>
      <c r="A563" s="1"/>
      <c r="B563" s="1"/>
      <c r="C563" s="18"/>
      <c r="D563" s="47"/>
      <c r="E563" s="18"/>
      <c r="F563" s="18"/>
      <c r="G563" s="18"/>
      <c r="H563" s="18"/>
      <c r="I563" s="25"/>
      <c r="J563" s="18"/>
      <c r="K563" s="18"/>
      <c r="L563" s="18"/>
      <c r="M563" s="18"/>
      <c r="N563" s="109"/>
      <c r="O563" s="18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>
      <c r="A564" s="1"/>
      <c r="B564" s="1"/>
      <c r="C564" s="18"/>
      <c r="D564" s="47"/>
      <c r="E564" s="18"/>
      <c r="F564" s="18"/>
      <c r="G564" s="18"/>
      <c r="H564" s="18"/>
      <c r="I564" s="25"/>
      <c r="J564" s="18"/>
      <c r="K564" s="18"/>
      <c r="L564" s="18"/>
      <c r="M564" s="18"/>
      <c r="N564" s="109"/>
      <c r="O564" s="18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>
      <c r="A565" s="1"/>
      <c r="B565" s="1"/>
      <c r="C565" s="18"/>
      <c r="D565" s="47"/>
      <c r="E565" s="18"/>
      <c r="F565" s="18"/>
      <c r="G565" s="18"/>
      <c r="H565" s="18"/>
      <c r="I565" s="25"/>
      <c r="J565" s="18"/>
      <c r="K565" s="18"/>
      <c r="L565" s="18"/>
      <c r="M565" s="18"/>
      <c r="N565" s="109"/>
      <c r="O565" s="18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>
      <c r="A566" s="1"/>
      <c r="B566" s="1"/>
      <c r="C566" s="18"/>
      <c r="D566" s="47"/>
      <c r="E566" s="18"/>
      <c r="F566" s="18"/>
      <c r="G566" s="18"/>
      <c r="H566" s="18"/>
      <c r="I566" s="25"/>
      <c r="J566" s="18"/>
      <c r="K566" s="18"/>
      <c r="L566" s="18"/>
      <c r="M566" s="18"/>
      <c r="N566" s="109"/>
      <c r="O566" s="18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>
      <c r="A567" s="1"/>
      <c r="B567" s="1"/>
      <c r="C567" s="18"/>
      <c r="D567" s="47"/>
      <c r="E567" s="18"/>
      <c r="F567" s="18"/>
      <c r="G567" s="18"/>
      <c r="H567" s="18"/>
      <c r="I567" s="25"/>
      <c r="J567" s="18"/>
      <c r="K567" s="18"/>
      <c r="L567" s="18"/>
      <c r="M567" s="18"/>
      <c r="N567" s="109"/>
      <c r="O567" s="18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>
      <c r="A568" s="1"/>
      <c r="B568" s="1"/>
      <c r="C568" s="18"/>
      <c r="D568" s="47"/>
      <c r="E568" s="18"/>
      <c r="F568" s="18"/>
      <c r="G568" s="18"/>
      <c r="H568" s="18"/>
      <c r="I568" s="25"/>
      <c r="J568" s="18"/>
      <c r="K568" s="18"/>
      <c r="L568" s="18"/>
      <c r="M568" s="18"/>
      <c r="N568" s="109"/>
      <c r="O568" s="18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>
      <c r="A569" s="1"/>
      <c r="B569" s="1"/>
      <c r="C569" s="18"/>
      <c r="D569" s="47"/>
      <c r="E569" s="18"/>
      <c r="F569" s="18"/>
      <c r="G569" s="18"/>
      <c r="H569" s="18"/>
      <c r="I569" s="25"/>
      <c r="J569" s="18"/>
      <c r="K569" s="18"/>
      <c r="L569" s="18"/>
      <c r="M569" s="18"/>
      <c r="N569" s="109"/>
      <c r="O569" s="18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>
      <c r="A570" s="1"/>
      <c r="B570" s="1"/>
      <c r="C570" s="18"/>
      <c r="D570" s="47"/>
      <c r="E570" s="18"/>
      <c r="F570" s="18"/>
      <c r="G570" s="18"/>
      <c r="H570" s="18"/>
      <c r="I570" s="25"/>
      <c r="J570" s="18"/>
      <c r="K570" s="18"/>
      <c r="L570" s="18"/>
      <c r="M570" s="18"/>
      <c r="N570" s="109"/>
      <c r="O570" s="18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>
      <c r="A571" s="1"/>
      <c r="B571" s="1"/>
      <c r="C571" s="18"/>
      <c r="D571" s="47"/>
      <c r="E571" s="18"/>
      <c r="F571" s="18"/>
      <c r="G571" s="18"/>
      <c r="H571" s="18"/>
      <c r="I571" s="25"/>
      <c r="J571" s="18"/>
      <c r="K571" s="18"/>
      <c r="L571" s="18"/>
      <c r="M571" s="18"/>
      <c r="N571" s="109"/>
      <c r="O571" s="18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>
      <c r="A572" s="1"/>
      <c r="B572" s="1"/>
      <c r="C572" s="18"/>
      <c r="D572" s="47"/>
      <c r="E572" s="18"/>
      <c r="F572" s="18"/>
      <c r="G572" s="18"/>
      <c r="H572" s="18"/>
      <c r="I572" s="25"/>
      <c r="J572" s="18"/>
      <c r="K572" s="18"/>
      <c r="L572" s="18"/>
      <c r="M572" s="18"/>
      <c r="N572" s="109"/>
      <c r="O572" s="18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>
      <c r="A573" s="1"/>
      <c r="B573" s="1"/>
      <c r="C573" s="18"/>
      <c r="D573" s="47"/>
      <c r="E573" s="18"/>
      <c r="F573" s="18"/>
      <c r="G573" s="18"/>
      <c r="H573" s="18"/>
      <c r="I573" s="25"/>
      <c r="J573" s="18"/>
      <c r="K573" s="18"/>
      <c r="L573" s="18"/>
      <c r="M573" s="18"/>
      <c r="N573" s="109"/>
      <c r="O573" s="18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>
      <c r="A574" s="1"/>
      <c r="B574" s="1"/>
      <c r="C574" s="18"/>
      <c r="D574" s="47"/>
      <c r="E574" s="18"/>
      <c r="F574" s="18"/>
      <c r="G574" s="18"/>
      <c r="H574" s="18"/>
      <c r="I574" s="25"/>
      <c r="J574" s="18"/>
      <c r="K574" s="18"/>
      <c r="L574" s="18"/>
      <c r="M574" s="18"/>
      <c r="N574" s="109"/>
      <c r="O574" s="18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>
      <c r="A575" s="1"/>
      <c r="B575" s="1"/>
      <c r="C575" s="18"/>
      <c r="D575" s="47"/>
      <c r="E575" s="18"/>
      <c r="F575" s="18"/>
      <c r="G575" s="18"/>
      <c r="H575" s="18"/>
      <c r="I575" s="25"/>
      <c r="J575" s="18"/>
      <c r="K575" s="18"/>
      <c r="L575" s="18"/>
      <c r="M575" s="18"/>
      <c r="N575" s="109"/>
      <c r="O575" s="18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>
      <c r="A576" s="1"/>
      <c r="B576" s="1"/>
      <c r="C576" s="18"/>
      <c r="D576" s="47"/>
      <c r="E576" s="18"/>
      <c r="F576" s="18"/>
      <c r="G576" s="18"/>
      <c r="H576" s="18"/>
      <c r="I576" s="25"/>
      <c r="J576" s="18"/>
      <c r="K576" s="18"/>
      <c r="L576" s="18"/>
      <c r="M576" s="18"/>
      <c r="N576" s="109"/>
      <c r="O576" s="18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>
      <c r="A577" s="1"/>
      <c r="B577" s="1"/>
      <c r="C577" s="18"/>
      <c r="D577" s="47"/>
      <c r="E577" s="18"/>
      <c r="F577" s="18"/>
      <c r="G577" s="18"/>
      <c r="H577" s="18"/>
      <c r="I577" s="25"/>
      <c r="J577" s="18"/>
      <c r="K577" s="18"/>
      <c r="L577" s="18"/>
      <c r="M577" s="18"/>
      <c r="N577" s="109"/>
      <c r="O577" s="18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>
      <c r="A578" s="1"/>
      <c r="B578" s="1"/>
      <c r="C578" s="18"/>
      <c r="D578" s="47"/>
      <c r="E578" s="18"/>
      <c r="F578" s="18"/>
      <c r="G578" s="18"/>
      <c r="H578" s="18"/>
      <c r="I578" s="25"/>
      <c r="J578" s="18"/>
      <c r="K578" s="18"/>
      <c r="L578" s="18"/>
      <c r="M578" s="18"/>
      <c r="N578" s="109"/>
      <c r="O578" s="18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>
      <c r="A579" s="1"/>
      <c r="B579" s="1"/>
      <c r="C579" s="18"/>
      <c r="D579" s="47"/>
      <c r="E579" s="18"/>
      <c r="F579" s="18"/>
      <c r="G579" s="18"/>
      <c r="H579" s="18"/>
      <c r="I579" s="25"/>
      <c r="J579" s="18"/>
      <c r="K579" s="18"/>
      <c r="L579" s="18"/>
      <c r="M579" s="18"/>
      <c r="N579" s="109"/>
      <c r="O579" s="18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>
      <c r="A580" s="1"/>
      <c r="B580" s="1"/>
      <c r="C580" s="18"/>
      <c r="D580" s="47"/>
      <c r="E580" s="18"/>
      <c r="F580" s="18"/>
      <c r="G580" s="18"/>
      <c r="H580" s="18"/>
      <c r="I580" s="25"/>
      <c r="J580" s="18"/>
      <c r="K580" s="18"/>
      <c r="L580" s="18"/>
      <c r="M580" s="18"/>
      <c r="N580" s="109"/>
      <c r="O580" s="18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>
      <c r="A581" s="1"/>
      <c r="B581" s="1"/>
      <c r="C581" s="18"/>
      <c r="D581" s="47"/>
      <c r="E581" s="18"/>
      <c r="F581" s="18"/>
      <c r="G581" s="18"/>
      <c r="H581" s="18"/>
      <c r="I581" s="25"/>
      <c r="J581" s="18"/>
      <c r="K581" s="18"/>
      <c r="L581" s="18"/>
      <c r="M581" s="18"/>
      <c r="N581" s="109"/>
      <c r="O581" s="18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>
      <c r="A582" s="1"/>
      <c r="B582" s="1"/>
      <c r="C582" s="18"/>
      <c r="D582" s="47"/>
      <c r="E582" s="18"/>
      <c r="F582" s="18"/>
      <c r="G582" s="18"/>
      <c r="H582" s="18"/>
      <c r="I582" s="25"/>
      <c r="J582" s="18"/>
      <c r="K582" s="18"/>
      <c r="L582" s="18"/>
      <c r="M582" s="18"/>
      <c r="N582" s="109"/>
      <c r="O582" s="18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>
      <c r="A583" s="1"/>
      <c r="B583" s="1"/>
      <c r="C583" s="18"/>
      <c r="D583" s="47"/>
      <c r="E583" s="18"/>
      <c r="F583" s="18"/>
      <c r="G583" s="18"/>
      <c r="H583" s="18"/>
      <c r="I583" s="25"/>
      <c r="J583" s="18"/>
      <c r="K583" s="18"/>
      <c r="L583" s="18"/>
      <c r="M583" s="18"/>
      <c r="N583" s="109"/>
      <c r="O583" s="18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>
      <c r="A584" s="1"/>
      <c r="B584" s="1"/>
      <c r="C584" s="18"/>
      <c r="D584" s="47"/>
      <c r="E584" s="18"/>
      <c r="F584" s="18"/>
      <c r="G584" s="18"/>
      <c r="H584" s="18"/>
      <c r="I584" s="25"/>
      <c r="J584" s="18"/>
      <c r="K584" s="18"/>
      <c r="L584" s="18"/>
      <c r="M584" s="18"/>
      <c r="N584" s="109"/>
      <c r="O584" s="18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>
      <c r="A585" s="1"/>
      <c r="B585" s="1"/>
      <c r="C585" s="18"/>
      <c r="D585" s="47"/>
      <c r="E585" s="18"/>
      <c r="F585" s="18"/>
      <c r="G585" s="18"/>
      <c r="H585" s="18"/>
      <c r="I585" s="25"/>
      <c r="J585" s="18"/>
      <c r="K585" s="18"/>
      <c r="L585" s="18"/>
      <c r="M585" s="18"/>
      <c r="N585" s="109"/>
      <c r="O585" s="18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>
      <c r="A586" s="1"/>
      <c r="B586" s="1"/>
      <c r="C586" s="18"/>
      <c r="D586" s="47"/>
      <c r="E586" s="18"/>
      <c r="F586" s="18"/>
      <c r="G586" s="18"/>
      <c r="H586" s="18"/>
      <c r="I586" s="25"/>
      <c r="J586" s="18"/>
      <c r="K586" s="18"/>
      <c r="L586" s="18"/>
      <c r="M586" s="18"/>
      <c r="N586" s="109"/>
      <c r="O586" s="18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>
      <c r="A587" s="1"/>
      <c r="B587" s="1"/>
      <c r="C587" s="18"/>
      <c r="D587" s="47"/>
      <c r="E587" s="18"/>
      <c r="F587" s="18"/>
      <c r="G587" s="18"/>
      <c r="H587" s="18"/>
      <c r="I587" s="25"/>
      <c r="J587" s="18"/>
      <c r="K587" s="18"/>
      <c r="L587" s="18"/>
      <c r="M587" s="18"/>
      <c r="N587" s="109"/>
      <c r="O587" s="18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>
      <c r="A588" s="1"/>
      <c r="B588" s="1"/>
      <c r="C588" s="18"/>
      <c r="D588" s="47"/>
      <c r="E588" s="18"/>
      <c r="F588" s="18"/>
      <c r="G588" s="18"/>
      <c r="H588" s="18"/>
      <c r="I588" s="25"/>
      <c r="J588" s="18"/>
      <c r="K588" s="18"/>
      <c r="L588" s="18"/>
      <c r="M588" s="18"/>
      <c r="N588" s="109"/>
      <c r="O588" s="18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>
      <c r="A589" s="1"/>
      <c r="B589" s="1"/>
      <c r="C589" s="18"/>
      <c r="D589" s="47"/>
      <c r="E589" s="18"/>
      <c r="F589" s="18"/>
      <c r="G589" s="18"/>
      <c r="H589" s="18"/>
      <c r="I589" s="25"/>
      <c r="J589" s="18"/>
      <c r="K589" s="18"/>
      <c r="L589" s="18"/>
      <c r="M589" s="18"/>
      <c r="N589" s="109"/>
      <c r="O589" s="18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>
      <c r="A590" s="1"/>
      <c r="B590" s="1"/>
      <c r="C590" s="18"/>
      <c r="D590" s="47"/>
      <c r="E590" s="18"/>
      <c r="F590" s="18"/>
      <c r="G590" s="18"/>
      <c r="H590" s="18"/>
      <c r="I590" s="25"/>
      <c r="J590" s="18"/>
      <c r="K590" s="18"/>
      <c r="L590" s="18"/>
      <c r="M590" s="18"/>
      <c r="N590" s="109"/>
      <c r="O590" s="18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>
      <c r="A591" s="1"/>
      <c r="B591" s="1"/>
      <c r="C591" s="18"/>
      <c r="D591" s="47"/>
      <c r="E591" s="18"/>
      <c r="F591" s="18"/>
      <c r="G591" s="18"/>
      <c r="H591" s="18"/>
      <c r="I591" s="25"/>
      <c r="J591" s="18"/>
      <c r="K591" s="18"/>
      <c r="L591" s="18"/>
      <c r="M591" s="18"/>
      <c r="N591" s="109"/>
      <c r="O591" s="18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>
      <c r="A592" s="1"/>
      <c r="B592" s="1"/>
      <c r="C592" s="18"/>
      <c r="D592" s="47"/>
      <c r="E592" s="18"/>
      <c r="F592" s="18"/>
      <c r="G592" s="18"/>
      <c r="H592" s="18"/>
      <c r="I592" s="25"/>
      <c r="J592" s="18"/>
      <c r="K592" s="18"/>
      <c r="L592" s="18"/>
      <c r="M592" s="18"/>
      <c r="N592" s="109"/>
      <c r="O592" s="18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>
      <c r="A593" s="1"/>
      <c r="B593" s="1"/>
      <c r="C593" s="18"/>
      <c r="D593" s="47"/>
      <c r="E593" s="18"/>
      <c r="F593" s="18"/>
      <c r="G593" s="18"/>
      <c r="H593" s="18"/>
      <c r="I593" s="25"/>
      <c r="J593" s="18"/>
      <c r="K593" s="18"/>
      <c r="L593" s="18"/>
      <c r="M593" s="18"/>
      <c r="N593" s="109"/>
      <c r="O593" s="18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>
      <c r="A594" s="1"/>
      <c r="B594" s="1"/>
      <c r="C594" s="18"/>
      <c r="D594" s="47"/>
      <c r="E594" s="18"/>
      <c r="F594" s="18"/>
      <c r="G594" s="18"/>
      <c r="H594" s="18"/>
      <c r="I594" s="25"/>
      <c r="J594" s="18"/>
      <c r="K594" s="18"/>
      <c r="L594" s="18"/>
      <c r="M594" s="18"/>
      <c r="N594" s="109"/>
      <c r="O594" s="18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>
      <c r="A595" s="1"/>
      <c r="B595" s="1"/>
      <c r="C595" s="18"/>
      <c r="D595" s="47"/>
      <c r="E595" s="18"/>
      <c r="F595" s="18"/>
      <c r="G595" s="18"/>
      <c r="H595" s="18"/>
      <c r="I595" s="25"/>
      <c r="J595" s="18"/>
      <c r="K595" s="18"/>
      <c r="L595" s="18"/>
      <c r="M595" s="18"/>
      <c r="N595" s="109"/>
      <c r="O595" s="18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>
      <c r="A596" s="1"/>
      <c r="B596" s="1"/>
      <c r="C596" s="18"/>
      <c r="D596" s="47"/>
      <c r="E596" s="18"/>
      <c r="F596" s="18"/>
      <c r="G596" s="18"/>
      <c r="H596" s="18"/>
      <c r="I596" s="25"/>
      <c r="J596" s="18"/>
      <c r="K596" s="18"/>
      <c r="L596" s="18"/>
      <c r="M596" s="18"/>
      <c r="N596" s="109"/>
      <c r="O596" s="18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>
      <c r="A597" s="1"/>
      <c r="B597" s="1"/>
      <c r="C597" s="18"/>
      <c r="D597" s="47"/>
      <c r="E597" s="18"/>
      <c r="F597" s="18"/>
      <c r="G597" s="18"/>
      <c r="H597" s="18"/>
      <c r="I597" s="25"/>
      <c r="J597" s="18"/>
      <c r="K597" s="18"/>
      <c r="L597" s="18"/>
      <c r="M597" s="18"/>
      <c r="N597" s="109"/>
      <c r="O597" s="18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>
      <c r="A598" s="1"/>
      <c r="B598" s="1"/>
      <c r="C598" s="18"/>
      <c r="D598" s="47"/>
      <c r="E598" s="18"/>
      <c r="F598" s="18"/>
      <c r="G598" s="18"/>
      <c r="H598" s="18"/>
      <c r="I598" s="25"/>
      <c r="J598" s="18"/>
      <c r="K598" s="18"/>
      <c r="L598" s="18"/>
      <c r="M598" s="18"/>
      <c r="N598" s="109"/>
      <c r="O598" s="18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>
      <c r="A599" s="1"/>
      <c r="B599" s="1"/>
      <c r="C599" s="18"/>
      <c r="D599" s="47"/>
      <c r="E599" s="18"/>
      <c r="F599" s="18"/>
      <c r="G599" s="18"/>
      <c r="H599" s="18"/>
      <c r="I599" s="25"/>
      <c r="J599" s="18"/>
      <c r="K599" s="18"/>
      <c r="L599" s="18"/>
      <c r="M599" s="18"/>
      <c r="N599" s="109"/>
      <c r="O599" s="18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>
      <c r="A600" s="1"/>
      <c r="B600" s="1"/>
      <c r="C600" s="18"/>
      <c r="D600" s="47"/>
      <c r="E600" s="18"/>
      <c r="F600" s="18"/>
      <c r="G600" s="18"/>
      <c r="H600" s="18"/>
      <c r="I600" s="25"/>
      <c r="J600" s="18"/>
      <c r="K600" s="18"/>
      <c r="L600" s="18"/>
      <c r="M600" s="18"/>
      <c r="N600" s="109"/>
      <c r="O600" s="18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>
      <c r="A601" s="1"/>
      <c r="B601" s="1"/>
      <c r="C601" s="18"/>
      <c r="D601" s="47"/>
      <c r="E601" s="18"/>
      <c r="F601" s="18"/>
      <c r="G601" s="18"/>
      <c r="H601" s="18"/>
      <c r="I601" s="25"/>
      <c r="J601" s="18"/>
      <c r="K601" s="18"/>
      <c r="L601" s="18"/>
      <c r="M601" s="18"/>
      <c r="N601" s="109"/>
      <c r="O601" s="18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>
      <c r="A602" s="1"/>
      <c r="B602" s="1"/>
      <c r="C602" s="18"/>
      <c r="D602" s="47"/>
      <c r="E602" s="18"/>
      <c r="F602" s="18"/>
      <c r="G602" s="18"/>
      <c r="H602" s="18"/>
      <c r="I602" s="25"/>
      <c r="J602" s="18"/>
      <c r="K602" s="18"/>
      <c r="L602" s="18"/>
      <c r="M602" s="18"/>
      <c r="N602" s="109"/>
      <c r="O602" s="18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>
      <c r="A603" s="1"/>
      <c r="B603" s="1"/>
      <c r="C603" s="18"/>
      <c r="D603" s="47"/>
      <c r="E603" s="18"/>
      <c r="F603" s="18"/>
      <c r="G603" s="18"/>
      <c r="H603" s="18"/>
      <c r="I603" s="25"/>
      <c r="J603" s="18"/>
      <c r="K603" s="18"/>
      <c r="L603" s="18"/>
      <c r="M603" s="18"/>
      <c r="N603" s="109"/>
      <c r="O603" s="18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>
      <c r="A604" s="1"/>
      <c r="B604" s="1"/>
      <c r="C604" s="18"/>
      <c r="D604" s="47"/>
      <c r="E604" s="18"/>
      <c r="F604" s="18"/>
      <c r="G604" s="18"/>
      <c r="H604" s="18"/>
      <c r="I604" s="25"/>
      <c r="J604" s="18"/>
      <c r="K604" s="18"/>
      <c r="L604" s="18"/>
      <c r="M604" s="18"/>
      <c r="N604" s="109"/>
      <c r="O604" s="18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>
      <c r="A605" s="1"/>
      <c r="B605" s="1"/>
      <c r="C605" s="18"/>
      <c r="D605" s="47"/>
      <c r="E605" s="18"/>
      <c r="F605" s="18"/>
      <c r="G605" s="18"/>
      <c r="H605" s="18"/>
      <c r="I605" s="25"/>
      <c r="J605" s="18"/>
      <c r="K605" s="18"/>
      <c r="L605" s="18"/>
      <c r="M605" s="18"/>
      <c r="N605" s="109"/>
      <c r="O605" s="18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>
      <c r="A606" s="1"/>
      <c r="B606" s="1"/>
      <c r="C606" s="18"/>
      <c r="D606" s="47"/>
      <c r="E606" s="18"/>
      <c r="F606" s="18"/>
      <c r="G606" s="18"/>
      <c r="H606" s="18"/>
      <c r="I606" s="25"/>
      <c r="J606" s="18"/>
      <c r="K606" s="18"/>
      <c r="L606" s="18"/>
      <c r="M606" s="18"/>
      <c r="N606" s="109"/>
      <c r="O606" s="18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>
      <c r="A607" s="1"/>
      <c r="B607" s="1"/>
      <c r="C607" s="18"/>
      <c r="D607" s="47"/>
      <c r="E607" s="18"/>
      <c r="F607" s="18"/>
      <c r="G607" s="18"/>
      <c r="H607" s="18"/>
      <c r="I607" s="25"/>
      <c r="J607" s="18"/>
      <c r="K607" s="18"/>
      <c r="L607" s="18"/>
      <c r="M607" s="18"/>
      <c r="N607" s="109"/>
      <c r="O607" s="18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>
      <c r="A608" s="1"/>
      <c r="B608" s="1"/>
      <c r="C608" s="18"/>
      <c r="D608" s="47"/>
      <c r="E608" s="18"/>
      <c r="F608" s="18"/>
      <c r="G608" s="18"/>
      <c r="H608" s="18"/>
      <c r="I608" s="25"/>
      <c r="J608" s="18"/>
      <c r="K608" s="18"/>
      <c r="L608" s="18"/>
      <c r="M608" s="18"/>
      <c r="N608" s="109"/>
      <c r="O608" s="18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>
      <c r="A609" s="1"/>
      <c r="B609" s="1"/>
      <c r="C609" s="18"/>
      <c r="D609" s="47"/>
      <c r="E609" s="18"/>
      <c r="F609" s="18"/>
      <c r="G609" s="18"/>
      <c r="H609" s="18"/>
      <c r="I609" s="25"/>
      <c r="J609" s="18"/>
      <c r="K609" s="18"/>
      <c r="L609" s="18"/>
      <c r="M609" s="18"/>
      <c r="N609" s="109"/>
      <c r="O609" s="18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>
      <c r="A610" s="1"/>
      <c r="B610" s="1"/>
      <c r="C610" s="18"/>
      <c r="D610" s="47"/>
      <c r="E610" s="18"/>
      <c r="F610" s="18"/>
      <c r="G610" s="18"/>
      <c r="H610" s="18"/>
      <c r="I610" s="25"/>
      <c r="J610" s="18"/>
      <c r="K610" s="18"/>
      <c r="L610" s="18"/>
      <c r="M610" s="18"/>
      <c r="N610" s="109"/>
      <c r="O610" s="18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>
      <c r="A611" s="1"/>
      <c r="B611" s="1"/>
      <c r="C611" s="18"/>
      <c r="D611" s="47"/>
      <c r="E611" s="18"/>
      <c r="F611" s="18"/>
      <c r="G611" s="18"/>
      <c r="H611" s="18"/>
      <c r="I611" s="25"/>
      <c r="J611" s="18"/>
      <c r="K611" s="18"/>
      <c r="L611" s="18"/>
      <c r="M611" s="18"/>
      <c r="N611" s="109"/>
      <c r="O611" s="18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>
      <c r="A612" s="1"/>
      <c r="B612" s="1"/>
      <c r="C612" s="18"/>
      <c r="D612" s="47"/>
      <c r="E612" s="18"/>
      <c r="F612" s="18"/>
      <c r="G612" s="18"/>
      <c r="H612" s="18"/>
      <c r="I612" s="25"/>
      <c r="J612" s="18"/>
      <c r="K612" s="18"/>
      <c r="L612" s="18"/>
      <c r="M612" s="18"/>
      <c r="N612" s="109"/>
      <c r="O612" s="18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>
      <c r="A613" s="1"/>
      <c r="B613" s="1"/>
      <c r="C613" s="18"/>
      <c r="D613" s="47"/>
      <c r="E613" s="18"/>
      <c r="F613" s="18"/>
      <c r="G613" s="18"/>
      <c r="H613" s="18"/>
      <c r="I613" s="25"/>
      <c r="J613" s="18"/>
      <c r="K613" s="18"/>
      <c r="L613" s="18"/>
      <c r="M613" s="18"/>
      <c r="N613" s="109"/>
      <c r="O613" s="18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>
      <c r="A614" s="1"/>
      <c r="B614" s="1"/>
      <c r="C614" s="18"/>
      <c r="D614" s="47"/>
      <c r="E614" s="18"/>
      <c r="F614" s="18"/>
      <c r="G614" s="18"/>
      <c r="H614" s="18"/>
      <c r="I614" s="25"/>
      <c r="J614" s="18"/>
      <c r="K614" s="18"/>
      <c r="L614" s="18"/>
      <c r="M614" s="18"/>
      <c r="N614" s="109"/>
      <c r="O614" s="18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>
      <c r="A615" s="1"/>
      <c r="B615" s="1"/>
      <c r="C615" s="18"/>
      <c r="D615" s="47"/>
      <c r="E615" s="18"/>
      <c r="F615" s="18"/>
      <c r="G615" s="18"/>
      <c r="H615" s="18"/>
      <c r="I615" s="25"/>
      <c r="J615" s="18"/>
      <c r="K615" s="18"/>
      <c r="L615" s="18"/>
      <c r="M615" s="18"/>
      <c r="N615" s="109"/>
      <c r="O615" s="18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>
      <c r="A616" s="1"/>
      <c r="B616" s="1"/>
      <c r="C616" s="18"/>
      <c r="D616" s="47"/>
      <c r="E616" s="18"/>
      <c r="F616" s="18"/>
      <c r="G616" s="18"/>
      <c r="H616" s="18"/>
      <c r="I616" s="25"/>
      <c r="J616" s="18"/>
      <c r="K616" s="18"/>
      <c r="L616" s="18"/>
      <c r="M616" s="18"/>
      <c r="N616" s="109"/>
      <c r="O616" s="18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>
      <c r="A617" s="1"/>
      <c r="B617" s="1"/>
      <c r="C617" s="18"/>
      <c r="D617" s="47"/>
      <c r="E617" s="18"/>
      <c r="F617" s="18"/>
      <c r="G617" s="18"/>
      <c r="H617" s="18"/>
      <c r="I617" s="25"/>
      <c r="J617" s="18"/>
      <c r="K617" s="18"/>
      <c r="L617" s="18"/>
      <c r="M617" s="18"/>
      <c r="N617" s="109"/>
      <c r="O617" s="18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>
      <c r="A618" s="1"/>
      <c r="B618" s="1"/>
      <c r="C618" s="18"/>
      <c r="D618" s="47"/>
      <c r="E618" s="18"/>
      <c r="F618" s="18"/>
      <c r="G618" s="18"/>
      <c r="H618" s="18"/>
      <c r="I618" s="25"/>
      <c r="J618" s="18"/>
      <c r="K618" s="18"/>
      <c r="L618" s="18"/>
      <c r="M618" s="18"/>
      <c r="N618" s="109"/>
      <c r="O618" s="18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>
      <c r="A619" s="1"/>
      <c r="B619" s="1"/>
      <c r="C619" s="18"/>
      <c r="D619" s="47"/>
      <c r="E619" s="18"/>
      <c r="F619" s="18"/>
      <c r="G619" s="18"/>
      <c r="H619" s="18"/>
      <c r="I619" s="25"/>
      <c r="J619" s="18"/>
      <c r="K619" s="18"/>
      <c r="L619" s="18"/>
      <c r="M619" s="18"/>
      <c r="N619" s="109"/>
      <c r="O619" s="18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>
      <c r="A620" s="1"/>
      <c r="B620" s="1"/>
      <c r="C620" s="18"/>
      <c r="D620" s="47"/>
      <c r="E620" s="18"/>
      <c r="F620" s="18"/>
      <c r="G620" s="18"/>
      <c r="H620" s="18"/>
      <c r="I620" s="25"/>
      <c r="J620" s="18"/>
      <c r="K620" s="18"/>
      <c r="L620" s="18"/>
      <c r="M620" s="18"/>
      <c r="N620" s="109"/>
      <c r="O620" s="18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>
      <c r="A621" s="1"/>
      <c r="B621" s="1"/>
      <c r="C621" s="18"/>
      <c r="D621" s="47"/>
      <c r="E621" s="18"/>
      <c r="F621" s="18"/>
      <c r="G621" s="18"/>
      <c r="H621" s="18"/>
      <c r="I621" s="25"/>
      <c r="J621" s="18"/>
      <c r="K621" s="18"/>
      <c r="L621" s="18"/>
      <c r="M621" s="18"/>
      <c r="N621" s="109"/>
      <c r="O621" s="18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>
      <c r="A622" s="1"/>
      <c r="B622" s="1"/>
      <c r="C622" s="18"/>
      <c r="D622" s="47"/>
      <c r="E622" s="18"/>
      <c r="F622" s="18"/>
      <c r="G622" s="18"/>
      <c r="H622" s="18"/>
      <c r="I622" s="25"/>
      <c r="J622" s="18"/>
      <c r="K622" s="18"/>
      <c r="L622" s="18"/>
      <c r="M622" s="18"/>
      <c r="N622" s="109"/>
      <c r="O622" s="18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>
      <c r="A623" s="1"/>
      <c r="B623" s="1"/>
      <c r="C623" s="18"/>
      <c r="D623" s="47"/>
      <c r="E623" s="18"/>
      <c r="F623" s="18"/>
      <c r="G623" s="18"/>
      <c r="H623" s="18"/>
      <c r="I623" s="25"/>
      <c r="J623" s="18"/>
      <c r="K623" s="18"/>
      <c r="L623" s="18"/>
      <c r="M623" s="18"/>
      <c r="N623" s="109"/>
      <c r="O623" s="18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>
      <c r="A624" s="1"/>
      <c r="B624" s="1"/>
      <c r="C624" s="18"/>
      <c r="D624" s="47"/>
      <c r="E624" s="18"/>
      <c r="F624" s="18"/>
      <c r="G624" s="18"/>
      <c r="H624" s="18"/>
      <c r="I624" s="25"/>
      <c r="J624" s="18"/>
      <c r="K624" s="18"/>
      <c r="L624" s="18"/>
      <c r="M624" s="18"/>
      <c r="N624" s="109"/>
      <c r="O624" s="18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>
      <c r="A625" s="1"/>
      <c r="B625" s="1"/>
      <c r="C625" s="18"/>
      <c r="D625" s="47"/>
      <c r="E625" s="18"/>
      <c r="F625" s="18"/>
      <c r="G625" s="18"/>
      <c r="H625" s="18"/>
      <c r="I625" s="25"/>
      <c r="J625" s="18"/>
      <c r="K625" s="18"/>
      <c r="L625" s="18"/>
      <c r="M625" s="18"/>
      <c r="N625" s="109"/>
      <c r="O625" s="18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>
      <c r="A626" s="1"/>
      <c r="B626" s="1"/>
      <c r="C626" s="18"/>
      <c r="D626" s="47"/>
      <c r="E626" s="18"/>
      <c r="F626" s="18"/>
      <c r="G626" s="18"/>
      <c r="H626" s="18"/>
      <c r="I626" s="25"/>
      <c r="J626" s="18"/>
      <c r="K626" s="18"/>
      <c r="L626" s="18"/>
      <c r="M626" s="18"/>
      <c r="N626" s="109"/>
      <c r="O626" s="18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>
      <c r="A627" s="1"/>
      <c r="B627" s="1"/>
      <c r="C627" s="18"/>
      <c r="D627" s="47"/>
      <c r="E627" s="18"/>
      <c r="F627" s="18"/>
      <c r="G627" s="18"/>
      <c r="H627" s="18"/>
      <c r="I627" s="25"/>
      <c r="J627" s="18"/>
      <c r="K627" s="18"/>
      <c r="L627" s="18"/>
      <c r="M627" s="18"/>
      <c r="N627" s="109"/>
      <c r="O627" s="18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>
      <c r="A628" s="1"/>
      <c r="B628" s="1"/>
      <c r="C628" s="18"/>
      <c r="D628" s="47"/>
      <c r="E628" s="18"/>
      <c r="F628" s="18"/>
      <c r="G628" s="18"/>
      <c r="H628" s="18"/>
      <c r="I628" s="25"/>
      <c r="J628" s="18"/>
      <c r="K628" s="18"/>
      <c r="L628" s="18"/>
      <c r="M628" s="18"/>
      <c r="N628" s="109"/>
      <c r="O628" s="18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>
      <c r="A629" s="1"/>
      <c r="B629" s="1"/>
      <c r="C629" s="18"/>
      <c r="D629" s="47"/>
      <c r="E629" s="18"/>
      <c r="F629" s="18"/>
      <c r="G629" s="18"/>
      <c r="H629" s="18"/>
      <c r="I629" s="25"/>
      <c r="J629" s="18"/>
      <c r="K629" s="18"/>
      <c r="L629" s="18"/>
      <c r="M629" s="18"/>
      <c r="N629" s="109"/>
      <c r="O629" s="18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>
      <c r="A630" s="1"/>
      <c r="B630" s="1"/>
      <c r="C630" s="18"/>
      <c r="D630" s="47"/>
      <c r="E630" s="18"/>
      <c r="F630" s="18"/>
      <c r="G630" s="18"/>
      <c r="H630" s="18"/>
      <c r="I630" s="25"/>
      <c r="J630" s="18"/>
      <c r="K630" s="18"/>
      <c r="L630" s="18"/>
      <c r="M630" s="18"/>
      <c r="N630" s="109"/>
      <c r="O630" s="18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>
      <c r="A631" s="1"/>
      <c r="B631" s="1"/>
      <c r="C631" s="18"/>
      <c r="D631" s="47"/>
      <c r="E631" s="18"/>
      <c r="F631" s="18"/>
      <c r="G631" s="18"/>
      <c r="H631" s="18"/>
      <c r="I631" s="25"/>
      <c r="J631" s="18"/>
      <c r="K631" s="18"/>
      <c r="L631" s="18"/>
      <c r="M631" s="18"/>
      <c r="N631" s="109"/>
      <c r="O631" s="18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>
      <c r="A632" s="1"/>
      <c r="B632" s="1"/>
      <c r="C632" s="18"/>
      <c r="D632" s="47"/>
      <c r="E632" s="18"/>
      <c r="F632" s="18"/>
      <c r="G632" s="18"/>
      <c r="H632" s="18"/>
      <c r="I632" s="25"/>
      <c r="J632" s="18"/>
      <c r="K632" s="18"/>
      <c r="L632" s="18"/>
      <c r="M632" s="18"/>
      <c r="N632" s="109"/>
      <c r="O632" s="18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>
      <c r="A633" s="1"/>
      <c r="B633" s="1"/>
      <c r="C633" s="18"/>
      <c r="D633" s="47"/>
      <c r="E633" s="18"/>
      <c r="F633" s="18"/>
      <c r="G633" s="18"/>
      <c r="H633" s="18"/>
      <c r="I633" s="25"/>
      <c r="J633" s="18"/>
      <c r="K633" s="18"/>
      <c r="L633" s="18"/>
      <c r="M633" s="18"/>
      <c r="N633" s="109"/>
      <c r="O633" s="18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>
      <c r="A634" s="1"/>
      <c r="B634" s="1"/>
      <c r="C634" s="18"/>
      <c r="D634" s="47"/>
      <c r="E634" s="18"/>
      <c r="F634" s="18"/>
      <c r="G634" s="18"/>
      <c r="H634" s="18"/>
      <c r="I634" s="25"/>
      <c r="J634" s="18"/>
      <c r="K634" s="18"/>
      <c r="L634" s="18"/>
      <c r="M634" s="18"/>
      <c r="N634" s="109"/>
      <c r="O634" s="18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>
      <c r="A635" s="1"/>
      <c r="B635" s="1"/>
      <c r="C635" s="18"/>
      <c r="D635" s="47"/>
      <c r="E635" s="18"/>
      <c r="F635" s="18"/>
      <c r="G635" s="18"/>
      <c r="H635" s="18"/>
      <c r="I635" s="25"/>
      <c r="J635" s="18"/>
      <c r="K635" s="18"/>
      <c r="L635" s="18"/>
      <c r="M635" s="18"/>
      <c r="N635" s="109"/>
      <c r="O635" s="18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>
      <c r="A636" s="1"/>
      <c r="B636" s="1"/>
      <c r="C636" s="18"/>
      <c r="D636" s="47"/>
      <c r="E636" s="18"/>
      <c r="F636" s="18"/>
      <c r="G636" s="18"/>
      <c r="H636" s="18"/>
      <c r="I636" s="25"/>
      <c r="J636" s="18"/>
      <c r="K636" s="18"/>
      <c r="L636" s="18"/>
      <c r="M636" s="18"/>
      <c r="N636" s="109"/>
      <c r="O636" s="18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>
      <c r="A637" s="1"/>
      <c r="B637" s="1"/>
      <c r="C637" s="18"/>
      <c r="D637" s="47"/>
      <c r="E637" s="18"/>
      <c r="F637" s="18"/>
      <c r="G637" s="18"/>
      <c r="H637" s="18"/>
      <c r="I637" s="25"/>
      <c r="J637" s="18"/>
      <c r="K637" s="18"/>
      <c r="L637" s="18"/>
      <c r="M637" s="18"/>
      <c r="N637" s="109"/>
      <c r="O637" s="18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>
      <c r="A638" s="1"/>
      <c r="B638" s="1"/>
      <c r="C638" s="18"/>
      <c r="D638" s="47"/>
      <c r="E638" s="18"/>
      <c r="F638" s="18"/>
      <c r="G638" s="18"/>
      <c r="H638" s="18"/>
      <c r="I638" s="25"/>
      <c r="J638" s="18"/>
      <c r="K638" s="18"/>
      <c r="L638" s="18"/>
      <c r="M638" s="18"/>
      <c r="N638" s="109"/>
      <c r="O638" s="18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>
      <c r="A639" s="1"/>
      <c r="B639" s="1"/>
      <c r="C639" s="18"/>
      <c r="D639" s="47"/>
      <c r="E639" s="18"/>
      <c r="F639" s="18"/>
      <c r="G639" s="18"/>
      <c r="H639" s="18"/>
      <c r="I639" s="25"/>
      <c r="J639" s="18"/>
      <c r="K639" s="18"/>
      <c r="L639" s="18"/>
      <c r="M639" s="18"/>
      <c r="N639" s="109"/>
      <c r="O639" s="18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>
      <c r="A640" s="1"/>
      <c r="B640" s="1"/>
      <c r="C640" s="18"/>
      <c r="D640" s="47"/>
      <c r="E640" s="18"/>
      <c r="F640" s="18"/>
      <c r="G640" s="18"/>
      <c r="H640" s="18"/>
      <c r="I640" s="25"/>
      <c r="J640" s="18"/>
      <c r="K640" s="18"/>
      <c r="L640" s="18"/>
      <c r="M640" s="18"/>
      <c r="N640" s="109"/>
      <c r="O640" s="18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>
      <c r="A641" s="1"/>
      <c r="B641" s="1"/>
      <c r="C641" s="18"/>
      <c r="D641" s="47"/>
      <c r="E641" s="18"/>
      <c r="F641" s="18"/>
      <c r="G641" s="18"/>
      <c r="H641" s="18"/>
      <c r="I641" s="25"/>
      <c r="J641" s="18"/>
      <c r="K641" s="18"/>
      <c r="L641" s="18"/>
      <c r="M641" s="18"/>
      <c r="N641" s="109"/>
      <c r="O641" s="18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>
      <c r="A642" s="1"/>
      <c r="B642" s="1"/>
      <c r="C642" s="18"/>
      <c r="D642" s="47"/>
      <c r="E642" s="18"/>
      <c r="F642" s="18"/>
      <c r="G642" s="18"/>
      <c r="H642" s="18"/>
      <c r="I642" s="25"/>
      <c r="J642" s="18"/>
      <c r="K642" s="18"/>
      <c r="L642" s="18"/>
      <c r="M642" s="18"/>
      <c r="N642" s="109"/>
      <c r="O642" s="18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>
      <c r="A643" s="1"/>
      <c r="B643" s="1"/>
      <c r="C643" s="18"/>
      <c r="D643" s="47"/>
      <c r="E643" s="18"/>
      <c r="F643" s="18"/>
      <c r="G643" s="18"/>
      <c r="H643" s="18"/>
      <c r="I643" s="25"/>
      <c r="J643" s="18"/>
      <c r="K643" s="18"/>
      <c r="L643" s="18"/>
      <c r="M643" s="18"/>
      <c r="N643" s="109"/>
      <c r="O643" s="18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>
      <c r="A644" s="1"/>
      <c r="B644" s="1"/>
      <c r="C644" s="18"/>
      <c r="D644" s="47"/>
      <c r="E644" s="18"/>
      <c r="F644" s="18"/>
      <c r="G644" s="18"/>
      <c r="H644" s="18"/>
      <c r="I644" s="25"/>
      <c r="J644" s="18"/>
      <c r="K644" s="18"/>
      <c r="L644" s="18"/>
      <c r="M644" s="18"/>
      <c r="N644" s="109"/>
      <c r="O644" s="18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>
      <c r="A645" s="1"/>
      <c r="B645" s="1"/>
      <c r="C645" s="18"/>
      <c r="D645" s="47"/>
      <c r="E645" s="18"/>
      <c r="F645" s="18"/>
      <c r="G645" s="18"/>
      <c r="H645" s="18"/>
      <c r="I645" s="25"/>
      <c r="J645" s="18"/>
      <c r="K645" s="18"/>
      <c r="L645" s="18"/>
      <c r="M645" s="18"/>
      <c r="N645" s="109"/>
      <c r="O645" s="18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>
      <c r="A646" s="1"/>
      <c r="B646" s="1"/>
      <c r="C646" s="18"/>
      <c r="D646" s="47"/>
      <c r="E646" s="18"/>
      <c r="F646" s="18"/>
      <c r="G646" s="18"/>
      <c r="H646" s="18"/>
      <c r="I646" s="25"/>
      <c r="J646" s="18"/>
      <c r="K646" s="18"/>
      <c r="L646" s="18"/>
      <c r="M646" s="18"/>
      <c r="N646" s="109"/>
      <c r="O646" s="18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>
      <c r="A647" s="1"/>
      <c r="B647" s="1"/>
      <c r="C647" s="18"/>
      <c r="D647" s="47"/>
      <c r="E647" s="18"/>
      <c r="F647" s="18"/>
      <c r="G647" s="18"/>
      <c r="H647" s="18"/>
      <c r="I647" s="25"/>
      <c r="J647" s="18"/>
      <c r="K647" s="18"/>
      <c r="L647" s="18"/>
      <c r="M647" s="18"/>
      <c r="N647" s="109"/>
      <c r="O647" s="18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>
      <c r="A648" s="1"/>
      <c r="B648" s="1"/>
      <c r="C648" s="18"/>
      <c r="D648" s="47"/>
      <c r="E648" s="18"/>
      <c r="F648" s="18"/>
      <c r="G648" s="18"/>
      <c r="H648" s="18"/>
      <c r="I648" s="25"/>
      <c r="J648" s="18"/>
      <c r="K648" s="18"/>
      <c r="L648" s="18"/>
      <c r="M648" s="18"/>
      <c r="N648" s="109"/>
      <c r="O648" s="18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>
      <c r="A649" s="1"/>
      <c r="B649" s="1"/>
      <c r="C649" s="18"/>
      <c r="D649" s="47"/>
      <c r="E649" s="18"/>
      <c r="F649" s="18"/>
      <c r="G649" s="18"/>
      <c r="H649" s="18"/>
      <c r="I649" s="25"/>
      <c r="J649" s="18"/>
      <c r="K649" s="18"/>
      <c r="L649" s="18"/>
      <c r="M649" s="18"/>
      <c r="N649" s="109"/>
      <c r="O649" s="18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>
      <c r="A650" s="1"/>
      <c r="B650" s="1"/>
      <c r="C650" s="18"/>
      <c r="D650" s="47"/>
      <c r="E650" s="18"/>
      <c r="F650" s="18"/>
      <c r="G650" s="18"/>
      <c r="H650" s="18"/>
      <c r="I650" s="25"/>
      <c r="J650" s="18"/>
      <c r="K650" s="18"/>
      <c r="L650" s="18"/>
      <c r="M650" s="18"/>
      <c r="N650" s="109"/>
      <c r="O650" s="18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>
      <c r="A651" s="1"/>
      <c r="B651" s="1"/>
      <c r="C651" s="18"/>
      <c r="D651" s="47"/>
      <c r="E651" s="18"/>
      <c r="F651" s="18"/>
      <c r="G651" s="18"/>
      <c r="H651" s="18"/>
      <c r="I651" s="25"/>
      <c r="J651" s="18"/>
      <c r="K651" s="18"/>
      <c r="L651" s="18"/>
      <c r="M651" s="18"/>
      <c r="N651" s="109"/>
      <c r="O651" s="18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>
      <c r="A652" s="1"/>
      <c r="B652" s="1"/>
      <c r="C652" s="18"/>
      <c r="D652" s="47"/>
      <c r="E652" s="18"/>
      <c r="F652" s="18"/>
      <c r="G652" s="18"/>
      <c r="H652" s="18"/>
      <c r="I652" s="25"/>
      <c r="J652" s="18"/>
      <c r="K652" s="18"/>
      <c r="L652" s="18"/>
      <c r="M652" s="18"/>
      <c r="N652" s="109"/>
      <c r="O652" s="18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>
      <c r="A653" s="1"/>
      <c r="B653" s="1"/>
      <c r="C653" s="18"/>
      <c r="D653" s="47"/>
      <c r="E653" s="18"/>
      <c r="F653" s="18"/>
      <c r="G653" s="18"/>
      <c r="H653" s="18"/>
      <c r="I653" s="25"/>
      <c r="J653" s="18"/>
      <c r="K653" s="18"/>
      <c r="L653" s="18"/>
      <c r="M653" s="18"/>
      <c r="N653" s="109"/>
      <c r="O653" s="18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>
      <c r="A654" s="1"/>
      <c r="B654" s="1"/>
      <c r="C654" s="18"/>
      <c r="D654" s="47"/>
      <c r="E654" s="18"/>
      <c r="F654" s="18"/>
      <c r="G654" s="18"/>
      <c r="H654" s="18"/>
      <c r="I654" s="25"/>
      <c r="J654" s="18"/>
      <c r="K654" s="18"/>
      <c r="L654" s="18"/>
      <c r="M654" s="18"/>
      <c r="N654" s="109"/>
      <c r="O654" s="18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>
      <c r="A655" s="1"/>
      <c r="B655" s="1"/>
      <c r="C655" s="18"/>
      <c r="D655" s="47"/>
      <c r="E655" s="18"/>
      <c r="F655" s="18"/>
      <c r="G655" s="18"/>
      <c r="H655" s="18"/>
      <c r="I655" s="25"/>
      <c r="J655" s="18"/>
      <c r="K655" s="18"/>
      <c r="L655" s="18"/>
      <c r="M655" s="18"/>
      <c r="N655" s="109"/>
      <c r="O655" s="18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>
      <c r="A656" s="1"/>
      <c r="B656" s="1"/>
      <c r="C656" s="18"/>
      <c r="D656" s="47"/>
      <c r="E656" s="18"/>
      <c r="F656" s="18"/>
      <c r="G656" s="18"/>
      <c r="H656" s="18"/>
      <c r="I656" s="25"/>
      <c r="J656" s="18"/>
      <c r="K656" s="18"/>
      <c r="L656" s="18"/>
      <c r="M656" s="18"/>
      <c r="N656" s="109"/>
      <c r="O656" s="18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>
      <c r="A657" s="1"/>
      <c r="B657" s="1"/>
      <c r="C657" s="18"/>
      <c r="D657" s="47"/>
      <c r="E657" s="18"/>
      <c r="F657" s="18"/>
      <c r="G657" s="18"/>
      <c r="H657" s="18"/>
      <c r="I657" s="25"/>
      <c r="J657" s="18"/>
      <c r="K657" s="18"/>
      <c r="L657" s="18"/>
      <c r="M657" s="18"/>
      <c r="N657" s="109"/>
      <c r="O657" s="18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>
      <c r="A658" s="1"/>
      <c r="B658" s="1"/>
      <c r="C658" s="18"/>
      <c r="D658" s="47"/>
      <c r="E658" s="18"/>
      <c r="F658" s="18"/>
      <c r="G658" s="18"/>
      <c r="H658" s="18"/>
      <c r="I658" s="25"/>
      <c r="J658" s="18"/>
      <c r="K658" s="18"/>
      <c r="L658" s="18"/>
      <c r="M658" s="18"/>
      <c r="N658" s="109"/>
      <c r="O658" s="18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>
      <c r="A659" s="1"/>
      <c r="B659" s="1"/>
      <c r="C659" s="18"/>
      <c r="D659" s="47"/>
      <c r="E659" s="18"/>
      <c r="F659" s="18"/>
      <c r="G659" s="18"/>
      <c r="H659" s="18"/>
      <c r="I659" s="25"/>
      <c r="J659" s="18"/>
      <c r="K659" s="18"/>
      <c r="L659" s="18"/>
      <c r="M659" s="18"/>
      <c r="N659" s="109"/>
      <c r="O659" s="18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>
      <c r="A660" s="1"/>
      <c r="B660" s="1"/>
      <c r="C660" s="18"/>
      <c r="D660" s="47"/>
      <c r="E660" s="18"/>
      <c r="F660" s="18"/>
      <c r="G660" s="18"/>
      <c r="H660" s="18"/>
      <c r="I660" s="25"/>
      <c r="J660" s="18"/>
      <c r="K660" s="18"/>
      <c r="L660" s="18"/>
      <c r="M660" s="18"/>
      <c r="N660" s="109"/>
      <c r="O660" s="18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>
      <c r="A661" s="1"/>
      <c r="B661" s="1"/>
      <c r="C661" s="18"/>
      <c r="D661" s="47"/>
      <c r="E661" s="18"/>
      <c r="F661" s="18"/>
      <c r="G661" s="18"/>
      <c r="H661" s="18"/>
      <c r="I661" s="25"/>
      <c r="J661" s="18"/>
      <c r="K661" s="18"/>
      <c r="L661" s="18"/>
      <c r="M661" s="18"/>
      <c r="N661" s="109"/>
      <c r="O661" s="18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>
      <c r="A662" s="1"/>
      <c r="B662" s="1"/>
      <c r="C662" s="18"/>
      <c r="D662" s="47"/>
      <c r="E662" s="18"/>
      <c r="F662" s="18"/>
      <c r="G662" s="18"/>
      <c r="H662" s="18"/>
      <c r="I662" s="25"/>
      <c r="J662" s="18"/>
      <c r="K662" s="18"/>
      <c r="L662" s="18"/>
      <c r="M662" s="18"/>
      <c r="N662" s="109"/>
      <c r="O662" s="18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>
      <c r="A663" s="1"/>
      <c r="B663" s="1"/>
      <c r="C663" s="18"/>
      <c r="D663" s="47"/>
      <c r="E663" s="18"/>
      <c r="F663" s="18"/>
      <c r="G663" s="18"/>
      <c r="H663" s="18"/>
      <c r="I663" s="25"/>
      <c r="J663" s="18"/>
      <c r="K663" s="18"/>
      <c r="L663" s="18"/>
      <c r="M663" s="18"/>
      <c r="N663" s="109"/>
      <c r="O663" s="18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>
      <c r="A664" s="1"/>
      <c r="B664" s="1"/>
      <c r="C664" s="18"/>
      <c r="D664" s="47"/>
      <c r="E664" s="18"/>
      <c r="F664" s="18"/>
      <c r="G664" s="18"/>
      <c r="H664" s="18"/>
      <c r="I664" s="25"/>
      <c r="J664" s="18"/>
      <c r="K664" s="18"/>
      <c r="L664" s="18"/>
      <c r="M664" s="18"/>
      <c r="N664" s="109"/>
      <c r="O664" s="18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>
      <c r="A665" s="1"/>
      <c r="B665" s="1"/>
      <c r="C665" s="18"/>
      <c r="D665" s="47"/>
      <c r="E665" s="18"/>
      <c r="F665" s="18"/>
      <c r="G665" s="18"/>
      <c r="H665" s="18"/>
      <c r="I665" s="25"/>
      <c r="J665" s="18"/>
      <c r="K665" s="18"/>
      <c r="L665" s="18"/>
      <c r="M665" s="18"/>
      <c r="N665" s="109"/>
      <c r="O665" s="18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>
      <c r="A666" s="1"/>
      <c r="B666" s="1"/>
      <c r="C666" s="18"/>
      <c r="D666" s="47"/>
      <c r="E666" s="18"/>
      <c r="F666" s="18"/>
      <c r="G666" s="18"/>
      <c r="H666" s="18"/>
      <c r="I666" s="25"/>
      <c r="J666" s="18"/>
      <c r="K666" s="18"/>
      <c r="L666" s="18"/>
      <c r="M666" s="18"/>
      <c r="N666" s="109"/>
      <c r="O666" s="18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>
      <c r="A667" s="1"/>
      <c r="B667" s="1"/>
      <c r="C667" s="18"/>
      <c r="D667" s="47"/>
      <c r="E667" s="18"/>
      <c r="F667" s="18"/>
      <c r="G667" s="18"/>
      <c r="H667" s="18"/>
      <c r="I667" s="25"/>
      <c r="J667" s="18"/>
      <c r="K667" s="18"/>
      <c r="L667" s="18"/>
      <c r="M667" s="18"/>
      <c r="N667" s="109"/>
      <c r="O667" s="18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>
      <c r="A668" s="1"/>
      <c r="B668" s="1"/>
      <c r="C668" s="18"/>
      <c r="D668" s="47"/>
      <c r="E668" s="18"/>
      <c r="F668" s="18"/>
      <c r="G668" s="18"/>
      <c r="H668" s="18"/>
      <c r="I668" s="25"/>
      <c r="J668" s="18"/>
      <c r="K668" s="18"/>
      <c r="L668" s="18"/>
      <c r="M668" s="18"/>
      <c r="N668" s="109"/>
      <c r="O668" s="18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>
      <c r="A669" s="1"/>
      <c r="B669" s="1"/>
      <c r="C669" s="18"/>
      <c r="D669" s="47"/>
      <c r="E669" s="18"/>
      <c r="F669" s="18"/>
      <c r="G669" s="18"/>
      <c r="H669" s="18"/>
      <c r="I669" s="25"/>
      <c r="J669" s="18"/>
      <c r="K669" s="18"/>
      <c r="L669" s="18"/>
      <c r="M669" s="18"/>
      <c r="N669" s="109"/>
      <c r="O669" s="18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>
      <c r="A670" s="1"/>
      <c r="B670" s="1"/>
      <c r="C670" s="18"/>
      <c r="D670" s="47"/>
      <c r="E670" s="18"/>
      <c r="F670" s="18"/>
      <c r="G670" s="18"/>
      <c r="H670" s="18"/>
      <c r="I670" s="25"/>
      <c r="J670" s="18"/>
      <c r="K670" s="18"/>
      <c r="L670" s="18"/>
      <c r="M670" s="18"/>
      <c r="N670" s="109"/>
      <c r="O670" s="18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>
      <c r="A671" s="1"/>
      <c r="B671" s="1"/>
      <c r="C671" s="18"/>
      <c r="D671" s="47"/>
      <c r="E671" s="18"/>
      <c r="F671" s="18"/>
      <c r="G671" s="18"/>
      <c r="H671" s="18"/>
      <c r="I671" s="25"/>
      <c r="J671" s="18"/>
      <c r="K671" s="18"/>
      <c r="L671" s="18"/>
      <c r="M671" s="18"/>
      <c r="N671" s="109"/>
      <c r="O671" s="18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>
      <c r="A672" s="1"/>
      <c r="B672" s="1"/>
      <c r="C672" s="18"/>
      <c r="D672" s="47"/>
      <c r="E672" s="18"/>
      <c r="F672" s="18"/>
      <c r="G672" s="18"/>
      <c r="H672" s="18"/>
      <c r="I672" s="25"/>
      <c r="J672" s="18"/>
      <c r="K672" s="18"/>
      <c r="L672" s="18"/>
      <c r="M672" s="18"/>
      <c r="N672" s="109"/>
      <c r="O672" s="18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>
      <c r="A673" s="1"/>
      <c r="B673" s="1"/>
      <c r="C673" s="18"/>
      <c r="D673" s="47"/>
      <c r="E673" s="18"/>
      <c r="F673" s="18"/>
      <c r="G673" s="18"/>
      <c r="H673" s="18"/>
      <c r="I673" s="25"/>
      <c r="J673" s="18"/>
      <c r="K673" s="18"/>
      <c r="L673" s="18"/>
      <c r="M673" s="18"/>
      <c r="N673" s="109"/>
      <c r="O673" s="18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>
      <c r="A674" s="1"/>
      <c r="B674" s="1"/>
      <c r="C674" s="18"/>
      <c r="D674" s="47"/>
      <c r="E674" s="18"/>
      <c r="F674" s="18"/>
      <c r="G674" s="18"/>
      <c r="H674" s="18"/>
      <c r="I674" s="25"/>
      <c r="J674" s="18"/>
      <c r="K674" s="18"/>
      <c r="L674" s="18"/>
      <c r="M674" s="18"/>
      <c r="N674" s="109"/>
      <c r="O674" s="18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>
      <c r="A675" s="1"/>
      <c r="B675" s="1"/>
      <c r="C675" s="18"/>
      <c r="D675" s="47"/>
      <c r="E675" s="18"/>
      <c r="F675" s="18"/>
      <c r="G675" s="18"/>
      <c r="H675" s="18"/>
      <c r="I675" s="25"/>
      <c r="J675" s="18"/>
      <c r="K675" s="18"/>
      <c r="L675" s="18"/>
      <c r="M675" s="18"/>
      <c r="N675" s="109"/>
      <c r="O675" s="18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>
      <c r="A676" s="1"/>
      <c r="B676" s="1"/>
      <c r="C676" s="18"/>
      <c r="D676" s="47"/>
      <c r="E676" s="18"/>
      <c r="F676" s="18"/>
      <c r="G676" s="18"/>
      <c r="H676" s="18"/>
      <c r="I676" s="25"/>
      <c r="J676" s="18"/>
      <c r="K676" s="18"/>
      <c r="L676" s="18"/>
      <c r="M676" s="18"/>
      <c r="N676" s="109"/>
      <c r="O676" s="18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>
      <c r="A677" s="1"/>
      <c r="B677" s="1"/>
      <c r="C677" s="18"/>
      <c r="D677" s="47"/>
      <c r="E677" s="18"/>
      <c r="F677" s="18"/>
      <c r="G677" s="18"/>
      <c r="H677" s="18"/>
      <c r="I677" s="25"/>
      <c r="J677" s="18"/>
      <c r="K677" s="18"/>
      <c r="L677" s="18"/>
      <c r="M677" s="18"/>
      <c r="N677" s="109"/>
      <c r="O677" s="18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>
      <c r="A678" s="1"/>
      <c r="B678" s="1"/>
      <c r="C678" s="18"/>
      <c r="D678" s="47"/>
      <c r="E678" s="18"/>
      <c r="F678" s="18"/>
      <c r="G678" s="18"/>
      <c r="H678" s="18"/>
      <c r="I678" s="25"/>
      <c r="J678" s="18"/>
      <c r="K678" s="18"/>
      <c r="L678" s="18"/>
      <c r="M678" s="18"/>
      <c r="N678" s="109"/>
      <c r="O678" s="18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>
      <c r="A679" s="1"/>
      <c r="B679" s="1"/>
      <c r="C679" s="18"/>
      <c r="D679" s="47"/>
      <c r="E679" s="18"/>
      <c r="F679" s="18"/>
      <c r="G679" s="18"/>
      <c r="H679" s="18"/>
      <c r="I679" s="25"/>
      <c r="J679" s="18"/>
      <c r="K679" s="18"/>
      <c r="L679" s="18"/>
      <c r="M679" s="18"/>
      <c r="N679" s="109"/>
      <c r="O679" s="18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>
      <c r="A680" s="1"/>
      <c r="B680" s="1"/>
      <c r="C680" s="18"/>
      <c r="D680" s="47"/>
      <c r="E680" s="18"/>
      <c r="F680" s="18"/>
      <c r="G680" s="18"/>
      <c r="H680" s="18"/>
      <c r="I680" s="25"/>
      <c r="J680" s="18"/>
      <c r="K680" s="18"/>
      <c r="L680" s="18"/>
      <c r="M680" s="18"/>
      <c r="N680" s="109"/>
      <c r="O680" s="18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>
      <c r="A681" s="1"/>
      <c r="B681" s="1"/>
      <c r="C681" s="18"/>
      <c r="D681" s="47"/>
      <c r="E681" s="18"/>
      <c r="F681" s="18"/>
      <c r="G681" s="18"/>
      <c r="H681" s="18"/>
      <c r="I681" s="25"/>
      <c r="J681" s="18"/>
      <c r="K681" s="18"/>
      <c r="L681" s="18"/>
      <c r="M681" s="18"/>
      <c r="N681" s="109"/>
      <c r="O681" s="18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>
      <c r="A682" s="1"/>
      <c r="B682" s="1"/>
      <c r="C682" s="18"/>
      <c r="D682" s="47"/>
      <c r="E682" s="18"/>
      <c r="F682" s="18"/>
      <c r="G682" s="18"/>
      <c r="H682" s="18"/>
      <c r="I682" s="25"/>
      <c r="J682" s="18"/>
      <c r="K682" s="18"/>
      <c r="L682" s="18"/>
      <c r="M682" s="18"/>
      <c r="N682" s="109"/>
      <c r="O682" s="18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>
      <c r="A683" s="1"/>
      <c r="B683" s="1"/>
      <c r="C683" s="18"/>
      <c r="D683" s="47"/>
      <c r="E683" s="18"/>
      <c r="F683" s="18"/>
      <c r="G683" s="18"/>
      <c r="H683" s="18"/>
      <c r="I683" s="25"/>
      <c r="J683" s="18"/>
      <c r="K683" s="18"/>
      <c r="L683" s="18"/>
      <c r="M683" s="18"/>
      <c r="N683" s="109"/>
      <c r="O683" s="18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>
      <c r="A684" s="1"/>
      <c r="B684" s="1"/>
      <c r="C684" s="18"/>
      <c r="D684" s="47"/>
      <c r="E684" s="18"/>
      <c r="F684" s="18"/>
      <c r="G684" s="18"/>
      <c r="H684" s="18"/>
      <c r="I684" s="25"/>
      <c r="J684" s="18"/>
      <c r="K684" s="18"/>
      <c r="L684" s="18"/>
      <c r="M684" s="18"/>
      <c r="N684" s="109"/>
      <c r="O684" s="18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>
      <c r="A685" s="1"/>
      <c r="B685" s="1"/>
      <c r="C685" s="18"/>
      <c r="D685" s="47"/>
      <c r="E685" s="18"/>
      <c r="F685" s="18"/>
      <c r="G685" s="18"/>
      <c r="H685" s="18"/>
      <c r="I685" s="25"/>
      <c r="J685" s="18"/>
      <c r="K685" s="18"/>
      <c r="L685" s="18"/>
      <c r="M685" s="18"/>
      <c r="N685" s="109"/>
      <c r="O685" s="18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>
      <c r="A686" s="1"/>
      <c r="B686" s="1"/>
      <c r="C686" s="18"/>
      <c r="D686" s="47"/>
      <c r="E686" s="18"/>
      <c r="F686" s="18"/>
      <c r="G686" s="18"/>
      <c r="H686" s="18"/>
      <c r="I686" s="25"/>
      <c r="J686" s="18"/>
      <c r="K686" s="18"/>
      <c r="L686" s="18"/>
      <c r="M686" s="18"/>
      <c r="N686" s="109"/>
      <c r="O686" s="18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>
      <c r="A687" s="1"/>
      <c r="B687" s="1"/>
      <c r="C687" s="18"/>
      <c r="D687" s="47"/>
      <c r="E687" s="18"/>
      <c r="F687" s="18"/>
      <c r="G687" s="18"/>
      <c r="H687" s="18"/>
      <c r="I687" s="25"/>
      <c r="J687" s="18"/>
      <c r="K687" s="18"/>
      <c r="L687" s="18"/>
      <c r="M687" s="18"/>
      <c r="N687" s="109"/>
      <c r="O687" s="18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>
      <c r="A688" s="1"/>
      <c r="B688" s="1"/>
      <c r="C688" s="18"/>
      <c r="D688" s="47"/>
      <c r="E688" s="18"/>
      <c r="F688" s="18"/>
      <c r="G688" s="18"/>
      <c r="H688" s="18"/>
      <c r="I688" s="25"/>
      <c r="J688" s="18"/>
      <c r="K688" s="18"/>
      <c r="L688" s="18"/>
      <c r="M688" s="18"/>
      <c r="N688" s="109"/>
      <c r="O688" s="18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>
      <c r="A689" s="1"/>
      <c r="B689" s="1"/>
      <c r="C689" s="18"/>
      <c r="D689" s="47"/>
      <c r="E689" s="18"/>
      <c r="F689" s="18"/>
      <c r="G689" s="18"/>
      <c r="H689" s="18"/>
      <c r="I689" s="25"/>
      <c r="J689" s="18"/>
      <c r="K689" s="18"/>
      <c r="L689" s="18"/>
      <c r="M689" s="18"/>
      <c r="N689" s="109"/>
      <c r="O689" s="18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>
      <c r="A690" s="1"/>
      <c r="B690" s="1"/>
      <c r="C690" s="18"/>
      <c r="D690" s="47"/>
      <c r="E690" s="18"/>
      <c r="F690" s="18"/>
      <c r="G690" s="18"/>
      <c r="H690" s="18"/>
      <c r="I690" s="25"/>
      <c r="J690" s="18"/>
      <c r="K690" s="18"/>
      <c r="L690" s="18"/>
      <c r="M690" s="18"/>
      <c r="N690" s="109"/>
      <c r="O690" s="18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>
      <c r="A691" s="1"/>
      <c r="B691" s="1"/>
      <c r="C691" s="18"/>
      <c r="D691" s="47"/>
      <c r="E691" s="18"/>
      <c r="F691" s="18"/>
      <c r="G691" s="18"/>
      <c r="H691" s="18"/>
      <c r="I691" s="25"/>
      <c r="J691" s="18"/>
      <c r="K691" s="18"/>
      <c r="L691" s="18"/>
      <c r="M691" s="18"/>
      <c r="N691" s="109"/>
      <c r="O691" s="18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>
      <c r="A692" s="1"/>
      <c r="B692" s="1"/>
      <c r="C692" s="18"/>
      <c r="D692" s="47"/>
      <c r="E692" s="18"/>
      <c r="F692" s="18"/>
      <c r="G692" s="18"/>
      <c r="H692" s="18"/>
      <c r="I692" s="25"/>
      <c r="J692" s="18"/>
      <c r="K692" s="18"/>
      <c r="L692" s="18"/>
      <c r="M692" s="18"/>
      <c r="N692" s="109"/>
      <c r="O692" s="18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>
      <c r="A693" s="1"/>
      <c r="B693" s="1"/>
      <c r="C693" s="18"/>
      <c r="D693" s="47"/>
      <c r="E693" s="18"/>
      <c r="F693" s="18"/>
      <c r="G693" s="18"/>
      <c r="H693" s="18"/>
      <c r="I693" s="25"/>
      <c r="J693" s="18"/>
      <c r="K693" s="18"/>
      <c r="L693" s="18"/>
      <c r="M693" s="18"/>
      <c r="N693" s="109"/>
      <c r="O693" s="18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>
      <c r="A694" s="1"/>
      <c r="B694" s="1"/>
      <c r="C694" s="18"/>
      <c r="D694" s="47"/>
      <c r="E694" s="18"/>
      <c r="F694" s="18"/>
      <c r="G694" s="18"/>
      <c r="H694" s="18"/>
      <c r="I694" s="25"/>
      <c r="J694" s="18"/>
      <c r="K694" s="18"/>
      <c r="L694" s="18"/>
      <c r="M694" s="18"/>
      <c r="N694" s="109"/>
      <c r="O694" s="18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>
      <c r="A695" s="1"/>
      <c r="B695" s="1"/>
      <c r="C695" s="18"/>
      <c r="D695" s="47"/>
      <c r="E695" s="18"/>
      <c r="F695" s="18"/>
      <c r="G695" s="18"/>
      <c r="H695" s="18"/>
      <c r="I695" s="25"/>
      <c r="J695" s="18"/>
      <c r="K695" s="18"/>
      <c r="L695" s="18"/>
      <c r="M695" s="18"/>
      <c r="N695" s="109"/>
      <c r="O695" s="18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>
      <c r="A696" s="1"/>
      <c r="B696" s="1"/>
      <c r="C696" s="18"/>
      <c r="D696" s="47"/>
      <c r="E696" s="18"/>
      <c r="F696" s="18"/>
      <c r="G696" s="18"/>
      <c r="H696" s="18"/>
      <c r="I696" s="25"/>
      <c r="J696" s="18"/>
      <c r="K696" s="18"/>
      <c r="L696" s="18"/>
      <c r="M696" s="18"/>
      <c r="N696" s="109"/>
      <c r="O696" s="18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>
      <c r="A697" s="1"/>
      <c r="B697" s="1"/>
      <c r="C697" s="18"/>
      <c r="D697" s="47"/>
      <c r="E697" s="18"/>
      <c r="F697" s="18"/>
      <c r="G697" s="18"/>
      <c r="H697" s="18"/>
      <c r="I697" s="25"/>
      <c r="J697" s="18"/>
      <c r="K697" s="18"/>
      <c r="L697" s="18"/>
      <c r="M697" s="18"/>
      <c r="N697" s="109"/>
      <c r="O697" s="18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>
      <c r="A698" s="1"/>
      <c r="B698" s="1"/>
      <c r="C698" s="18"/>
      <c r="D698" s="47"/>
      <c r="E698" s="18"/>
      <c r="F698" s="18"/>
      <c r="G698" s="18"/>
      <c r="H698" s="18"/>
      <c r="I698" s="25"/>
      <c r="J698" s="18"/>
      <c r="K698" s="18"/>
      <c r="L698" s="18"/>
      <c r="M698" s="18"/>
      <c r="N698" s="109"/>
      <c r="O698" s="18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>
      <c r="A699" s="1"/>
      <c r="B699" s="1"/>
      <c r="C699" s="18"/>
      <c r="D699" s="47"/>
      <c r="E699" s="18"/>
      <c r="F699" s="18"/>
      <c r="G699" s="18"/>
      <c r="H699" s="18"/>
      <c r="I699" s="25"/>
      <c r="J699" s="18"/>
      <c r="K699" s="18"/>
      <c r="L699" s="18"/>
      <c r="M699" s="18"/>
      <c r="N699" s="109"/>
      <c r="O699" s="18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>
      <c r="A700" s="1"/>
      <c r="B700" s="1"/>
      <c r="C700" s="18"/>
      <c r="D700" s="47"/>
      <c r="E700" s="18"/>
      <c r="F700" s="18"/>
      <c r="G700" s="18"/>
      <c r="H700" s="18"/>
      <c r="I700" s="25"/>
      <c r="J700" s="18"/>
      <c r="K700" s="18"/>
      <c r="L700" s="18"/>
      <c r="M700" s="18"/>
      <c r="N700" s="109"/>
      <c r="O700" s="18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>
      <c r="A701" s="1"/>
      <c r="B701" s="1"/>
      <c r="C701" s="18"/>
      <c r="D701" s="47"/>
      <c r="E701" s="18"/>
      <c r="F701" s="18"/>
      <c r="G701" s="18"/>
      <c r="H701" s="18"/>
      <c r="I701" s="25"/>
      <c r="J701" s="18"/>
      <c r="K701" s="18"/>
      <c r="L701" s="18"/>
      <c r="M701" s="18"/>
      <c r="N701" s="109"/>
      <c r="O701" s="18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>
      <c r="A702" s="1"/>
      <c r="B702" s="1"/>
      <c r="C702" s="18"/>
      <c r="D702" s="47"/>
      <c r="E702" s="18"/>
      <c r="F702" s="18"/>
      <c r="G702" s="18"/>
      <c r="H702" s="18"/>
      <c r="I702" s="25"/>
      <c r="J702" s="18"/>
      <c r="K702" s="18"/>
      <c r="L702" s="18"/>
      <c r="M702" s="18"/>
      <c r="N702" s="109"/>
      <c r="O702" s="18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>
      <c r="A703" s="1"/>
      <c r="B703" s="1"/>
      <c r="C703" s="18"/>
      <c r="D703" s="47"/>
      <c r="E703" s="18"/>
      <c r="F703" s="18"/>
      <c r="G703" s="18"/>
      <c r="H703" s="18"/>
      <c r="I703" s="25"/>
      <c r="J703" s="18"/>
      <c r="K703" s="18"/>
      <c r="L703" s="18"/>
      <c r="M703" s="18"/>
      <c r="N703" s="109"/>
      <c r="O703" s="18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>
      <c r="A704" s="1"/>
      <c r="B704" s="1"/>
      <c r="C704" s="18"/>
      <c r="D704" s="47"/>
      <c r="E704" s="18"/>
      <c r="F704" s="18"/>
      <c r="G704" s="18"/>
      <c r="H704" s="18"/>
      <c r="I704" s="25"/>
      <c r="J704" s="18"/>
      <c r="K704" s="18"/>
      <c r="L704" s="18"/>
      <c r="M704" s="18"/>
      <c r="N704" s="109"/>
      <c r="O704" s="18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>
      <c r="A705" s="1"/>
      <c r="B705" s="1"/>
      <c r="C705" s="18"/>
      <c r="D705" s="47"/>
      <c r="E705" s="18"/>
      <c r="F705" s="18"/>
      <c r="G705" s="18"/>
      <c r="H705" s="18"/>
      <c r="I705" s="25"/>
      <c r="J705" s="18"/>
      <c r="K705" s="18"/>
      <c r="L705" s="18"/>
      <c r="M705" s="18"/>
      <c r="N705" s="109"/>
      <c r="O705" s="18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>
      <c r="A706" s="1"/>
      <c r="B706" s="1"/>
      <c r="C706" s="18"/>
      <c r="D706" s="47"/>
      <c r="E706" s="18"/>
      <c r="F706" s="18"/>
      <c r="G706" s="18"/>
      <c r="H706" s="18"/>
      <c r="I706" s="25"/>
      <c r="J706" s="18"/>
      <c r="K706" s="18"/>
      <c r="L706" s="18"/>
      <c r="M706" s="18"/>
      <c r="N706" s="109"/>
      <c r="O706" s="18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>
      <c r="A707" s="1"/>
      <c r="B707" s="1"/>
      <c r="C707" s="18"/>
      <c r="D707" s="47"/>
      <c r="E707" s="18"/>
      <c r="F707" s="18"/>
      <c r="G707" s="18"/>
      <c r="H707" s="18"/>
      <c r="I707" s="25"/>
      <c r="J707" s="18"/>
      <c r="K707" s="18"/>
      <c r="L707" s="18"/>
      <c r="M707" s="18"/>
      <c r="N707" s="109"/>
      <c r="O707" s="18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>
      <c r="A708" s="1"/>
      <c r="B708" s="1"/>
      <c r="C708" s="18"/>
      <c r="D708" s="47"/>
      <c r="E708" s="18"/>
      <c r="F708" s="18"/>
      <c r="G708" s="18"/>
      <c r="H708" s="18"/>
      <c r="I708" s="25"/>
      <c r="J708" s="18"/>
      <c r="K708" s="18"/>
      <c r="L708" s="18"/>
      <c r="M708" s="18"/>
      <c r="N708" s="109"/>
      <c r="O708" s="18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>
      <c r="A709" s="1"/>
      <c r="B709" s="1"/>
      <c r="C709" s="18"/>
      <c r="D709" s="47"/>
      <c r="E709" s="18"/>
      <c r="F709" s="18"/>
      <c r="G709" s="18"/>
      <c r="H709" s="18"/>
      <c r="I709" s="25"/>
      <c r="J709" s="18"/>
      <c r="K709" s="18"/>
      <c r="L709" s="18"/>
      <c r="M709" s="18"/>
      <c r="N709" s="109"/>
      <c r="O709" s="18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>
      <c r="A710" s="1"/>
      <c r="B710" s="1"/>
      <c r="C710" s="18"/>
      <c r="D710" s="47"/>
      <c r="E710" s="18"/>
      <c r="F710" s="18"/>
      <c r="G710" s="18"/>
      <c r="H710" s="18"/>
      <c r="I710" s="25"/>
      <c r="J710" s="18"/>
      <c r="K710" s="18"/>
      <c r="L710" s="18"/>
      <c r="M710" s="18"/>
      <c r="N710" s="109"/>
      <c r="O710" s="18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>
      <c r="A711" s="1"/>
      <c r="B711" s="1"/>
      <c r="C711" s="18"/>
      <c r="D711" s="47"/>
      <c r="E711" s="18"/>
      <c r="F711" s="18"/>
      <c r="G711" s="18"/>
      <c r="H711" s="18"/>
      <c r="I711" s="25"/>
      <c r="J711" s="18"/>
      <c r="K711" s="18"/>
      <c r="L711" s="18"/>
      <c r="M711" s="18"/>
      <c r="N711" s="109"/>
      <c r="O711" s="18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>
      <c r="A712" s="1"/>
      <c r="B712" s="1"/>
      <c r="C712" s="18"/>
      <c r="D712" s="47"/>
      <c r="E712" s="18"/>
      <c r="F712" s="18"/>
      <c r="G712" s="18"/>
      <c r="H712" s="18"/>
      <c r="I712" s="25"/>
      <c r="J712" s="18"/>
      <c r="K712" s="18"/>
      <c r="L712" s="18"/>
      <c r="M712" s="18"/>
      <c r="N712" s="109"/>
      <c r="O712" s="18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>
      <c r="A713" s="1"/>
      <c r="B713" s="1"/>
      <c r="C713" s="18"/>
      <c r="D713" s="47"/>
      <c r="E713" s="18"/>
      <c r="F713" s="18"/>
      <c r="G713" s="18"/>
      <c r="H713" s="18"/>
      <c r="I713" s="25"/>
      <c r="J713" s="18"/>
      <c r="K713" s="18"/>
      <c r="L713" s="18"/>
      <c r="M713" s="18"/>
      <c r="N713" s="109"/>
      <c r="O713" s="18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>
      <c r="A714" s="1"/>
      <c r="B714" s="1"/>
      <c r="C714" s="18"/>
      <c r="D714" s="47"/>
      <c r="E714" s="18"/>
      <c r="F714" s="18"/>
      <c r="G714" s="18"/>
      <c r="H714" s="18"/>
      <c r="I714" s="25"/>
      <c r="J714" s="18"/>
      <c r="K714" s="18"/>
      <c r="L714" s="18"/>
      <c r="M714" s="18"/>
      <c r="N714" s="109"/>
      <c r="O714" s="18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>
      <c r="A715" s="1"/>
      <c r="B715" s="1"/>
      <c r="C715" s="18"/>
      <c r="D715" s="47"/>
      <c r="E715" s="18"/>
      <c r="F715" s="18"/>
      <c r="G715" s="18"/>
      <c r="H715" s="18"/>
      <c r="I715" s="25"/>
      <c r="J715" s="18"/>
      <c r="K715" s="18"/>
      <c r="L715" s="18"/>
      <c r="M715" s="18"/>
      <c r="N715" s="109"/>
      <c r="O715" s="18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>
      <c r="A716" s="1"/>
      <c r="B716" s="1"/>
      <c r="C716" s="18"/>
      <c r="D716" s="47"/>
      <c r="E716" s="18"/>
      <c r="F716" s="18"/>
      <c r="G716" s="18"/>
      <c r="H716" s="18"/>
      <c r="I716" s="25"/>
      <c r="J716" s="18"/>
      <c r="K716" s="18"/>
      <c r="L716" s="18"/>
      <c r="M716" s="18"/>
      <c r="N716" s="109"/>
      <c r="O716" s="18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>
      <c r="A717" s="1"/>
      <c r="B717" s="1"/>
      <c r="C717" s="18"/>
      <c r="D717" s="47"/>
      <c r="E717" s="18"/>
      <c r="F717" s="18"/>
      <c r="G717" s="18"/>
      <c r="H717" s="18"/>
      <c r="I717" s="25"/>
      <c r="J717" s="18"/>
      <c r="K717" s="18"/>
      <c r="L717" s="18"/>
      <c r="M717" s="18"/>
      <c r="N717" s="109"/>
      <c r="O717" s="18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>
      <c r="A718" s="1"/>
      <c r="B718" s="1"/>
      <c r="C718" s="18"/>
      <c r="D718" s="47"/>
      <c r="E718" s="18"/>
      <c r="F718" s="18"/>
      <c r="G718" s="18"/>
      <c r="H718" s="18"/>
      <c r="I718" s="25"/>
      <c r="J718" s="18"/>
      <c r="K718" s="18"/>
      <c r="L718" s="18"/>
      <c r="M718" s="18"/>
      <c r="N718" s="109"/>
      <c r="O718" s="18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>
      <c r="A719" s="1"/>
      <c r="B719" s="1"/>
      <c r="C719" s="18"/>
      <c r="D719" s="47"/>
      <c r="E719" s="18"/>
      <c r="F719" s="18"/>
      <c r="G719" s="18"/>
      <c r="H719" s="18"/>
      <c r="I719" s="25"/>
      <c r="J719" s="18"/>
      <c r="K719" s="18"/>
      <c r="L719" s="18"/>
      <c r="M719" s="18"/>
      <c r="N719" s="109"/>
      <c r="O719" s="18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>
      <c r="A720" s="1"/>
      <c r="B720" s="1"/>
      <c r="C720" s="18"/>
      <c r="D720" s="47"/>
      <c r="E720" s="18"/>
      <c r="F720" s="18"/>
      <c r="G720" s="18"/>
      <c r="H720" s="18"/>
      <c r="I720" s="25"/>
      <c r="J720" s="18"/>
      <c r="K720" s="18"/>
      <c r="L720" s="18"/>
      <c r="M720" s="18"/>
      <c r="N720" s="109"/>
      <c r="O720" s="18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>
      <c r="A721" s="1"/>
      <c r="B721" s="1"/>
      <c r="C721" s="18"/>
      <c r="D721" s="47"/>
      <c r="E721" s="18"/>
      <c r="F721" s="18"/>
      <c r="G721" s="18"/>
      <c r="H721" s="18"/>
      <c r="I721" s="25"/>
      <c r="J721" s="18"/>
      <c r="K721" s="18"/>
      <c r="L721" s="18"/>
      <c r="M721" s="18"/>
      <c r="N721" s="109"/>
      <c r="O721" s="18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>
      <c r="A722" s="1"/>
      <c r="B722" s="1"/>
      <c r="C722" s="18"/>
      <c r="D722" s="47"/>
      <c r="E722" s="18"/>
      <c r="F722" s="18"/>
      <c r="G722" s="18"/>
      <c r="H722" s="18"/>
      <c r="I722" s="25"/>
      <c r="J722" s="18"/>
      <c r="K722" s="18"/>
      <c r="L722" s="18"/>
      <c r="M722" s="18"/>
      <c r="N722" s="109"/>
      <c r="O722" s="18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>
      <c r="A723" s="1"/>
      <c r="B723" s="1"/>
      <c r="C723" s="18"/>
      <c r="D723" s="47"/>
      <c r="E723" s="18"/>
      <c r="F723" s="18"/>
      <c r="G723" s="18"/>
      <c r="H723" s="18"/>
      <c r="I723" s="25"/>
      <c r="J723" s="18"/>
      <c r="K723" s="18"/>
      <c r="L723" s="18"/>
      <c r="M723" s="18"/>
      <c r="N723" s="109"/>
      <c r="O723" s="18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>
      <c r="A724" s="1"/>
      <c r="B724" s="1"/>
      <c r="C724" s="18"/>
      <c r="D724" s="47"/>
      <c r="E724" s="18"/>
      <c r="F724" s="18"/>
      <c r="G724" s="18"/>
      <c r="H724" s="18"/>
      <c r="I724" s="25"/>
      <c r="J724" s="18"/>
      <c r="K724" s="18"/>
      <c r="L724" s="18"/>
      <c r="M724" s="18"/>
      <c r="N724" s="109"/>
      <c r="O724" s="18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>
      <c r="A725" s="1"/>
      <c r="B725" s="1"/>
      <c r="C725" s="18"/>
      <c r="D725" s="47"/>
      <c r="E725" s="18"/>
      <c r="F725" s="18"/>
      <c r="G725" s="18"/>
      <c r="H725" s="18"/>
      <c r="I725" s="25"/>
      <c r="J725" s="18"/>
      <c r="K725" s="18"/>
      <c r="L725" s="18"/>
      <c r="M725" s="18"/>
      <c r="N725" s="109"/>
      <c r="O725" s="18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>
      <c r="A726" s="1"/>
      <c r="B726" s="1"/>
      <c r="C726" s="18"/>
      <c r="D726" s="47"/>
      <c r="E726" s="18"/>
      <c r="F726" s="18"/>
      <c r="G726" s="18"/>
      <c r="H726" s="18"/>
      <c r="I726" s="25"/>
      <c r="J726" s="18"/>
      <c r="K726" s="18"/>
      <c r="L726" s="18"/>
      <c r="M726" s="18"/>
      <c r="N726" s="109"/>
      <c r="O726" s="18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>
      <c r="A727" s="1"/>
      <c r="B727" s="1"/>
      <c r="C727" s="18"/>
      <c r="D727" s="47"/>
      <c r="E727" s="18"/>
      <c r="F727" s="18"/>
      <c r="G727" s="18"/>
      <c r="H727" s="18"/>
      <c r="I727" s="25"/>
      <c r="J727" s="18"/>
      <c r="K727" s="18"/>
      <c r="L727" s="18"/>
      <c r="M727" s="18"/>
      <c r="N727" s="109"/>
      <c r="O727" s="18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>
      <c r="A728" s="1"/>
      <c r="B728" s="1"/>
      <c r="C728" s="18"/>
      <c r="D728" s="47"/>
      <c r="E728" s="18"/>
      <c r="F728" s="18"/>
      <c r="G728" s="18"/>
      <c r="H728" s="18"/>
      <c r="I728" s="25"/>
      <c r="J728" s="18"/>
      <c r="K728" s="18"/>
      <c r="L728" s="18"/>
      <c r="M728" s="18"/>
      <c r="N728" s="109"/>
      <c r="O728" s="18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>
      <c r="A729" s="1"/>
      <c r="B729" s="1"/>
      <c r="C729" s="18"/>
      <c r="D729" s="47"/>
      <c r="E729" s="18"/>
      <c r="F729" s="18"/>
      <c r="G729" s="18"/>
      <c r="H729" s="18"/>
      <c r="I729" s="25"/>
      <c r="J729" s="18"/>
      <c r="K729" s="18"/>
      <c r="L729" s="18"/>
      <c r="M729" s="18"/>
      <c r="N729" s="109"/>
      <c r="O729" s="18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>
      <c r="A730" s="1"/>
      <c r="B730" s="1"/>
      <c r="C730" s="18"/>
      <c r="D730" s="47"/>
      <c r="E730" s="18"/>
      <c r="F730" s="18"/>
      <c r="G730" s="18"/>
      <c r="H730" s="18"/>
      <c r="I730" s="25"/>
      <c r="J730" s="18"/>
      <c r="K730" s="18"/>
      <c r="L730" s="18"/>
      <c r="M730" s="18"/>
      <c r="N730" s="109"/>
      <c r="O730" s="18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>
      <c r="A731" s="1"/>
      <c r="B731" s="1"/>
      <c r="C731" s="18"/>
      <c r="D731" s="47"/>
      <c r="E731" s="18"/>
      <c r="F731" s="18"/>
      <c r="G731" s="18"/>
      <c r="H731" s="18"/>
      <c r="I731" s="25"/>
      <c r="J731" s="18"/>
      <c r="K731" s="18"/>
      <c r="L731" s="18"/>
      <c r="M731" s="18"/>
      <c r="N731" s="109"/>
      <c r="O731" s="18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>
      <c r="A732" s="1"/>
      <c r="B732" s="1"/>
      <c r="C732" s="18"/>
      <c r="D732" s="47"/>
      <c r="E732" s="18"/>
      <c r="F732" s="18"/>
      <c r="G732" s="18"/>
      <c r="H732" s="18"/>
      <c r="I732" s="25"/>
      <c r="J732" s="18"/>
      <c r="K732" s="18"/>
      <c r="L732" s="18"/>
      <c r="M732" s="18"/>
      <c r="N732" s="109"/>
      <c r="O732" s="18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>
      <c r="A733" s="1"/>
      <c r="B733" s="1"/>
      <c r="C733" s="18"/>
      <c r="D733" s="47"/>
      <c r="E733" s="18"/>
      <c r="F733" s="18"/>
      <c r="G733" s="18"/>
      <c r="H733" s="18"/>
      <c r="I733" s="25"/>
      <c r="J733" s="18"/>
      <c r="K733" s="18"/>
      <c r="L733" s="18"/>
      <c r="M733" s="18"/>
      <c r="N733" s="109"/>
      <c r="O733" s="18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>
      <c r="A734" s="1"/>
      <c r="B734" s="1"/>
      <c r="C734" s="18"/>
      <c r="D734" s="47"/>
      <c r="E734" s="18"/>
      <c r="F734" s="18"/>
      <c r="G734" s="18"/>
      <c r="H734" s="18"/>
      <c r="I734" s="25"/>
      <c r="J734" s="18"/>
      <c r="K734" s="18"/>
      <c r="L734" s="18"/>
      <c r="M734" s="18"/>
      <c r="N734" s="109"/>
      <c r="O734" s="18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>
      <c r="A735" s="1"/>
      <c r="B735" s="1"/>
      <c r="C735" s="18"/>
      <c r="D735" s="47"/>
      <c r="E735" s="18"/>
      <c r="F735" s="18"/>
      <c r="G735" s="18"/>
      <c r="H735" s="18"/>
      <c r="I735" s="25"/>
      <c r="J735" s="18"/>
      <c r="K735" s="18"/>
      <c r="L735" s="18"/>
      <c r="M735" s="18"/>
      <c r="N735" s="109"/>
      <c r="O735" s="18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>
      <c r="A736" s="1"/>
      <c r="B736" s="1"/>
      <c r="C736" s="18"/>
      <c r="D736" s="47"/>
      <c r="E736" s="18"/>
      <c r="F736" s="18"/>
      <c r="G736" s="18"/>
      <c r="H736" s="18"/>
      <c r="I736" s="25"/>
      <c r="J736" s="18"/>
      <c r="K736" s="18"/>
      <c r="L736" s="18"/>
      <c r="M736" s="18"/>
      <c r="N736" s="109"/>
      <c r="O736" s="18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>
      <c r="A737" s="1"/>
      <c r="B737" s="1"/>
      <c r="C737" s="18"/>
      <c r="D737" s="47"/>
      <c r="E737" s="18"/>
      <c r="F737" s="18"/>
      <c r="G737" s="18"/>
      <c r="H737" s="18"/>
      <c r="I737" s="25"/>
      <c r="J737" s="18"/>
      <c r="K737" s="18"/>
      <c r="L737" s="18"/>
      <c r="M737" s="18"/>
      <c r="N737" s="109"/>
      <c r="O737" s="18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>
      <c r="A738" s="1"/>
      <c r="B738" s="1"/>
      <c r="C738" s="18"/>
      <c r="D738" s="47"/>
      <c r="E738" s="18"/>
      <c r="F738" s="18"/>
      <c r="G738" s="18"/>
      <c r="H738" s="18"/>
      <c r="I738" s="25"/>
      <c r="J738" s="18"/>
      <c r="K738" s="18"/>
      <c r="L738" s="18"/>
      <c r="M738" s="18"/>
      <c r="N738" s="109"/>
      <c r="O738" s="18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>
      <c r="A739" s="1"/>
      <c r="B739" s="1"/>
      <c r="C739" s="18"/>
      <c r="D739" s="47"/>
      <c r="E739" s="18"/>
      <c r="F739" s="18"/>
      <c r="G739" s="18"/>
      <c r="H739" s="18"/>
      <c r="I739" s="25"/>
      <c r="J739" s="18"/>
      <c r="K739" s="18"/>
      <c r="L739" s="18"/>
      <c r="M739" s="18"/>
      <c r="N739" s="109"/>
      <c r="O739" s="18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>
      <c r="A740" s="1"/>
      <c r="B740" s="1"/>
      <c r="C740" s="18"/>
      <c r="D740" s="47"/>
      <c r="E740" s="18"/>
      <c r="F740" s="18"/>
      <c r="G740" s="18"/>
      <c r="H740" s="18"/>
      <c r="I740" s="25"/>
      <c r="J740" s="18"/>
      <c r="K740" s="18"/>
      <c r="L740" s="18"/>
      <c r="M740" s="18"/>
      <c r="N740" s="109"/>
      <c r="O740" s="18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>
      <c r="A741" s="1"/>
      <c r="B741" s="1"/>
      <c r="C741" s="18"/>
      <c r="D741" s="47"/>
      <c r="E741" s="18"/>
      <c r="F741" s="18"/>
      <c r="G741" s="18"/>
      <c r="H741" s="18"/>
      <c r="I741" s="25"/>
      <c r="J741" s="18"/>
      <c r="K741" s="18"/>
      <c r="L741" s="18"/>
      <c r="M741" s="18"/>
      <c r="N741" s="109"/>
      <c r="O741" s="18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>
      <c r="A742" s="1"/>
      <c r="B742" s="1"/>
      <c r="C742" s="18"/>
      <c r="D742" s="47"/>
      <c r="E742" s="18"/>
      <c r="F742" s="18"/>
      <c r="G742" s="18"/>
      <c r="H742" s="18"/>
      <c r="I742" s="25"/>
      <c r="J742" s="18"/>
      <c r="K742" s="18"/>
      <c r="L742" s="18"/>
      <c r="M742" s="18"/>
      <c r="N742" s="109"/>
      <c r="O742" s="18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>
      <c r="A743" s="1"/>
      <c r="B743" s="1"/>
      <c r="C743" s="18"/>
      <c r="D743" s="47"/>
      <c r="E743" s="18"/>
      <c r="F743" s="18"/>
      <c r="G743" s="18"/>
      <c r="H743" s="18"/>
      <c r="I743" s="25"/>
      <c r="J743" s="18"/>
      <c r="K743" s="18"/>
      <c r="L743" s="18"/>
      <c r="M743" s="18"/>
      <c r="N743" s="109"/>
      <c r="O743" s="18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>
      <c r="A744" s="1"/>
      <c r="B744" s="1"/>
      <c r="C744" s="18"/>
      <c r="D744" s="47"/>
      <c r="E744" s="18"/>
      <c r="F744" s="18"/>
      <c r="G744" s="18"/>
      <c r="H744" s="18"/>
      <c r="I744" s="25"/>
      <c r="J744" s="18"/>
      <c r="K744" s="18"/>
      <c r="L744" s="18"/>
      <c r="M744" s="18"/>
      <c r="N744" s="109"/>
      <c r="O744" s="18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>
      <c r="A745" s="1"/>
      <c r="B745" s="1"/>
      <c r="C745" s="18"/>
      <c r="D745" s="47"/>
      <c r="E745" s="18"/>
      <c r="F745" s="18"/>
      <c r="G745" s="18"/>
      <c r="H745" s="18"/>
      <c r="I745" s="25"/>
      <c r="J745" s="18"/>
      <c r="K745" s="18"/>
      <c r="L745" s="18"/>
      <c r="M745" s="18"/>
      <c r="N745" s="109"/>
      <c r="O745" s="18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>
      <c r="A746" s="1"/>
      <c r="B746" s="1"/>
      <c r="C746" s="18"/>
      <c r="D746" s="47"/>
      <c r="E746" s="18"/>
      <c r="F746" s="18"/>
      <c r="G746" s="18"/>
      <c r="H746" s="18"/>
      <c r="I746" s="25"/>
      <c r="J746" s="18"/>
      <c r="K746" s="18"/>
      <c r="L746" s="18"/>
      <c r="M746" s="18"/>
      <c r="N746" s="109"/>
      <c r="O746" s="18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>
      <c r="A747" s="1"/>
      <c r="B747" s="1"/>
      <c r="C747" s="18"/>
      <c r="D747" s="47"/>
      <c r="E747" s="18"/>
      <c r="F747" s="18"/>
      <c r="G747" s="18"/>
      <c r="H747" s="18"/>
      <c r="I747" s="25"/>
      <c r="J747" s="18"/>
      <c r="K747" s="18"/>
      <c r="L747" s="18"/>
      <c r="M747" s="18"/>
      <c r="N747" s="109"/>
      <c r="O747" s="18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>
      <c r="A748" s="1"/>
      <c r="B748" s="1"/>
      <c r="C748" s="18"/>
      <c r="D748" s="47"/>
      <c r="E748" s="18"/>
      <c r="F748" s="18"/>
      <c r="G748" s="18"/>
      <c r="H748" s="18"/>
      <c r="I748" s="25"/>
      <c r="J748" s="18"/>
      <c r="K748" s="18"/>
      <c r="L748" s="18"/>
      <c r="M748" s="18"/>
      <c r="N748" s="109"/>
      <c r="O748" s="18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>
      <c r="A749" s="1"/>
      <c r="B749" s="1"/>
      <c r="C749" s="18"/>
      <c r="D749" s="47"/>
      <c r="E749" s="18"/>
      <c r="F749" s="18"/>
      <c r="G749" s="18"/>
      <c r="H749" s="18"/>
      <c r="I749" s="25"/>
      <c r="J749" s="18"/>
      <c r="K749" s="18"/>
      <c r="L749" s="18"/>
      <c r="M749" s="18"/>
      <c r="N749" s="109"/>
      <c r="O749" s="18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>
      <c r="A750" s="1"/>
      <c r="B750" s="1"/>
      <c r="C750" s="18"/>
      <c r="D750" s="47"/>
      <c r="E750" s="18"/>
      <c r="F750" s="18"/>
      <c r="G750" s="18"/>
      <c r="H750" s="18"/>
      <c r="I750" s="25"/>
      <c r="J750" s="18"/>
      <c r="K750" s="18"/>
      <c r="L750" s="18"/>
      <c r="M750" s="18"/>
      <c r="N750" s="109"/>
      <c r="O750" s="18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>
      <c r="A751" s="1"/>
      <c r="B751" s="1"/>
      <c r="C751" s="18"/>
      <c r="D751" s="47"/>
      <c r="E751" s="18"/>
      <c r="F751" s="18"/>
      <c r="G751" s="18"/>
      <c r="H751" s="18"/>
      <c r="I751" s="25"/>
      <c r="J751" s="18"/>
      <c r="K751" s="18"/>
      <c r="L751" s="18"/>
      <c r="M751" s="18"/>
      <c r="N751" s="109"/>
      <c r="O751" s="18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>
      <c r="A752" s="1"/>
      <c r="B752" s="1"/>
      <c r="C752" s="18"/>
      <c r="D752" s="47"/>
      <c r="E752" s="18"/>
      <c r="F752" s="18"/>
      <c r="G752" s="18"/>
      <c r="H752" s="18"/>
      <c r="I752" s="25"/>
      <c r="J752" s="18"/>
      <c r="K752" s="18"/>
      <c r="L752" s="18"/>
      <c r="M752" s="18"/>
      <c r="N752" s="109"/>
      <c r="O752" s="18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>
      <c r="A753" s="1"/>
      <c r="B753" s="1"/>
      <c r="C753" s="18"/>
      <c r="D753" s="47"/>
      <c r="E753" s="18"/>
      <c r="F753" s="18"/>
      <c r="G753" s="18"/>
      <c r="H753" s="18"/>
      <c r="I753" s="25"/>
      <c r="J753" s="18"/>
      <c r="K753" s="18"/>
      <c r="L753" s="18"/>
      <c r="M753" s="18"/>
      <c r="N753" s="109"/>
      <c r="O753" s="18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>
      <c r="A754" s="1"/>
      <c r="B754" s="1"/>
      <c r="C754" s="18"/>
      <c r="D754" s="47"/>
      <c r="E754" s="18"/>
      <c r="F754" s="18"/>
      <c r="G754" s="18"/>
      <c r="H754" s="18"/>
      <c r="I754" s="25"/>
      <c r="J754" s="18"/>
      <c r="K754" s="18"/>
      <c r="L754" s="18"/>
      <c r="M754" s="18"/>
      <c r="N754" s="109"/>
      <c r="O754" s="18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>
      <c r="A755" s="1"/>
      <c r="B755" s="1"/>
      <c r="C755" s="18"/>
      <c r="D755" s="47"/>
      <c r="E755" s="18"/>
      <c r="F755" s="18"/>
      <c r="G755" s="18"/>
      <c r="H755" s="18"/>
      <c r="I755" s="25"/>
      <c r="J755" s="18"/>
      <c r="K755" s="18"/>
      <c r="L755" s="18"/>
      <c r="M755" s="18"/>
      <c r="N755" s="109"/>
      <c r="O755" s="18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>
      <c r="A756" s="1"/>
      <c r="B756" s="1"/>
      <c r="C756" s="18"/>
      <c r="D756" s="47"/>
      <c r="E756" s="18"/>
      <c r="F756" s="18"/>
      <c r="G756" s="18"/>
      <c r="H756" s="18"/>
      <c r="I756" s="25"/>
      <c r="J756" s="18"/>
      <c r="K756" s="18"/>
      <c r="L756" s="18"/>
      <c r="M756" s="18"/>
      <c r="N756" s="109"/>
      <c r="O756" s="18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>
      <c r="A757" s="1"/>
      <c r="B757" s="1"/>
      <c r="C757" s="18"/>
      <c r="D757" s="47"/>
      <c r="E757" s="18"/>
      <c r="F757" s="18"/>
      <c r="G757" s="18"/>
      <c r="H757" s="18"/>
      <c r="I757" s="25"/>
      <c r="J757" s="18"/>
      <c r="K757" s="18"/>
      <c r="L757" s="18"/>
      <c r="M757" s="18"/>
      <c r="N757" s="109"/>
      <c r="O757" s="18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>
      <c r="A758" s="1"/>
      <c r="B758" s="1"/>
      <c r="C758" s="18"/>
      <c r="D758" s="47"/>
      <c r="E758" s="18"/>
      <c r="F758" s="18"/>
      <c r="G758" s="18"/>
      <c r="H758" s="18"/>
      <c r="I758" s="25"/>
      <c r="J758" s="18"/>
      <c r="K758" s="18"/>
      <c r="L758" s="18"/>
      <c r="M758" s="18"/>
      <c r="N758" s="109"/>
      <c r="O758" s="18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>
      <c r="A759" s="1"/>
      <c r="B759" s="1"/>
      <c r="C759" s="18"/>
      <c r="D759" s="47"/>
      <c r="E759" s="18"/>
      <c r="F759" s="18"/>
      <c r="G759" s="18"/>
      <c r="H759" s="18"/>
      <c r="I759" s="25"/>
      <c r="J759" s="18"/>
      <c r="K759" s="18"/>
      <c r="L759" s="18"/>
      <c r="M759" s="18"/>
      <c r="N759" s="109"/>
      <c r="O759" s="18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>
      <c r="A760" s="1"/>
      <c r="B760" s="1"/>
      <c r="C760" s="18"/>
      <c r="D760" s="47"/>
      <c r="E760" s="18"/>
      <c r="F760" s="18"/>
      <c r="G760" s="18"/>
      <c r="H760" s="18"/>
      <c r="I760" s="25"/>
      <c r="J760" s="18"/>
      <c r="K760" s="18"/>
      <c r="L760" s="18"/>
      <c r="M760" s="18"/>
      <c r="N760" s="109"/>
      <c r="O760" s="18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>
      <c r="A761" s="1"/>
      <c r="B761" s="1"/>
      <c r="C761" s="18"/>
      <c r="D761" s="47"/>
      <c r="E761" s="18"/>
      <c r="F761" s="18"/>
      <c r="G761" s="18"/>
      <c r="H761" s="18"/>
      <c r="I761" s="25"/>
      <c r="J761" s="18"/>
      <c r="K761" s="18"/>
      <c r="L761" s="18"/>
      <c r="M761" s="18"/>
      <c r="N761" s="109"/>
      <c r="O761" s="18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>
      <c r="A762" s="1"/>
      <c r="B762" s="1"/>
      <c r="C762" s="18"/>
      <c r="D762" s="47"/>
      <c r="E762" s="18"/>
      <c r="F762" s="18"/>
      <c r="G762" s="18"/>
      <c r="H762" s="18"/>
      <c r="I762" s="25"/>
      <c r="J762" s="18"/>
      <c r="K762" s="18"/>
      <c r="L762" s="18"/>
      <c r="M762" s="18"/>
      <c r="N762" s="109"/>
      <c r="O762" s="18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>
      <c r="A763" s="1"/>
      <c r="B763" s="1"/>
      <c r="C763" s="18"/>
      <c r="D763" s="47"/>
      <c r="E763" s="18"/>
      <c r="F763" s="18"/>
      <c r="G763" s="18"/>
      <c r="H763" s="18"/>
      <c r="I763" s="25"/>
      <c r="J763" s="18"/>
      <c r="K763" s="18"/>
      <c r="L763" s="18"/>
      <c r="M763" s="18"/>
      <c r="N763" s="109"/>
      <c r="O763" s="18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>
      <c r="A764" s="1"/>
      <c r="B764" s="1"/>
      <c r="C764" s="18"/>
      <c r="D764" s="47"/>
      <c r="E764" s="18"/>
      <c r="F764" s="18"/>
      <c r="G764" s="18"/>
      <c r="H764" s="18"/>
      <c r="I764" s="25"/>
      <c r="J764" s="18"/>
      <c r="K764" s="18"/>
      <c r="L764" s="18"/>
      <c r="M764" s="18"/>
      <c r="N764" s="109"/>
      <c r="O764" s="18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>
      <c r="A765" s="1"/>
      <c r="B765" s="1"/>
      <c r="C765" s="18"/>
      <c r="D765" s="47"/>
      <c r="E765" s="18"/>
      <c r="F765" s="18"/>
      <c r="G765" s="18"/>
      <c r="H765" s="18"/>
      <c r="I765" s="25"/>
      <c r="J765" s="18"/>
      <c r="K765" s="18"/>
      <c r="L765" s="18"/>
      <c r="M765" s="18"/>
      <c r="N765" s="109"/>
      <c r="O765" s="18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>
      <c r="A766" s="1"/>
      <c r="B766" s="1"/>
      <c r="C766" s="18"/>
      <c r="D766" s="47"/>
      <c r="E766" s="18"/>
      <c r="F766" s="18"/>
      <c r="G766" s="18"/>
      <c r="H766" s="18"/>
      <c r="I766" s="25"/>
      <c r="J766" s="18"/>
      <c r="K766" s="18"/>
      <c r="L766" s="18"/>
      <c r="M766" s="18"/>
      <c r="N766" s="109"/>
      <c r="O766" s="18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>
      <c r="A767" s="1"/>
      <c r="B767" s="1"/>
      <c r="C767" s="18"/>
      <c r="D767" s="47"/>
      <c r="E767" s="18"/>
      <c r="F767" s="18"/>
      <c r="G767" s="18"/>
      <c r="H767" s="18"/>
      <c r="I767" s="25"/>
      <c r="J767" s="18"/>
      <c r="K767" s="18"/>
      <c r="L767" s="18"/>
      <c r="M767" s="18"/>
      <c r="N767" s="109"/>
      <c r="O767" s="18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>
      <c r="A768" s="1"/>
      <c r="B768" s="1"/>
      <c r="C768" s="18"/>
      <c r="D768" s="47"/>
      <c r="E768" s="18"/>
      <c r="F768" s="18"/>
      <c r="G768" s="18"/>
      <c r="H768" s="18"/>
      <c r="I768" s="25"/>
      <c r="J768" s="18"/>
      <c r="K768" s="18"/>
      <c r="L768" s="18"/>
      <c r="M768" s="18"/>
      <c r="N768" s="109"/>
      <c r="O768" s="18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>
      <c r="A769" s="1"/>
      <c r="B769" s="1"/>
      <c r="C769" s="18"/>
      <c r="D769" s="47"/>
      <c r="E769" s="18"/>
      <c r="F769" s="18"/>
      <c r="G769" s="18"/>
      <c r="H769" s="18"/>
      <c r="I769" s="25"/>
      <c r="J769" s="18"/>
      <c r="K769" s="18"/>
      <c r="L769" s="18"/>
      <c r="M769" s="18"/>
      <c r="N769" s="109"/>
      <c r="O769" s="18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>
      <c r="A770" s="1"/>
      <c r="B770" s="1"/>
      <c r="C770" s="18"/>
      <c r="D770" s="47"/>
      <c r="E770" s="18"/>
      <c r="F770" s="18"/>
      <c r="G770" s="18"/>
      <c r="H770" s="18"/>
      <c r="I770" s="25"/>
      <c r="J770" s="18"/>
      <c r="K770" s="18"/>
      <c r="L770" s="18"/>
      <c r="M770" s="18"/>
      <c r="N770" s="109"/>
      <c r="O770" s="18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>
      <c r="A771" s="1"/>
      <c r="B771" s="1"/>
      <c r="C771" s="18"/>
      <c r="D771" s="47"/>
      <c r="E771" s="18"/>
      <c r="F771" s="18"/>
      <c r="G771" s="18"/>
      <c r="H771" s="18"/>
      <c r="I771" s="25"/>
      <c r="J771" s="18"/>
      <c r="K771" s="18"/>
      <c r="L771" s="18"/>
      <c r="M771" s="18"/>
      <c r="N771" s="109"/>
      <c r="O771" s="18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>
      <c r="A772" s="1"/>
      <c r="B772" s="1"/>
      <c r="C772" s="18"/>
      <c r="D772" s="47"/>
      <c r="E772" s="18"/>
      <c r="F772" s="18"/>
      <c r="G772" s="18"/>
      <c r="H772" s="18"/>
      <c r="I772" s="25"/>
      <c r="J772" s="18"/>
      <c r="K772" s="18"/>
      <c r="L772" s="18"/>
      <c r="M772" s="18"/>
      <c r="N772" s="109"/>
      <c r="O772" s="18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>
      <c r="A773" s="1"/>
      <c r="B773" s="1"/>
      <c r="C773" s="18"/>
      <c r="D773" s="47"/>
      <c r="E773" s="18"/>
      <c r="F773" s="18"/>
      <c r="G773" s="18"/>
      <c r="H773" s="18"/>
      <c r="I773" s="25"/>
      <c r="J773" s="18"/>
      <c r="K773" s="18"/>
      <c r="L773" s="18"/>
      <c r="M773" s="18"/>
      <c r="N773" s="109"/>
      <c r="O773" s="18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>
      <c r="A774" s="1"/>
      <c r="B774" s="1"/>
      <c r="C774" s="18"/>
      <c r="D774" s="47"/>
      <c r="E774" s="18"/>
      <c r="F774" s="18"/>
      <c r="G774" s="18"/>
      <c r="H774" s="18"/>
      <c r="I774" s="25"/>
      <c r="J774" s="18"/>
      <c r="K774" s="18"/>
      <c r="L774" s="18"/>
      <c r="M774" s="18"/>
      <c r="N774" s="109"/>
      <c r="O774" s="18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>
      <c r="A775" s="1"/>
      <c r="B775" s="1"/>
      <c r="C775" s="18"/>
      <c r="D775" s="47"/>
      <c r="E775" s="18"/>
      <c r="F775" s="18"/>
      <c r="G775" s="18"/>
      <c r="H775" s="18"/>
      <c r="I775" s="25"/>
      <c r="J775" s="18"/>
      <c r="K775" s="18"/>
      <c r="L775" s="18"/>
      <c r="M775" s="18"/>
      <c r="N775" s="109"/>
      <c r="O775" s="18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>
      <c r="A776" s="1"/>
      <c r="B776" s="1"/>
      <c r="C776" s="18"/>
      <c r="D776" s="47"/>
      <c r="E776" s="18"/>
      <c r="F776" s="18"/>
      <c r="G776" s="18"/>
      <c r="H776" s="18"/>
      <c r="I776" s="25"/>
      <c r="J776" s="18"/>
      <c r="K776" s="18"/>
      <c r="L776" s="18"/>
      <c r="M776" s="18"/>
      <c r="N776" s="109"/>
      <c r="O776" s="18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>
      <c r="A777" s="1"/>
      <c r="B777" s="1"/>
      <c r="C777" s="18"/>
      <c r="D777" s="47"/>
      <c r="E777" s="18"/>
      <c r="F777" s="18"/>
      <c r="G777" s="18"/>
      <c r="H777" s="18"/>
      <c r="I777" s="25"/>
      <c r="J777" s="18"/>
      <c r="K777" s="18"/>
      <c r="L777" s="18"/>
      <c r="M777" s="18"/>
      <c r="N777" s="109"/>
      <c r="O777" s="18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>
      <c r="A778" s="1"/>
      <c r="B778" s="1"/>
      <c r="C778" s="18"/>
      <c r="D778" s="47"/>
      <c r="E778" s="18"/>
      <c r="F778" s="18"/>
      <c r="G778" s="18"/>
      <c r="H778" s="18"/>
      <c r="I778" s="25"/>
      <c r="J778" s="18"/>
      <c r="K778" s="18"/>
      <c r="L778" s="18"/>
      <c r="M778" s="18"/>
      <c r="N778" s="109"/>
      <c r="O778" s="18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>
      <c r="A779" s="1"/>
      <c r="B779" s="1"/>
      <c r="C779" s="18"/>
      <c r="D779" s="47"/>
      <c r="E779" s="18"/>
      <c r="F779" s="18"/>
      <c r="G779" s="18"/>
      <c r="H779" s="18"/>
      <c r="I779" s="25"/>
      <c r="J779" s="18"/>
      <c r="K779" s="18"/>
      <c r="L779" s="18"/>
      <c r="M779" s="18"/>
      <c r="N779" s="109"/>
      <c r="O779" s="18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>
      <c r="A780" s="1"/>
      <c r="B780" s="1"/>
      <c r="C780" s="18"/>
      <c r="D780" s="47"/>
      <c r="E780" s="18"/>
      <c r="F780" s="18"/>
      <c r="G780" s="18"/>
      <c r="H780" s="18"/>
      <c r="I780" s="25"/>
      <c r="J780" s="18"/>
      <c r="K780" s="18"/>
      <c r="L780" s="18"/>
      <c r="M780" s="18"/>
      <c r="N780" s="109"/>
      <c r="O780" s="18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>
      <c r="A781" s="1"/>
      <c r="B781" s="1"/>
      <c r="C781" s="18"/>
      <c r="D781" s="47"/>
      <c r="E781" s="18"/>
      <c r="F781" s="18"/>
      <c r="G781" s="18"/>
      <c r="H781" s="18"/>
      <c r="I781" s="25"/>
      <c r="J781" s="18"/>
      <c r="K781" s="18"/>
      <c r="L781" s="18"/>
      <c r="M781" s="18"/>
      <c r="N781" s="109"/>
      <c r="O781" s="18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>
      <c r="A782" s="1"/>
      <c r="B782" s="1"/>
      <c r="C782" s="18"/>
      <c r="D782" s="47"/>
      <c r="E782" s="18"/>
      <c r="F782" s="18"/>
      <c r="G782" s="18"/>
      <c r="H782" s="18"/>
      <c r="I782" s="25"/>
      <c r="J782" s="18"/>
      <c r="K782" s="18"/>
      <c r="L782" s="18"/>
      <c r="M782" s="18"/>
      <c r="N782" s="109"/>
      <c r="O782" s="18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>
      <c r="A783" s="1"/>
      <c r="B783" s="1"/>
      <c r="C783" s="18"/>
      <c r="D783" s="47"/>
      <c r="E783" s="18"/>
      <c r="F783" s="18"/>
      <c r="G783" s="18"/>
      <c r="H783" s="18"/>
      <c r="I783" s="25"/>
      <c r="J783" s="18"/>
      <c r="K783" s="18"/>
      <c r="L783" s="18"/>
      <c r="M783" s="18"/>
      <c r="N783" s="109"/>
      <c r="O783" s="18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>
      <c r="A784" s="1"/>
      <c r="B784" s="1"/>
      <c r="C784" s="18"/>
      <c r="D784" s="47"/>
      <c r="E784" s="18"/>
      <c r="F784" s="18"/>
      <c r="G784" s="18"/>
      <c r="H784" s="18"/>
      <c r="I784" s="25"/>
      <c r="J784" s="18"/>
      <c r="K784" s="18"/>
      <c r="L784" s="18"/>
      <c r="M784" s="18"/>
      <c r="N784" s="109"/>
      <c r="O784" s="18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>
      <c r="A785" s="1"/>
      <c r="B785" s="1"/>
      <c r="C785" s="18"/>
      <c r="D785" s="47"/>
      <c r="E785" s="18"/>
      <c r="F785" s="18"/>
      <c r="G785" s="18"/>
      <c r="H785" s="18"/>
      <c r="I785" s="25"/>
      <c r="J785" s="18"/>
      <c r="K785" s="18"/>
      <c r="L785" s="18"/>
      <c r="M785" s="18"/>
      <c r="N785" s="109"/>
      <c r="O785" s="18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>
      <c r="A786" s="1"/>
      <c r="B786" s="1"/>
      <c r="C786" s="18"/>
      <c r="D786" s="47"/>
      <c r="E786" s="18"/>
      <c r="F786" s="18"/>
      <c r="G786" s="18"/>
      <c r="H786" s="18"/>
      <c r="I786" s="25"/>
      <c r="J786" s="18"/>
      <c r="K786" s="18"/>
      <c r="L786" s="18"/>
      <c r="M786" s="18"/>
      <c r="N786" s="109"/>
      <c r="O786" s="18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>
      <c r="A787" s="1"/>
      <c r="B787" s="1"/>
      <c r="C787" s="18"/>
      <c r="D787" s="47"/>
      <c r="E787" s="18"/>
      <c r="F787" s="18"/>
      <c r="G787" s="18"/>
      <c r="H787" s="18"/>
      <c r="I787" s="25"/>
      <c r="J787" s="18"/>
      <c r="K787" s="18"/>
      <c r="L787" s="18"/>
      <c r="M787" s="18"/>
      <c r="N787" s="109"/>
      <c r="O787" s="18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>
      <c r="A788" s="1"/>
      <c r="B788" s="1"/>
      <c r="C788" s="18"/>
      <c r="D788" s="47"/>
      <c r="E788" s="18"/>
      <c r="F788" s="18"/>
      <c r="G788" s="18"/>
      <c r="H788" s="18"/>
      <c r="I788" s="25"/>
      <c r="J788" s="18"/>
      <c r="K788" s="18"/>
      <c r="L788" s="18"/>
      <c r="M788" s="18"/>
      <c r="N788" s="109"/>
      <c r="O788" s="18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>
      <c r="A789" s="1"/>
      <c r="B789" s="1"/>
      <c r="C789" s="18"/>
      <c r="D789" s="47"/>
      <c r="E789" s="18"/>
      <c r="F789" s="18"/>
      <c r="G789" s="18"/>
      <c r="H789" s="18"/>
      <c r="I789" s="25"/>
      <c r="J789" s="18"/>
      <c r="K789" s="18"/>
      <c r="L789" s="18"/>
      <c r="M789" s="18"/>
      <c r="N789" s="109"/>
      <c r="O789" s="18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>
      <c r="A790" s="1"/>
      <c r="B790" s="1"/>
      <c r="C790" s="18"/>
      <c r="D790" s="47"/>
      <c r="E790" s="18"/>
      <c r="F790" s="18"/>
      <c r="G790" s="18"/>
      <c r="H790" s="18"/>
      <c r="I790" s="25"/>
      <c r="J790" s="18"/>
      <c r="K790" s="18"/>
      <c r="L790" s="18"/>
      <c r="M790" s="18"/>
      <c r="N790" s="109"/>
      <c r="O790" s="18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>
      <c r="A791" s="1"/>
      <c r="B791" s="1"/>
      <c r="C791" s="18"/>
      <c r="D791" s="47"/>
      <c r="E791" s="18"/>
      <c r="F791" s="18"/>
      <c r="G791" s="18"/>
      <c r="H791" s="18"/>
      <c r="I791" s="25"/>
      <c r="J791" s="18"/>
      <c r="K791" s="18"/>
      <c r="L791" s="18"/>
      <c r="M791" s="18"/>
      <c r="N791" s="109"/>
      <c r="O791" s="18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>
      <c r="A792" s="1"/>
      <c r="B792" s="1"/>
      <c r="C792" s="18"/>
      <c r="D792" s="47"/>
      <c r="E792" s="18"/>
      <c r="F792" s="18"/>
      <c r="G792" s="18"/>
      <c r="H792" s="18"/>
      <c r="I792" s="25"/>
      <c r="J792" s="18"/>
      <c r="K792" s="18"/>
      <c r="L792" s="18"/>
      <c r="M792" s="18"/>
      <c r="N792" s="109"/>
      <c r="O792" s="18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>
      <c r="A793" s="1"/>
      <c r="B793" s="1"/>
      <c r="C793" s="18"/>
      <c r="D793" s="47"/>
      <c r="E793" s="18"/>
      <c r="F793" s="18"/>
      <c r="G793" s="18"/>
      <c r="H793" s="18"/>
      <c r="I793" s="25"/>
      <c r="J793" s="18"/>
      <c r="K793" s="18"/>
      <c r="L793" s="18"/>
      <c r="M793" s="18"/>
      <c r="N793" s="109"/>
      <c r="O793" s="18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>
      <c r="A794" s="1"/>
      <c r="B794" s="1"/>
      <c r="C794" s="18"/>
      <c r="D794" s="47"/>
      <c r="E794" s="18"/>
      <c r="F794" s="18"/>
      <c r="G794" s="18"/>
      <c r="H794" s="18"/>
      <c r="I794" s="25"/>
      <c r="J794" s="18"/>
      <c r="K794" s="18"/>
      <c r="L794" s="18"/>
      <c r="M794" s="18"/>
      <c r="N794" s="109"/>
      <c r="O794" s="18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>
      <c r="A795" s="1"/>
      <c r="B795" s="1"/>
      <c r="C795" s="18"/>
      <c r="D795" s="47"/>
      <c r="E795" s="18"/>
      <c r="F795" s="18"/>
      <c r="G795" s="18"/>
      <c r="H795" s="18"/>
      <c r="I795" s="25"/>
      <c r="J795" s="18"/>
      <c r="K795" s="18"/>
      <c r="L795" s="18"/>
      <c r="M795" s="18"/>
      <c r="N795" s="109"/>
      <c r="O795" s="18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>
      <c r="A796" s="1"/>
      <c r="B796" s="1"/>
      <c r="C796" s="18"/>
      <c r="D796" s="47"/>
      <c r="E796" s="18"/>
      <c r="F796" s="18"/>
      <c r="G796" s="18"/>
      <c r="H796" s="18"/>
      <c r="I796" s="25"/>
      <c r="J796" s="18"/>
      <c r="K796" s="18"/>
      <c r="L796" s="18"/>
      <c r="M796" s="18"/>
      <c r="N796" s="109"/>
      <c r="O796" s="18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>
      <c r="A797" s="1"/>
      <c r="B797" s="1"/>
      <c r="C797" s="18"/>
      <c r="D797" s="47"/>
      <c r="E797" s="18"/>
      <c r="F797" s="18"/>
      <c r="G797" s="18"/>
      <c r="H797" s="18"/>
      <c r="I797" s="25"/>
      <c r="J797" s="18"/>
      <c r="K797" s="18"/>
      <c r="L797" s="18"/>
      <c r="M797" s="18"/>
      <c r="N797" s="109"/>
      <c r="O797" s="18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>
      <c r="A798" s="1"/>
      <c r="B798" s="1"/>
      <c r="C798" s="18"/>
      <c r="D798" s="47"/>
      <c r="E798" s="18"/>
      <c r="F798" s="18"/>
      <c r="G798" s="18"/>
      <c r="H798" s="18"/>
      <c r="I798" s="25"/>
      <c r="J798" s="18"/>
      <c r="K798" s="18"/>
      <c r="L798" s="18"/>
      <c r="M798" s="18"/>
      <c r="N798" s="109"/>
      <c r="O798" s="18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>
      <c r="A799" s="1"/>
      <c r="B799" s="1"/>
      <c r="C799" s="18"/>
      <c r="D799" s="47"/>
      <c r="E799" s="18"/>
      <c r="F799" s="18"/>
      <c r="G799" s="18"/>
      <c r="H799" s="18"/>
      <c r="I799" s="25"/>
      <c r="J799" s="18"/>
      <c r="K799" s="18"/>
      <c r="L799" s="18"/>
      <c r="M799" s="18"/>
      <c r="N799" s="109"/>
      <c r="O799" s="18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>
      <c r="A800" s="1"/>
      <c r="B800" s="1"/>
      <c r="C800" s="18"/>
      <c r="D800" s="47"/>
      <c r="E800" s="18"/>
      <c r="F800" s="18"/>
      <c r="G800" s="18"/>
      <c r="H800" s="18"/>
      <c r="I800" s="25"/>
      <c r="J800" s="18"/>
      <c r="K800" s="18"/>
      <c r="L800" s="18"/>
      <c r="M800" s="18"/>
      <c r="N800" s="109"/>
      <c r="O800" s="18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>
      <c r="A801" s="1"/>
      <c r="B801" s="1"/>
      <c r="C801" s="18"/>
      <c r="D801" s="47"/>
      <c r="E801" s="18"/>
      <c r="F801" s="18"/>
      <c r="G801" s="18"/>
      <c r="H801" s="18"/>
      <c r="I801" s="25"/>
      <c r="J801" s="18"/>
      <c r="K801" s="18"/>
      <c r="L801" s="18"/>
      <c r="M801" s="18"/>
      <c r="N801" s="109"/>
      <c r="O801" s="18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>
      <c r="A802" s="1"/>
      <c r="B802" s="1"/>
      <c r="C802" s="18"/>
      <c r="D802" s="47"/>
      <c r="E802" s="18"/>
      <c r="F802" s="18"/>
      <c r="G802" s="18"/>
      <c r="H802" s="18"/>
      <c r="I802" s="25"/>
      <c r="J802" s="18"/>
      <c r="K802" s="18"/>
      <c r="L802" s="18"/>
      <c r="M802" s="18"/>
      <c r="N802" s="109"/>
      <c r="O802" s="18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>
      <c r="A803" s="1"/>
      <c r="B803" s="1"/>
      <c r="C803" s="18"/>
      <c r="D803" s="47"/>
      <c r="E803" s="18"/>
      <c r="F803" s="18"/>
      <c r="G803" s="18"/>
      <c r="H803" s="18"/>
      <c r="I803" s="25"/>
      <c r="J803" s="18"/>
      <c r="K803" s="18"/>
      <c r="L803" s="18"/>
      <c r="M803" s="18"/>
      <c r="N803" s="109"/>
      <c r="O803" s="18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>
      <c r="A804" s="1"/>
      <c r="B804" s="1"/>
      <c r="C804" s="18"/>
      <c r="D804" s="47"/>
      <c r="E804" s="18"/>
      <c r="F804" s="18"/>
      <c r="G804" s="18"/>
      <c r="H804" s="18"/>
      <c r="I804" s="25"/>
      <c r="J804" s="18"/>
      <c r="K804" s="18"/>
      <c r="L804" s="18"/>
      <c r="M804" s="18"/>
      <c r="N804" s="109"/>
      <c r="O804" s="18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>
      <c r="A805" s="1"/>
      <c r="B805" s="1"/>
      <c r="C805" s="18"/>
      <c r="D805" s="47"/>
      <c r="E805" s="18"/>
      <c r="F805" s="18"/>
      <c r="G805" s="18"/>
      <c r="H805" s="18"/>
      <c r="I805" s="25"/>
      <c r="J805" s="18"/>
      <c r="K805" s="18"/>
      <c r="L805" s="18"/>
      <c r="M805" s="18"/>
      <c r="N805" s="109"/>
      <c r="O805" s="18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>
      <c r="A806" s="1"/>
      <c r="B806" s="1"/>
      <c r="C806" s="18"/>
      <c r="D806" s="47"/>
      <c r="E806" s="18"/>
      <c r="F806" s="18"/>
      <c r="G806" s="18"/>
      <c r="H806" s="18"/>
      <c r="I806" s="25"/>
      <c r="J806" s="18"/>
      <c r="K806" s="18"/>
      <c r="L806" s="18"/>
      <c r="M806" s="18"/>
      <c r="N806" s="109"/>
      <c r="O806" s="18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>
      <c r="A807" s="1"/>
      <c r="B807" s="1"/>
      <c r="C807" s="18"/>
      <c r="D807" s="47"/>
      <c r="E807" s="18"/>
      <c r="F807" s="18"/>
      <c r="G807" s="18"/>
      <c r="H807" s="18"/>
      <c r="I807" s="25"/>
      <c r="J807" s="18"/>
      <c r="K807" s="18"/>
      <c r="L807" s="18"/>
      <c r="M807" s="18"/>
      <c r="N807" s="109"/>
      <c r="O807" s="18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>
      <c r="A808" s="1"/>
      <c r="B808" s="1"/>
      <c r="C808" s="18"/>
      <c r="D808" s="47"/>
      <c r="E808" s="18"/>
      <c r="F808" s="18"/>
      <c r="G808" s="18"/>
      <c r="H808" s="18"/>
      <c r="I808" s="25"/>
      <c r="J808" s="18"/>
      <c r="K808" s="18"/>
      <c r="L808" s="18"/>
      <c r="M808" s="18"/>
      <c r="N808" s="109"/>
      <c r="O808" s="18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>
      <c r="A809" s="1"/>
      <c r="B809" s="1"/>
      <c r="C809" s="18"/>
      <c r="D809" s="47"/>
      <c r="E809" s="18"/>
      <c r="F809" s="18"/>
      <c r="G809" s="18"/>
      <c r="H809" s="18"/>
      <c r="I809" s="25"/>
      <c r="J809" s="18"/>
      <c r="K809" s="18"/>
      <c r="L809" s="18"/>
      <c r="M809" s="18"/>
      <c r="N809" s="109"/>
      <c r="O809" s="18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>
      <c r="A810" s="1"/>
      <c r="B810" s="1"/>
      <c r="C810" s="18"/>
      <c r="D810" s="47"/>
      <c r="E810" s="18"/>
      <c r="F810" s="18"/>
      <c r="G810" s="18"/>
      <c r="H810" s="18"/>
      <c r="I810" s="25"/>
      <c r="J810" s="18"/>
      <c r="K810" s="18"/>
      <c r="L810" s="18"/>
      <c r="M810" s="18"/>
      <c r="N810" s="109"/>
      <c r="O810" s="18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>
      <c r="A811" s="1"/>
      <c r="B811" s="1"/>
      <c r="C811" s="18"/>
      <c r="D811" s="47"/>
      <c r="E811" s="18"/>
      <c r="F811" s="18"/>
      <c r="G811" s="18"/>
      <c r="H811" s="18"/>
      <c r="I811" s="25"/>
      <c r="J811" s="18"/>
      <c r="K811" s="18"/>
      <c r="L811" s="18"/>
      <c r="M811" s="18"/>
      <c r="N811" s="109"/>
      <c r="O811" s="18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>
      <c r="A812" s="1"/>
      <c r="B812" s="1"/>
      <c r="C812" s="18"/>
      <c r="D812" s="47"/>
      <c r="E812" s="18"/>
      <c r="F812" s="18"/>
      <c r="G812" s="18"/>
      <c r="H812" s="18"/>
      <c r="I812" s="25"/>
      <c r="J812" s="18"/>
      <c r="K812" s="18"/>
      <c r="L812" s="18"/>
      <c r="M812" s="18"/>
      <c r="N812" s="109"/>
      <c r="O812" s="18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>
      <c r="A813" s="1"/>
      <c r="B813" s="1"/>
      <c r="C813" s="18"/>
      <c r="D813" s="47"/>
      <c r="E813" s="18"/>
      <c r="F813" s="18"/>
      <c r="G813" s="18"/>
      <c r="H813" s="18"/>
      <c r="I813" s="25"/>
      <c r="J813" s="18"/>
      <c r="K813" s="18"/>
      <c r="L813" s="18"/>
      <c r="M813" s="18"/>
      <c r="N813" s="109"/>
      <c r="O813" s="18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>
      <c r="A814" s="1"/>
      <c r="B814" s="1"/>
      <c r="C814" s="18"/>
      <c r="D814" s="47"/>
      <c r="E814" s="18"/>
      <c r="F814" s="18"/>
      <c r="G814" s="18"/>
      <c r="H814" s="18"/>
      <c r="I814" s="25"/>
      <c r="J814" s="18"/>
      <c r="K814" s="18"/>
      <c r="L814" s="18"/>
      <c r="M814" s="18"/>
      <c r="N814" s="109"/>
      <c r="O814" s="18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>
      <c r="A815" s="1"/>
      <c r="B815" s="1"/>
      <c r="C815" s="18"/>
      <c r="D815" s="47"/>
      <c r="E815" s="18"/>
      <c r="F815" s="18"/>
      <c r="G815" s="18"/>
      <c r="H815" s="18"/>
      <c r="I815" s="25"/>
      <c r="J815" s="18"/>
      <c r="K815" s="18"/>
      <c r="L815" s="18"/>
      <c r="M815" s="18"/>
      <c r="N815" s="109"/>
      <c r="O815" s="18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>
      <c r="A816" s="1"/>
      <c r="B816" s="1"/>
      <c r="C816" s="18"/>
      <c r="D816" s="47"/>
      <c r="E816" s="18"/>
      <c r="F816" s="18"/>
      <c r="G816" s="18"/>
      <c r="H816" s="18"/>
      <c r="I816" s="25"/>
      <c r="J816" s="18"/>
      <c r="K816" s="18"/>
      <c r="L816" s="18"/>
      <c r="M816" s="18"/>
      <c r="N816" s="109"/>
      <c r="O816" s="18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>
      <c r="A817" s="1"/>
      <c r="B817" s="1"/>
      <c r="C817" s="18"/>
      <c r="D817" s="47"/>
      <c r="E817" s="18"/>
      <c r="F817" s="18"/>
      <c r="G817" s="18"/>
      <c r="H817" s="18"/>
      <c r="I817" s="25"/>
      <c r="J817" s="18"/>
      <c r="K817" s="18"/>
      <c r="L817" s="18"/>
      <c r="M817" s="18"/>
      <c r="N817" s="109"/>
      <c r="O817" s="18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>
      <c r="A818" s="1"/>
      <c r="B818" s="1"/>
      <c r="C818" s="18"/>
      <c r="D818" s="47"/>
      <c r="E818" s="18"/>
      <c r="F818" s="18"/>
      <c r="G818" s="18"/>
      <c r="H818" s="18"/>
      <c r="I818" s="25"/>
      <c r="J818" s="18"/>
      <c r="K818" s="18"/>
      <c r="L818" s="18"/>
      <c r="M818" s="18"/>
      <c r="N818" s="109"/>
      <c r="O818" s="18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>
      <c r="A819" s="1"/>
      <c r="B819" s="1"/>
      <c r="C819" s="18"/>
      <c r="D819" s="47"/>
      <c r="E819" s="18"/>
      <c r="F819" s="18"/>
      <c r="G819" s="18"/>
      <c r="H819" s="18"/>
      <c r="I819" s="25"/>
      <c r="J819" s="18"/>
      <c r="K819" s="18"/>
      <c r="L819" s="18"/>
      <c r="M819" s="18"/>
      <c r="N819" s="109"/>
      <c r="O819" s="18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>
      <c r="A820" s="1"/>
      <c r="B820" s="1"/>
      <c r="C820" s="18"/>
      <c r="D820" s="47"/>
      <c r="E820" s="18"/>
      <c r="F820" s="18"/>
      <c r="G820" s="18"/>
      <c r="H820" s="18"/>
      <c r="I820" s="25"/>
      <c r="J820" s="18"/>
      <c r="K820" s="18"/>
      <c r="L820" s="18"/>
      <c r="M820" s="18"/>
      <c r="N820" s="109"/>
      <c r="O820" s="18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>
      <c r="A821" s="1"/>
      <c r="B821" s="1"/>
      <c r="C821" s="18"/>
      <c r="D821" s="47"/>
      <c r="E821" s="18"/>
      <c r="F821" s="18"/>
      <c r="G821" s="18"/>
      <c r="H821" s="18"/>
      <c r="I821" s="25"/>
      <c r="J821" s="18"/>
      <c r="K821" s="18"/>
      <c r="L821" s="18"/>
      <c r="M821" s="18"/>
      <c r="N821" s="109"/>
      <c r="O821" s="18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>
      <c r="A822" s="1"/>
      <c r="B822" s="1"/>
      <c r="C822" s="18"/>
      <c r="D822" s="47"/>
      <c r="E822" s="18"/>
      <c r="F822" s="18"/>
      <c r="G822" s="18"/>
      <c r="H822" s="18"/>
      <c r="I822" s="25"/>
      <c r="J822" s="18"/>
      <c r="K822" s="18"/>
      <c r="L822" s="18"/>
      <c r="M822" s="18"/>
      <c r="N822" s="109"/>
      <c r="O822" s="18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>
      <c r="A823" s="1"/>
      <c r="B823" s="1"/>
      <c r="C823" s="18"/>
      <c r="D823" s="47"/>
      <c r="E823" s="18"/>
      <c r="F823" s="18"/>
      <c r="G823" s="18"/>
      <c r="H823" s="18"/>
      <c r="I823" s="25"/>
      <c r="J823" s="18"/>
      <c r="K823" s="18"/>
      <c r="L823" s="18"/>
      <c r="M823" s="18"/>
      <c r="N823" s="109"/>
      <c r="O823" s="18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>
      <c r="A824" s="1"/>
      <c r="B824" s="1"/>
      <c r="C824" s="18"/>
      <c r="D824" s="47"/>
      <c r="E824" s="18"/>
      <c r="F824" s="18"/>
      <c r="G824" s="18"/>
      <c r="H824" s="18"/>
      <c r="I824" s="25"/>
      <c r="J824" s="18"/>
      <c r="K824" s="18"/>
      <c r="L824" s="18"/>
      <c r="M824" s="18"/>
      <c r="N824" s="109"/>
      <c r="O824" s="18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>
      <c r="A825" s="1"/>
      <c r="B825" s="1"/>
      <c r="C825" s="18"/>
      <c r="D825" s="47"/>
      <c r="E825" s="18"/>
      <c r="F825" s="18"/>
      <c r="G825" s="18"/>
      <c r="H825" s="18"/>
      <c r="I825" s="25"/>
      <c r="J825" s="18"/>
      <c r="K825" s="18"/>
      <c r="L825" s="18"/>
      <c r="M825" s="18"/>
      <c r="N825" s="109"/>
      <c r="O825" s="18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>
      <c r="A826" s="1"/>
      <c r="B826" s="1"/>
      <c r="C826" s="18"/>
      <c r="D826" s="47"/>
      <c r="E826" s="18"/>
      <c r="F826" s="18"/>
      <c r="G826" s="18"/>
      <c r="H826" s="18"/>
      <c r="I826" s="25"/>
      <c r="J826" s="18"/>
      <c r="K826" s="18"/>
      <c r="L826" s="18"/>
      <c r="M826" s="18"/>
      <c r="N826" s="109"/>
      <c r="O826" s="18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>
      <c r="A827" s="1"/>
      <c r="B827" s="1"/>
      <c r="C827" s="18"/>
      <c r="D827" s="47"/>
      <c r="E827" s="18"/>
      <c r="F827" s="18"/>
      <c r="G827" s="18"/>
      <c r="H827" s="18"/>
      <c r="I827" s="25"/>
      <c r="J827" s="18"/>
      <c r="K827" s="18"/>
      <c r="L827" s="18"/>
      <c r="M827" s="18"/>
      <c r="N827" s="109"/>
      <c r="O827" s="18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>
      <c r="A828" s="1"/>
      <c r="B828" s="1"/>
      <c r="C828" s="18"/>
      <c r="D828" s="47"/>
      <c r="E828" s="18"/>
      <c r="F828" s="18"/>
      <c r="G828" s="18"/>
      <c r="H828" s="18"/>
      <c r="I828" s="25"/>
      <c r="J828" s="18"/>
      <c r="K828" s="18"/>
      <c r="L828" s="18"/>
      <c r="M828" s="18"/>
      <c r="N828" s="109"/>
      <c r="O828" s="18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>
      <c r="A829" s="1"/>
      <c r="B829" s="1"/>
      <c r="C829" s="18"/>
      <c r="D829" s="47"/>
      <c r="E829" s="18"/>
      <c r="F829" s="18"/>
      <c r="G829" s="18"/>
      <c r="H829" s="18"/>
      <c r="I829" s="25"/>
      <c r="J829" s="18"/>
      <c r="K829" s="18"/>
      <c r="L829" s="18"/>
      <c r="M829" s="18"/>
      <c r="N829" s="109"/>
      <c r="O829" s="18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>
      <c r="A830" s="1"/>
      <c r="B830" s="1"/>
      <c r="C830" s="18"/>
      <c r="D830" s="47"/>
      <c r="E830" s="18"/>
      <c r="F830" s="18"/>
      <c r="G830" s="18"/>
      <c r="H830" s="18"/>
      <c r="I830" s="25"/>
      <c r="J830" s="18"/>
      <c r="K830" s="18"/>
      <c r="L830" s="18"/>
      <c r="M830" s="18"/>
      <c r="N830" s="109"/>
      <c r="O830" s="18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>
      <c r="A831" s="1"/>
      <c r="B831" s="1"/>
      <c r="C831" s="18"/>
      <c r="D831" s="47"/>
      <c r="E831" s="18"/>
      <c r="F831" s="18"/>
      <c r="G831" s="18"/>
      <c r="H831" s="18"/>
      <c r="I831" s="25"/>
      <c r="J831" s="18"/>
      <c r="K831" s="18"/>
      <c r="L831" s="18"/>
      <c r="M831" s="18"/>
      <c r="N831" s="109"/>
      <c r="O831" s="18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>
      <c r="A832" s="1"/>
      <c r="B832" s="1"/>
      <c r="C832" s="18"/>
      <c r="D832" s="47"/>
      <c r="E832" s="18"/>
      <c r="F832" s="18"/>
      <c r="G832" s="18"/>
      <c r="H832" s="18"/>
      <c r="I832" s="25"/>
      <c r="J832" s="18"/>
      <c r="K832" s="18"/>
      <c r="L832" s="18"/>
      <c r="M832" s="18"/>
      <c r="N832" s="109"/>
      <c r="O832" s="18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>
      <c r="A833" s="1"/>
      <c r="B833" s="1"/>
      <c r="C833" s="18"/>
      <c r="D833" s="47"/>
      <c r="E833" s="18"/>
      <c r="F833" s="18"/>
      <c r="G833" s="18"/>
      <c r="H833" s="18"/>
      <c r="I833" s="25"/>
      <c r="J833" s="18"/>
      <c r="K833" s="18"/>
      <c r="L833" s="18"/>
      <c r="M833" s="18"/>
      <c r="N833" s="109"/>
      <c r="O833" s="18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>
      <c r="A834" s="1"/>
      <c r="B834" s="1"/>
      <c r="C834" s="18"/>
      <c r="D834" s="47"/>
      <c r="E834" s="18"/>
      <c r="F834" s="18"/>
      <c r="G834" s="18"/>
      <c r="H834" s="18"/>
      <c r="I834" s="25"/>
      <c r="J834" s="18"/>
      <c r="K834" s="18"/>
      <c r="L834" s="18"/>
      <c r="M834" s="18"/>
      <c r="N834" s="109"/>
      <c r="O834" s="18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>
      <c r="A835" s="1"/>
      <c r="B835" s="1"/>
      <c r="C835" s="18"/>
      <c r="D835" s="47"/>
      <c r="E835" s="18"/>
      <c r="F835" s="18"/>
      <c r="G835" s="18"/>
      <c r="H835" s="18"/>
      <c r="I835" s="25"/>
      <c r="J835" s="18"/>
      <c r="K835" s="18"/>
      <c r="L835" s="18"/>
      <c r="M835" s="18"/>
      <c r="N835" s="109"/>
      <c r="O835" s="18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>
      <c r="A836" s="1"/>
      <c r="B836" s="1"/>
      <c r="C836" s="18"/>
      <c r="D836" s="47"/>
      <c r="E836" s="18"/>
      <c r="F836" s="18"/>
      <c r="G836" s="18"/>
      <c r="H836" s="18"/>
      <c r="I836" s="25"/>
      <c r="J836" s="18"/>
      <c r="K836" s="18"/>
      <c r="L836" s="18"/>
      <c r="M836" s="18"/>
      <c r="N836" s="109"/>
      <c r="O836" s="18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>
      <c r="A837" s="1"/>
      <c r="B837" s="1"/>
      <c r="C837" s="18"/>
      <c r="D837" s="47"/>
      <c r="E837" s="18"/>
      <c r="F837" s="18"/>
      <c r="G837" s="18"/>
      <c r="H837" s="18"/>
      <c r="I837" s="25"/>
      <c r="J837" s="18"/>
      <c r="K837" s="18"/>
      <c r="L837" s="18"/>
      <c r="M837" s="18"/>
      <c r="N837" s="109"/>
      <c r="O837" s="18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>
      <c r="A838" s="1"/>
      <c r="B838" s="1"/>
      <c r="C838" s="18"/>
      <c r="D838" s="47"/>
      <c r="E838" s="18"/>
      <c r="F838" s="18"/>
      <c r="G838" s="18"/>
      <c r="H838" s="18"/>
      <c r="I838" s="25"/>
      <c r="J838" s="18"/>
      <c r="K838" s="18"/>
      <c r="L838" s="18"/>
      <c r="M838" s="18"/>
      <c r="N838" s="109"/>
      <c r="O838" s="18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>
      <c r="A839" s="1"/>
      <c r="B839" s="1"/>
      <c r="C839" s="18"/>
      <c r="D839" s="47"/>
      <c r="E839" s="18"/>
      <c r="F839" s="18"/>
      <c r="G839" s="18"/>
      <c r="H839" s="18"/>
      <c r="I839" s="25"/>
      <c r="J839" s="18"/>
      <c r="K839" s="18"/>
      <c r="L839" s="18"/>
      <c r="M839" s="18"/>
      <c r="N839" s="109"/>
      <c r="O839" s="18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>
      <c r="A840" s="1"/>
      <c r="B840" s="1"/>
      <c r="C840" s="18"/>
      <c r="D840" s="47"/>
      <c r="E840" s="18"/>
      <c r="F840" s="18"/>
      <c r="G840" s="18"/>
      <c r="H840" s="18"/>
      <c r="I840" s="25"/>
      <c r="J840" s="18"/>
      <c r="K840" s="18"/>
      <c r="L840" s="18"/>
      <c r="M840" s="18"/>
      <c r="N840" s="109"/>
      <c r="O840" s="18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>
      <c r="A841" s="1"/>
      <c r="B841" s="1"/>
      <c r="C841" s="18"/>
      <c r="D841" s="47"/>
      <c r="E841" s="18"/>
      <c r="F841" s="18"/>
      <c r="G841" s="18"/>
      <c r="H841" s="18"/>
      <c r="I841" s="25"/>
      <c r="J841" s="18"/>
      <c r="K841" s="18"/>
      <c r="L841" s="18"/>
      <c r="M841" s="18"/>
      <c r="N841" s="109"/>
      <c r="O841" s="18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>
      <c r="A842" s="1"/>
      <c r="B842" s="1"/>
      <c r="C842" s="18"/>
      <c r="D842" s="47"/>
      <c r="E842" s="18"/>
      <c r="F842" s="18"/>
      <c r="G842" s="18"/>
      <c r="H842" s="18"/>
      <c r="I842" s="25"/>
      <c r="J842" s="18"/>
      <c r="K842" s="18"/>
      <c r="L842" s="18"/>
      <c r="M842" s="18"/>
      <c r="N842" s="109"/>
      <c r="O842" s="18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>
      <c r="A843" s="1"/>
      <c r="B843" s="1"/>
      <c r="C843" s="18"/>
      <c r="D843" s="47"/>
      <c r="E843" s="18"/>
      <c r="F843" s="18"/>
      <c r="G843" s="18"/>
      <c r="H843" s="18"/>
      <c r="I843" s="25"/>
      <c r="J843" s="18"/>
      <c r="K843" s="18"/>
      <c r="L843" s="18"/>
      <c r="M843" s="18"/>
      <c r="N843" s="109"/>
      <c r="O843" s="18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>
      <c r="A844" s="1"/>
      <c r="B844" s="1"/>
      <c r="C844" s="18"/>
      <c r="D844" s="47"/>
      <c r="E844" s="18"/>
      <c r="F844" s="18"/>
      <c r="G844" s="18"/>
      <c r="H844" s="18"/>
      <c r="I844" s="25"/>
      <c r="J844" s="18"/>
      <c r="K844" s="18"/>
      <c r="L844" s="18"/>
      <c r="M844" s="18"/>
      <c r="N844" s="109"/>
      <c r="O844" s="18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>
      <c r="A845" s="1"/>
      <c r="B845" s="1"/>
      <c r="C845" s="18"/>
      <c r="D845" s="47"/>
      <c r="E845" s="18"/>
      <c r="F845" s="18"/>
      <c r="G845" s="18"/>
      <c r="H845" s="18"/>
      <c r="I845" s="25"/>
      <c r="J845" s="18"/>
      <c r="K845" s="18"/>
      <c r="L845" s="18"/>
      <c r="M845" s="18"/>
      <c r="N845" s="109"/>
      <c r="O845" s="18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>
      <c r="A846" s="1"/>
      <c r="B846" s="1"/>
      <c r="C846" s="18"/>
      <c r="D846" s="47"/>
      <c r="E846" s="18"/>
      <c r="F846" s="18"/>
      <c r="G846" s="18"/>
      <c r="H846" s="18"/>
      <c r="I846" s="25"/>
      <c r="J846" s="18"/>
      <c r="K846" s="18"/>
      <c r="L846" s="18"/>
      <c r="M846" s="18"/>
      <c r="N846" s="109"/>
      <c r="O846" s="18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>
      <c r="A847" s="1"/>
      <c r="B847" s="1"/>
      <c r="C847" s="18"/>
      <c r="D847" s="47"/>
      <c r="E847" s="18"/>
      <c r="F847" s="18"/>
      <c r="G847" s="18"/>
      <c r="H847" s="18"/>
      <c r="I847" s="25"/>
      <c r="J847" s="18"/>
      <c r="K847" s="18"/>
      <c r="L847" s="18"/>
      <c r="M847" s="18"/>
      <c r="N847" s="109"/>
      <c r="O847" s="18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>
      <c r="A848" s="1"/>
      <c r="B848" s="1"/>
      <c r="C848" s="18"/>
      <c r="D848" s="47"/>
      <c r="E848" s="18"/>
      <c r="F848" s="18"/>
      <c r="G848" s="18"/>
      <c r="H848" s="18"/>
      <c r="I848" s="25"/>
      <c r="J848" s="18"/>
      <c r="K848" s="18"/>
      <c r="L848" s="18"/>
      <c r="M848" s="18"/>
      <c r="N848" s="109"/>
      <c r="O848" s="18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>
      <c r="A849" s="1"/>
      <c r="B849" s="1"/>
      <c r="C849" s="18"/>
      <c r="D849" s="47"/>
      <c r="E849" s="18"/>
      <c r="F849" s="18"/>
      <c r="G849" s="18"/>
      <c r="H849" s="18"/>
      <c r="I849" s="25"/>
      <c r="J849" s="18"/>
      <c r="K849" s="18"/>
      <c r="L849" s="18"/>
      <c r="M849" s="18"/>
      <c r="N849" s="109"/>
      <c r="O849" s="18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>
      <c r="A850" s="1"/>
      <c r="B850" s="1"/>
      <c r="C850" s="18"/>
      <c r="D850" s="47"/>
      <c r="E850" s="18"/>
      <c r="F850" s="18"/>
      <c r="G850" s="18"/>
      <c r="H850" s="18"/>
      <c r="I850" s="25"/>
      <c r="J850" s="18"/>
      <c r="K850" s="18"/>
      <c r="L850" s="18"/>
      <c r="M850" s="18"/>
      <c r="N850" s="109"/>
      <c r="O850" s="18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>
      <c r="A851" s="1"/>
      <c r="B851" s="1"/>
      <c r="C851" s="18"/>
      <c r="D851" s="47"/>
      <c r="E851" s="18"/>
      <c r="F851" s="18"/>
      <c r="G851" s="18"/>
      <c r="H851" s="18"/>
      <c r="I851" s="25"/>
      <c r="J851" s="18"/>
      <c r="K851" s="18"/>
      <c r="L851" s="18"/>
      <c r="M851" s="18"/>
      <c r="N851" s="109"/>
      <c r="O851" s="18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>
      <c r="A852" s="1"/>
      <c r="B852" s="1"/>
      <c r="C852" s="18"/>
      <c r="D852" s="47"/>
      <c r="E852" s="18"/>
      <c r="F852" s="18"/>
      <c r="G852" s="18"/>
      <c r="H852" s="18"/>
      <c r="I852" s="25"/>
      <c r="J852" s="18"/>
      <c r="K852" s="18"/>
      <c r="L852" s="18"/>
      <c r="M852" s="18"/>
      <c r="N852" s="109"/>
      <c r="O852" s="18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>
      <c r="A853" s="1"/>
      <c r="B853" s="1"/>
      <c r="C853" s="18"/>
      <c r="D853" s="47"/>
      <c r="E853" s="18"/>
      <c r="F853" s="18"/>
      <c r="G853" s="18"/>
      <c r="H853" s="18"/>
      <c r="I853" s="25"/>
      <c r="J853" s="18"/>
      <c r="K853" s="18"/>
      <c r="L853" s="18"/>
      <c r="M853" s="18"/>
      <c r="N853" s="109"/>
      <c r="O853" s="18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>
      <c r="A854" s="1"/>
      <c r="B854" s="1"/>
      <c r="C854" s="18"/>
      <c r="D854" s="47"/>
      <c r="E854" s="18"/>
      <c r="F854" s="18"/>
      <c r="G854" s="18"/>
      <c r="H854" s="18"/>
      <c r="I854" s="25"/>
      <c r="J854" s="18"/>
      <c r="K854" s="18"/>
      <c r="L854" s="18"/>
      <c r="M854" s="18"/>
      <c r="N854" s="109"/>
      <c r="O854" s="18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>
      <c r="A855" s="1"/>
      <c r="B855" s="1"/>
      <c r="C855" s="18"/>
      <c r="D855" s="47"/>
      <c r="E855" s="18"/>
      <c r="F855" s="18"/>
      <c r="G855" s="18"/>
      <c r="H855" s="18"/>
      <c r="I855" s="25"/>
      <c r="J855" s="18"/>
      <c r="K855" s="18"/>
      <c r="L855" s="18"/>
      <c r="M855" s="18"/>
      <c r="N855" s="109"/>
      <c r="O855" s="18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>
      <c r="A856" s="1"/>
      <c r="B856" s="1"/>
      <c r="C856" s="18"/>
      <c r="D856" s="47"/>
      <c r="E856" s="18"/>
      <c r="F856" s="18"/>
      <c r="G856" s="18"/>
      <c r="H856" s="18"/>
      <c r="I856" s="25"/>
      <c r="J856" s="18"/>
      <c r="K856" s="18"/>
      <c r="L856" s="18"/>
      <c r="M856" s="18"/>
      <c r="N856" s="109"/>
      <c r="O856" s="18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>
      <c r="A857" s="1"/>
      <c r="B857" s="1"/>
      <c r="C857" s="18"/>
      <c r="D857" s="47"/>
      <c r="E857" s="18"/>
      <c r="F857" s="18"/>
      <c r="G857" s="18"/>
      <c r="H857" s="18"/>
      <c r="I857" s="25"/>
      <c r="J857" s="18"/>
      <c r="K857" s="18"/>
      <c r="L857" s="18"/>
      <c r="M857" s="18"/>
      <c r="N857" s="109"/>
      <c r="O857" s="18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>
      <c r="A858" s="1"/>
      <c r="B858" s="1"/>
      <c r="C858" s="18"/>
      <c r="D858" s="47"/>
      <c r="E858" s="18"/>
      <c r="F858" s="18"/>
      <c r="G858" s="18"/>
      <c r="H858" s="18"/>
      <c r="I858" s="25"/>
      <c r="J858" s="18"/>
      <c r="K858" s="18"/>
      <c r="L858" s="18"/>
      <c r="M858" s="18"/>
      <c r="N858" s="109"/>
      <c r="O858" s="18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>
      <c r="A859" s="1"/>
      <c r="B859" s="1"/>
      <c r="C859" s="18"/>
      <c r="D859" s="47"/>
      <c r="E859" s="18"/>
      <c r="F859" s="18"/>
      <c r="G859" s="18"/>
      <c r="H859" s="18"/>
      <c r="I859" s="25"/>
      <c r="J859" s="18"/>
      <c r="K859" s="18"/>
      <c r="L859" s="18"/>
      <c r="M859" s="18"/>
      <c r="N859" s="109"/>
      <c r="O859" s="18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>
      <c r="A860" s="1"/>
      <c r="B860" s="1"/>
      <c r="C860" s="18"/>
      <c r="D860" s="47"/>
      <c r="E860" s="18"/>
      <c r="F860" s="18"/>
      <c r="G860" s="18"/>
      <c r="H860" s="18"/>
      <c r="I860" s="25"/>
      <c r="J860" s="18"/>
      <c r="K860" s="18"/>
      <c r="L860" s="18"/>
      <c r="M860" s="18"/>
      <c r="N860" s="109"/>
      <c r="O860" s="18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>
      <c r="A861" s="1"/>
      <c r="B861" s="1"/>
      <c r="C861" s="18"/>
      <c r="D861" s="47"/>
      <c r="E861" s="18"/>
      <c r="F861" s="18"/>
      <c r="G861" s="18"/>
      <c r="H861" s="18"/>
      <c r="I861" s="25"/>
      <c r="J861" s="18"/>
      <c r="K861" s="18"/>
      <c r="L861" s="18"/>
      <c r="M861" s="18"/>
      <c r="N861" s="109"/>
      <c r="O861" s="18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>
      <c r="A862" s="1"/>
      <c r="B862" s="1"/>
      <c r="C862" s="18"/>
      <c r="D862" s="47"/>
      <c r="E862" s="18"/>
      <c r="F862" s="18"/>
      <c r="G862" s="18"/>
      <c r="H862" s="18"/>
      <c r="I862" s="25"/>
      <c r="J862" s="18"/>
      <c r="K862" s="18"/>
      <c r="L862" s="18"/>
      <c r="M862" s="18"/>
      <c r="N862" s="109"/>
      <c r="O862" s="18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>
      <c r="A863" s="1"/>
      <c r="B863" s="1"/>
      <c r="C863" s="18"/>
      <c r="D863" s="47"/>
      <c r="E863" s="18"/>
      <c r="F863" s="18"/>
      <c r="G863" s="18"/>
      <c r="H863" s="18"/>
      <c r="I863" s="25"/>
      <c r="J863" s="18"/>
      <c r="K863" s="18"/>
      <c r="L863" s="18"/>
      <c r="M863" s="18"/>
      <c r="N863" s="109"/>
      <c r="O863" s="18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>
      <c r="A864" s="1"/>
      <c r="B864" s="1"/>
      <c r="C864" s="18"/>
      <c r="D864" s="47"/>
      <c r="E864" s="18"/>
      <c r="F864" s="18"/>
      <c r="G864" s="18"/>
      <c r="H864" s="18"/>
      <c r="I864" s="25"/>
      <c r="J864" s="18"/>
      <c r="K864" s="18"/>
      <c r="L864" s="18"/>
      <c r="M864" s="18"/>
      <c r="N864" s="109"/>
      <c r="O864" s="18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>
      <c r="A865" s="1"/>
      <c r="B865" s="1"/>
      <c r="C865" s="18"/>
      <c r="D865" s="47"/>
      <c r="E865" s="18"/>
      <c r="F865" s="18"/>
      <c r="G865" s="18"/>
      <c r="H865" s="18"/>
      <c r="I865" s="25"/>
      <c r="J865" s="18"/>
      <c r="K865" s="18"/>
      <c r="L865" s="18"/>
      <c r="M865" s="18"/>
      <c r="N865" s="109"/>
      <c r="O865" s="18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>
      <c r="A866" s="1"/>
      <c r="B866" s="1"/>
      <c r="C866" s="18"/>
      <c r="D866" s="47"/>
      <c r="E866" s="18"/>
      <c r="F866" s="18"/>
      <c r="G866" s="18"/>
      <c r="H866" s="18"/>
      <c r="I866" s="25"/>
      <c r="J866" s="18"/>
      <c r="K866" s="18"/>
      <c r="L866" s="18"/>
      <c r="M866" s="18"/>
      <c r="N866" s="109"/>
      <c r="O866" s="18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>
      <c r="A867" s="1"/>
      <c r="B867" s="1"/>
      <c r="C867" s="18"/>
      <c r="D867" s="47"/>
      <c r="E867" s="18"/>
      <c r="F867" s="18"/>
      <c r="G867" s="18"/>
      <c r="H867" s="18"/>
      <c r="I867" s="25"/>
      <c r="J867" s="18"/>
      <c r="K867" s="18"/>
      <c r="L867" s="18"/>
      <c r="M867" s="18"/>
      <c r="N867" s="109"/>
      <c r="O867" s="18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>
      <c r="A868" s="1"/>
      <c r="B868" s="1"/>
      <c r="C868" s="18"/>
      <c r="D868" s="47"/>
      <c r="E868" s="18"/>
      <c r="F868" s="18"/>
      <c r="G868" s="18"/>
      <c r="H868" s="18"/>
      <c r="I868" s="25"/>
      <c r="J868" s="18"/>
      <c r="K868" s="18"/>
      <c r="L868" s="18"/>
      <c r="M868" s="18"/>
      <c r="N868" s="109"/>
      <c r="O868" s="18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>
      <c r="A869" s="1"/>
      <c r="B869" s="1"/>
      <c r="C869" s="18"/>
      <c r="D869" s="47"/>
      <c r="E869" s="18"/>
      <c r="F869" s="18"/>
      <c r="G869" s="18"/>
      <c r="H869" s="18"/>
      <c r="I869" s="25"/>
      <c r="J869" s="18"/>
      <c r="K869" s="18"/>
      <c r="L869" s="18"/>
      <c r="M869" s="18"/>
      <c r="N869" s="109"/>
      <c r="O869" s="18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>
      <c r="A870" s="1"/>
      <c r="B870" s="1"/>
      <c r="C870" s="18"/>
      <c r="D870" s="47"/>
      <c r="E870" s="18"/>
      <c r="F870" s="18"/>
      <c r="G870" s="18"/>
      <c r="H870" s="18"/>
      <c r="I870" s="25"/>
      <c r="J870" s="18"/>
      <c r="K870" s="18"/>
      <c r="L870" s="18"/>
      <c r="M870" s="18"/>
      <c r="N870" s="109"/>
      <c r="O870" s="18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>
      <c r="A871" s="1"/>
      <c r="B871" s="1"/>
      <c r="C871" s="18"/>
      <c r="D871" s="47"/>
      <c r="E871" s="18"/>
      <c r="F871" s="18"/>
      <c r="G871" s="18"/>
      <c r="H871" s="18"/>
      <c r="I871" s="25"/>
      <c r="J871" s="18"/>
      <c r="K871" s="18"/>
      <c r="L871" s="18"/>
      <c r="M871" s="18"/>
      <c r="N871" s="109"/>
      <c r="O871" s="18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>
      <c r="A872" s="1"/>
      <c r="B872" s="1"/>
      <c r="C872" s="18"/>
      <c r="D872" s="47"/>
      <c r="E872" s="18"/>
      <c r="F872" s="18"/>
      <c r="G872" s="18"/>
      <c r="H872" s="18"/>
      <c r="I872" s="25"/>
      <c r="J872" s="18"/>
      <c r="K872" s="18"/>
      <c r="L872" s="18"/>
      <c r="M872" s="18"/>
      <c r="N872" s="109"/>
      <c r="O872" s="18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>
      <c r="A873" s="1"/>
      <c r="B873" s="1"/>
      <c r="C873" s="18"/>
      <c r="D873" s="47"/>
      <c r="E873" s="18"/>
      <c r="F873" s="18"/>
      <c r="G873" s="18"/>
      <c r="H873" s="18"/>
      <c r="I873" s="25"/>
      <c r="J873" s="18"/>
      <c r="K873" s="18"/>
      <c r="L873" s="18"/>
      <c r="M873" s="18"/>
      <c r="N873" s="109"/>
      <c r="O873" s="18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>
      <c r="A874" s="1"/>
      <c r="B874" s="1"/>
      <c r="C874" s="18"/>
      <c r="D874" s="47"/>
      <c r="E874" s="18"/>
      <c r="F874" s="18"/>
      <c r="G874" s="18"/>
      <c r="H874" s="18"/>
      <c r="I874" s="25"/>
      <c r="J874" s="18"/>
      <c r="K874" s="18"/>
      <c r="L874" s="18"/>
      <c r="M874" s="18"/>
      <c r="N874" s="109"/>
      <c r="O874" s="18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>
      <c r="A875" s="1"/>
      <c r="B875" s="1"/>
      <c r="C875" s="18"/>
      <c r="D875" s="47"/>
      <c r="E875" s="18"/>
      <c r="F875" s="18"/>
      <c r="G875" s="18"/>
      <c r="H875" s="18"/>
      <c r="I875" s="25"/>
      <c r="J875" s="18"/>
      <c r="K875" s="18"/>
      <c r="L875" s="18"/>
      <c r="M875" s="18"/>
      <c r="N875" s="109"/>
      <c r="O875" s="18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>
      <c r="A876" s="1"/>
      <c r="B876" s="1"/>
      <c r="C876" s="18"/>
      <c r="D876" s="47"/>
      <c r="E876" s="18"/>
      <c r="F876" s="18"/>
      <c r="G876" s="18"/>
      <c r="H876" s="18"/>
      <c r="I876" s="25"/>
      <c r="J876" s="18"/>
      <c r="K876" s="18"/>
      <c r="L876" s="18"/>
      <c r="M876" s="18"/>
      <c r="N876" s="109"/>
      <c r="O876" s="18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>
      <c r="A877" s="1"/>
      <c r="B877" s="1"/>
      <c r="C877" s="18"/>
      <c r="D877" s="47"/>
      <c r="E877" s="18"/>
      <c r="F877" s="18"/>
      <c r="G877" s="18"/>
      <c r="H877" s="18"/>
      <c r="I877" s="25"/>
      <c r="J877" s="18"/>
      <c r="K877" s="18"/>
      <c r="L877" s="18"/>
      <c r="M877" s="18"/>
      <c r="N877" s="109"/>
      <c r="O877" s="18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>
      <c r="A878" s="1"/>
      <c r="B878" s="1"/>
      <c r="C878" s="18"/>
      <c r="D878" s="47"/>
      <c r="E878" s="18"/>
      <c r="F878" s="18"/>
      <c r="G878" s="18"/>
      <c r="H878" s="18"/>
      <c r="I878" s="25"/>
      <c r="J878" s="18"/>
      <c r="K878" s="18"/>
      <c r="L878" s="18"/>
      <c r="M878" s="18"/>
      <c r="N878" s="109"/>
      <c r="O878" s="18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>
      <c r="A879" s="1"/>
      <c r="B879" s="1"/>
      <c r="C879" s="18"/>
      <c r="D879" s="47"/>
      <c r="E879" s="18"/>
      <c r="F879" s="18"/>
      <c r="G879" s="18"/>
      <c r="H879" s="18"/>
      <c r="I879" s="25"/>
      <c r="J879" s="18"/>
      <c r="K879" s="18"/>
      <c r="L879" s="18"/>
      <c r="M879" s="18"/>
      <c r="N879" s="109"/>
      <c r="O879" s="18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>
      <c r="A880" s="1"/>
      <c r="B880" s="1"/>
      <c r="C880" s="18"/>
      <c r="D880" s="47"/>
      <c r="E880" s="18"/>
      <c r="F880" s="18"/>
      <c r="G880" s="18"/>
      <c r="H880" s="18"/>
      <c r="I880" s="25"/>
      <c r="J880" s="18"/>
      <c r="K880" s="18"/>
      <c r="L880" s="18"/>
      <c r="M880" s="18"/>
      <c r="N880" s="109"/>
      <c r="O880" s="18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>
      <c r="A881" s="1"/>
      <c r="B881" s="1"/>
      <c r="C881" s="18"/>
      <c r="D881" s="47"/>
      <c r="E881" s="18"/>
      <c r="F881" s="18"/>
      <c r="G881" s="18"/>
      <c r="H881" s="18"/>
      <c r="I881" s="25"/>
      <c r="J881" s="18"/>
      <c r="K881" s="18"/>
      <c r="L881" s="18"/>
      <c r="M881" s="18"/>
      <c r="N881" s="109"/>
      <c r="O881" s="18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>
      <c r="A882" s="1"/>
      <c r="B882" s="1"/>
      <c r="C882" s="18"/>
      <c r="D882" s="47"/>
      <c r="E882" s="18"/>
      <c r="F882" s="18"/>
      <c r="G882" s="18"/>
      <c r="H882" s="18"/>
      <c r="I882" s="25"/>
      <c r="J882" s="18"/>
      <c r="K882" s="18"/>
      <c r="L882" s="18"/>
      <c r="M882" s="18"/>
      <c r="N882" s="109"/>
      <c r="O882" s="18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>
      <c r="A883" s="1"/>
      <c r="B883" s="1"/>
      <c r="C883" s="18"/>
      <c r="D883" s="47"/>
      <c r="E883" s="18"/>
      <c r="F883" s="18"/>
      <c r="G883" s="18"/>
      <c r="H883" s="18"/>
      <c r="I883" s="25"/>
      <c r="J883" s="18"/>
      <c r="K883" s="18"/>
      <c r="L883" s="18"/>
      <c r="M883" s="18"/>
      <c r="N883" s="109"/>
      <c r="O883" s="18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>
      <c r="A884" s="1"/>
      <c r="B884" s="1"/>
      <c r="C884" s="18"/>
      <c r="D884" s="47"/>
      <c r="E884" s="18"/>
      <c r="F884" s="18"/>
      <c r="G884" s="18"/>
      <c r="H884" s="18"/>
      <c r="I884" s="25"/>
      <c r="J884" s="18"/>
      <c r="K884" s="18"/>
      <c r="L884" s="18"/>
      <c r="M884" s="18"/>
      <c r="N884" s="109"/>
      <c r="O884" s="18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>
      <c r="A885" s="1"/>
      <c r="B885" s="1"/>
      <c r="C885" s="18"/>
      <c r="D885" s="47"/>
      <c r="E885" s="18"/>
      <c r="F885" s="18"/>
      <c r="G885" s="18"/>
      <c r="H885" s="18"/>
      <c r="I885" s="25"/>
      <c r="J885" s="18"/>
      <c r="K885" s="18"/>
      <c r="L885" s="18"/>
      <c r="M885" s="18"/>
      <c r="N885" s="109"/>
      <c r="O885" s="18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>
      <c r="A886" s="1"/>
      <c r="B886" s="1"/>
      <c r="C886" s="18"/>
      <c r="D886" s="47"/>
      <c r="E886" s="18"/>
      <c r="F886" s="18"/>
      <c r="G886" s="18"/>
      <c r="H886" s="18"/>
      <c r="I886" s="25"/>
      <c r="J886" s="18"/>
      <c r="K886" s="18"/>
      <c r="L886" s="18"/>
      <c r="M886" s="18"/>
      <c r="N886" s="109"/>
      <c r="O886" s="18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>
      <c r="A887" s="1"/>
      <c r="B887" s="1"/>
      <c r="C887" s="18"/>
      <c r="D887" s="47"/>
      <c r="E887" s="18"/>
      <c r="F887" s="18"/>
      <c r="G887" s="18"/>
      <c r="H887" s="18"/>
      <c r="I887" s="25"/>
      <c r="J887" s="18"/>
      <c r="K887" s="18"/>
      <c r="L887" s="18"/>
      <c r="M887" s="18"/>
      <c r="N887" s="109"/>
      <c r="O887" s="18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>
      <c r="A888" s="1"/>
      <c r="B888" s="1"/>
      <c r="C888" s="18"/>
      <c r="D888" s="47"/>
      <c r="E888" s="18"/>
      <c r="F888" s="18"/>
      <c r="G888" s="18"/>
      <c r="H888" s="18"/>
      <c r="I888" s="25"/>
      <c r="J888" s="18"/>
      <c r="K888" s="18"/>
      <c r="L888" s="18"/>
      <c r="M888" s="18"/>
      <c r="N888" s="109"/>
      <c r="O888" s="18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>
      <c r="A889" s="1"/>
      <c r="B889" s="1"/>
      <c r="C889" s="18"/>
      <c r="D889" s="47"/>
      <c r="E889" s="18"/>
      <c r="F889" s="18"/>
      <c r="G889" s="18"/>
      <c r="H889" s="18"/>
      <c r="I889" s="25"/>
      <c r="J889" s="18"/>
      <c r="K889" s="18"/>
      <c r="L889" s="18"/>
      <c r="M889" s="18"/>
      <c r="N889" s="109"/>
      <c r="O889" s="18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>
      <c r="A890" s="1"/>
      <c r="B890" s="1"/>
      <c r="C890" s="18"/>
      <c r="D890" s="47"/>
      <c r="E890" s="18"/>
      <c r="F890" s="18"/>
      <c r="G890" s="18"/>
      <c r="H890" s="18"/>
      <c r="I890" s="25"/>
      <c r="J890" s="18"/>
      <c r="K890" s="18"/>
      <c r="L890" s="18"/>
      <c r="M890" s="18"/>
      <c r="N890" s="109"/>
      <c r="O890" s="18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>
      <c r="A891" s="1"/>
      <c r="B891" s="1"/>
      <c r="C891" s="18"/>
      <c r="D891" s="47"/>
      <c r="E891" s="18"/>
      <c r="F891" s="18"/>
      <c r="G891" s="18"/>
      <c r="H891" s="18"/>
      <c r="I891" s="25"/>
      <c r="J891" s="18"/>
      <c r="K891" s="18"/>
      <c r="L891" s="18"/>
      <c r="M891" s="18"/>
      <c r="N891" s="109"/>
      <c r="O891" s="18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>
      <c r="A892" s="1"/>
      <c r="B892" s="1"/>
      <c r="C892" s="18"/>
      <c r="D892" s="47"/>
      <c r="E892" s="18"/>
      <c r="F892" s="18"/>
      <c r="G892" s="18"/>
      <c r="H892" s="18"/>
      <c r="I892" s="25"/>
      <c r="J892" s="18"/>
      <c r="K892" s="18"/>
      <c r="L892" s="18"/>
      <c r="M892" s="18"/>
      <c r="N892" s="109"/>
      <c r="O892" s="18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>
      <c r="A893" s="1"/>
      <c r="B893" s="1"/>
      <c r="C893" s="18"/>
      <c r="D893" s="47"/>
      <c r="E893" s="18"/>
      <c r="F893" s="18"/>
      <c r="G893" s="18"/>
      <c r="H893" s="18"/>
      <c r="I893" s="25"/>
      <c r="J893" s="18"/>
      <c r="K893" s="18"/>
      <c r="L893" s="18"/>
      <c r="M893" s="18"/>
      <c r="N893" s="109"/>
      <c r="O893" s="18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>
      <c r="A894" s="1"/>
      <c r="B894" s="1"/>
      <c r="C894" s="18"/>
      <c r="D894" s="47"/>
      <c r="E894" s="18"/>
      <c r="F894" s="18"/>
      <c r="G894" s="18"/>
      <c r="H894" s="18"/>
      <c r="I894" s="25"/>
      <c r="J894" s="18"/>
      <c r="K894" s="18"/>
      <c r="L894" s="18"/>
      <c r="M894" s="18"/>
      <c r="N894" s="109"/>
      <c r="O894" s="18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>
      <c r="A895" s="1"/>
      <c r="B895" s="1"/>
      <c r="C895" s="18"/>
      <c r="D895" s="47"/>
      <c r="E895" s="18"/>
      <c r="F895" s="18"/>
      <c r="G895" s="18"/>
      <c r="H895" s="18"/>
      <c r="I895" s="25"/>
      <c r="J895" s="18"/>
      <c r="K895" s="18"/>
      <c r="L895" s="18"/>
      <c r="M895" s="18"/>
      <c r="N895" s="109"/>
      <c r="O895" s="18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>
      <c r="A896" s="1"/>
      <c r="B896" s="1"/>
      <c r="C896" s="18"/>
      <c r="D896" s="47"/>
      <c r="E896" s="18"/>
      <c r="F896" s="18"/>
      <c r="G896" s="18"/>
      <c r="H896" s="18"/>
      <c r="I896" s="25"/>
      <c r="J896" s="18"/>
      <c r="K896" s="18"/>
      <c r="L896" s="18"/>
      <c r="M896" s="18"/>
      <c r="N896" s="109"/>
      <c r="O896" s="18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>
      <c r="A897" s="1"/>
      <c r="B897" s="1"/>
      <c r="C897" s="18"/>
      <c r="D897" s="47"/>
      <c r="E897" s="18"/>
      <c r="F897" s="18"/>
      <c r="G897" s="18"/>
      <c r="H897" s="18"/>
      <c r="I897" s="25"/>
      <c r="J897" s="18"/>
      <c r="K897" s="18"/>
      <c r="L897" s="18"/>
      <c r="M897" s="18"/>
      <c r="N897" s="109"/>
      <c r="O897" s="18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>
      <c r="A898" s="1"/>
      <c r="B898" s="1"/>
      <c r="C898" s="18"/>
      <c r="D898" s="47"/>
      <c r="E898" s="18"/>
      <c r="F898" s="18"/>
      <c r="G898" s="18"/>
      <c r="H898" s="18"/>
      <c r="I898" s="25"/>
      <c r="J898" s="18"/>
      <c r="K898" s="18"/>
      <c r="L898" s="18"/>
      <c r="M898" s="18"/>
      <c r="N898" s="109"/>
      <c r="O898" s="18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>
      <c r="A899" s="1"/>
      <c r="B899" s="1"/>
      <c r="C899" s="18"/>
      <c r="D899" s="47"/>
      <c r="E899" s="18"/>
      <c r="F899" s="18"/>
      <c r="G899" s="18"/>
      <c r="H899" s="18"/>
      <c r="I899" s="25"/>
      <c r="J899" s="18"/>
      <c r="K899" s="18"/>
      <c r="L899" s="18"/>
      <c r="M899" s="18"/>
      <c r="N899" s="109"/>
      <c r="O899" s="18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>
      <c r="A900" s="1"/>
      <c r="B900" s="1"/>
      <c r="C900" s="18"/>
      <c r="D900" s="47"/>
      <c r="E900" s="18"/>
      <c r="F900" s="18"/>
      <c r="G900" s="18"/>
      <c r="H900" s="18"/>
      <c r="I900" s="25"/>
      <c r="J900" s="18"/>
      <c r="K900" s="18"/>
      <c r="L900" s="18"/>
      <c r="M900" s="18"/>
      <c r="N900" s="109"/>
      <c r="O900" s="18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>
      <c r="A901" s="1"/>
      <c r="B901" s="1"/>
      <c r="C901" s="18"/>
      <c r="D901" s="47"/>
      <c r="E901" s="18"/>
      <c r="F901" s="18"/>
      <c r="G901" s="18"/>
      <c r="H901" s="18"/>
      <c r="I901" s="25"/>
      <c r="J901" s="18"/>
      <c r="K901" s="18"/>
      <c r="L901" s="18"/>
      <c r="M901" s="18"/>
      <c r="N901" s="109"/>
      <c r="O901" s="18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>
      <c r="A902" s="1"/>
      <c r="B902" s="1"/>
      <c r="C902" s="18"/>
      <c r="D902" s="47"/>
      <c r="E902" s="18"/>
      <c r="F902" s="18"/>
      <c r="G902" s="18"/>
      <c r="H902" s="18"/>
      <c r="I902" s="25"/>
      <c r="J902" s="18"/>
      <c r="K902" s="18"/>
      <c r="L902" s="18"/>
      <c r="M902" s="18"/>
      <c r="N902" s="109"/>
      <c r="O902" s="18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>
      <c r="A903" s="1"/>
      <c r="B903" s="1"/>
      <c r="C903" s="18"/>
      <c r="D903" s="47"/>
      <c r="E903" s="18"/>
      <c r="F903" s="18"/>
      <c r="G903" s="18"/>
      <c r="H903" s="18"/>
      <c r="I903" s="25"/>
      <c r="J903" s="18"/>
      <c r="K903" s="18"/>
      <c r="L903" s="18"/>
      <c r="M903" s="18"/>
      <c r="N903" s="109"/>
      <c r="O903" s="18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>
      <c r="A904" s="1"/>
      <c r="B904" s="1"/>
      <c r="C904" s="18"/>
      <c r="D904" s="47"/>
      <c r="E904" s="18"/>
      <c r="F904" s="18"/>
      <c r="G904" s="18"/>
      <c r="H904" s="18"/>
      <c r="I904" s="25"/>
      <c r="J904" s="18"/>
      <c r="K904" s="18"/>
      <c r="L904" s="18"/>
      <c r="M904" s="18"/>
      <c r="N904" s="109"/>
      <c r="O904" s="18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>
      <c r="A905" s="1"/>
      <c r="B905" s="1"/>
      <c r="C905" s="18"/>
      <c r="D905" s="47"/>
      <c r="E905" s="18"/>
      <c r="F905" s="18"/>
      <c r="G905" s="18"/>
      <c r="H905" s="18"/>
      <c r="I905" s="25"/>
      <c r="J905" s="18"/>
      <c r="K905" s="18"/>
      <c r="L905" s="18"/>
      <c r="M905" s="18"/>
      <c r="N905" s="109"/>
      <c r="O905" s="18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>
      <c r="A906" s="1"/>
      <c r="B906" s="1"/>
      <c r="C906" s="18"/>
      <c r="D906" s="47"/>
      <c r="E906" s="18"/>
      <c r="F906" s="18"/>
      <c r="G906" s="18"/>
      <c r="H906" s="18"/>
      <c r="I906" s="25"/>
      <c r="J906" s="18"/>
      <c r="K906" s="18"/>
      <c r="L906" s="18"/>
      <c r="M906" s="18"/>
      <c r="N906" s="109"/>
      <c r="O906" s="18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>
      <c r="A907" s="1"/>
      <c r="B907" s="1"/>
      <c r="C907" s="18"/>
      <c r="D907" s="47"/>
      <c r="E907" s="18"/>
      <c r="F907" s="18"/>
      <c r="G907" s="18"/>
      <c r="H907" s="18"/>
      <c r="I907" s="25"/>
      <c r="J907" s="18"/>
      <c r="K907" s="18"/>
      <c r="L907" s="18"/>
      <c r="M907" s="18"/>
      <c r="N907" s="109"/>
      <c r="O907" s="18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>
      <c r="A908" s="1"/>
      <c r="B908" s="1"/>
      <c r="C908" s="18"/>
      <c r="D908" s="47"/>
      <c r="E908" s="18"/>
      <c r="F908" s="18"/>
      <c r="G908" s="18"/>
      <c r="H908" s="18"/>
      <c r="I908" s="25"/>
      <c r="J908" s="18"/>
      <c r="K908" s="18"/>
      <c r="L908" s="18"/>
      <c r="M908" s="18"/>
      <c r="N908" s="109"/>
      <c r="O908" s="18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>
      <c r="A909" s="1"/>
      <c r="B909" s="1"/>
      <c r="C909" s="18"/>
      <c r="D909" s="47"/>
      <c r="E909" s="18"/>
      <c r="F909" s="18"/>
      <c r="G909" s="18"/>
      <c r="H909" s="18"/>
      <c r="I909" s="25"/>
      <c r="J909" s="18"/>
      <c r="K909" s="18"/>
      <c r="L909" s="18"/>
      <c r="M909" s="18"/>
      <c r="N909" s="109"/>
      <c r="O909" s="18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>
      <c r="A910" s="1"/>
      <c r="B910" s="1"/>
      <c r="C910" s="18"/>
      <c r="D910" s="47"/>
      <c r="E910" s="18"/>
      <c r="F910" s="18"/>
      <c r="G910" s="18"/>
      <c r="H910" s="18"/>
      <c r="I910" s="25"/>
      <c r="J910" s="18"/>
      <c r="K910" s="18"/>
      <c r="L910" s="18"/>
      <c r="M910" s="18"/>
      <c r="N910" s="109"/>
      <c r="O910" s="18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>
      <c r="A911" s="1"/>
      <c r="B911" s="1"/>
      <c r="C911" s="18"/>
      <c r="D911" s="47"/>
      <c r="E911" s="18"/>
      <c r="F911" s="18"/>
      <c r="G911" s="18"/>
      <c r="H911" s="18"/>
      <c r="I911" s="25"/>
      <c r="J911" s="18"/>
      <c r="K911" s="18"/>
      <c r="L911" s="18"/>
      <c r="M911" s="18"/>
      <c r="N911" s="109"/>
      <c r="O911" s="18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>
      <c r="A912" s="1"/>
      <c r="B912" s="1"/>
      <c r="C912" s="18"/>
      <c r="D912" s="47"/>
      <c r="E912" s="18"/>
      <c r="F912" s="18"/>
      <c r="G912" s="18"/>
      <c r="H912" s="18"/>
      <c r="I912" s="25"/>
      <c r="J912" s="18"/>
      <c r="K912" s="18"/>
      <c r="L912" s="18"/>
      <c r="M912" s="18"/>
      <c r="N912" s="109"/>
      <c r="O912" s="18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>
      <c r="A913" s="1"/>
      <c r="B913" s="1"/>
      <c r="C913" s="18"/>
      <c r="D913" s="47"/>
      <c r="E913" s="18"/>
      <c r="F913" s="18"/>
      <c r="G913" s="18"/>
      <c r="H913" s="18"/>
      <c r="I913" s="25"/>
      <c r="J913" s="18"/>
      <c r="K913" s="18"/>
      <c r="L913" s="18"/>
      <c r="M913" s="18"/>
      <c r="N913" s="109"/>
      <c r="O913" s="18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>
      <c r="A914" s="1"/>
      <c r="B914" s="1"/>
      <c r="C914" s="18"/>
      <c r="D914" s="47"/>
      <c r="E914" s="18"/>
      <c r="F914" s="18"/>
      <c r="G914" s="18"/>
      <c r="H914" s="18"/>
      <c r="I914" s="25"/>
      <c r="J914" s="18"/>
      <c r="K914" s="18"/>
      <c r="L914" s="18"/>
      <c r="M914" s="18"/>
      <c r="N914" s="109"/>
      <c r="O914" s="18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>
      <c r="A915" s="1"/>
      <c r="B915" s="1"/>
      <c r="C915" s="18"/>
      <c r="D915" s="47"/>
      <c r="E915" s="18"/>
      <c r="F915" s="18"/>
      <c r="G915" s="18"/>
      <c r="H915" s="18"/>
      <c r="I915" s="25"/>
      <c r="J915" s="18"/>
      <c r="K915" s="18"/>
      <c r="L915" s="18"/>
      <c r="M915" s="18"/>
      <c r="N915" s="109"/>
      <c r="O915" s="18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>
      <c r="A916" s="1"/>
      <c r="B916" s="1"/>
      <c r="C916" s="18"/>
      <c r="D916" s="47"/>
      <c r="E916" s="18"/>
      <c r="F916" s="18"/>
      <c r="G916" s="18"/>
      <c r="H916" s="18"/>
      <c r="I916" s="25"/>
      <c r="J916" s="18"/>
      <c r="K916" s="18"/>
      <c r="L916" s="18"/>
      <c r="M916" s="18"/>
      <c r="N916" s="109"/>
      <c r="O916" s="18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>
      <c r="A917" s="1"/>
      <c r="B917" s="1"/>
      <c r="C917" s="18"/>
      <c r="D917" s="47"/>
      <c r="E917" s="18"/>
      <c r="F917" s="18"/>
      <c r="G917" s="18"/>
      <c r="H917" s="18"/>
      <c r="I917" s="25"/>
      <c r="J917" s="18"/>
      <c r="K917" s="18"/>
      <c r="L917" s="18"/>
      <c r="M917" s="18"/>
      <c r="N917" s="109"/>
      <c r="O917" s="18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>
      <c r="A918" s="1"/>
      <c r="B918" s="1"/>
      <c r="C918" s="18"/>
      <c r="D918" s="47"/>
      <c r="E918" s="18"/>
      <c r="F918" s="18"/>
      <c r="G918" s="18"/>
      <c r="H918" s="18"/>
      <c r="I918" s="25"/>
      <c r="J918" s="18"/>
      <c r="K918" s="18"/>
      <c r="L918" s="18"/>
      <c r="M918" s="18"/>
      <c r="N918" s="109"/>
      <c r="O918" s="18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>
      <c r="A919" s="1"/>
      <c r="B919" s="1"/>
      <c r="C919" s="18"/>
      <c r="D919" s="47"/>
      <c r="E919" s="18"/>
      <c r="F919" s="18"/>
      <c r="G919" s="18"/>
      <c r="H919" s="18"/>
      <c r="I919" s="25"/>
      <c r="J919" s="18"/>
      <c r="K919" s="18"/>
      <c r="L919" s="18"/>
      <c r="M919" s="18"/>
      <c r="N919" s="109"/>
      <c r="O919" s="18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>
      <c r="A920" s="1"/>
      <c r="B920" s="1"/>
      <c r="C920" s="18"/>
      <c r="D920" s="47"/>
      <c r="E920" s="18"/>
      <c r="F920" s="18"/>
      <c r="G920" s="18"/>
      <c r="H920" s="18"/>
      <c r="I920" s="25"/>
      <c r="J920" s="18"/>
      <c r="K920" s="18"/>
      <c r="L920" s="18"/>
      <c r="M920" s="18"/>
      <c r="N920" s="109"/>
      <c r="O920" s="18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>
      <c r="A921" s="1"/>
      <c r="B921" s="1"/>
      <c r="C921" s="18"/>
      <c r="D921" s="47"/>
      <c r="E921" s="18"/>
      <c r="F921" s="18"/>
      <c r="G921" s="18"/>
      <c r="H921" s="18"/>
      <c r="I921" s="25"/>
      <c r="J921" s="18"/>
      <c r="K921" s="18"/>
      <c r="L921" s="18"/>
      <c r="M921" s="18"/>
      <c r="N921" s="109"/>
      <c r="O921" s="18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>
      <c r="A922" s="1"/>
      <c r="B922" s="1"/>
      <c r="C922" s="18"/>
      <c r="D922" s="47"/>
      <c r="E922" s="18"/>
      <c r="F922" s="18"/>
      <c r="G922" s="18"/>
      <c r="H922" s="18"/>
      <c r="I922" s="25"/>
      <c r="J922" s="18"/>
      <c r="K922" s="18"/>
      <c r="L922" s="18"/>
      <c r="M922" s="18"/>
      <c r="N922" s="109"/>
      <c r="O922" s="18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>
      <c r="A923" s="1"/>
      <c r="B923" s="1"/>
      <c r="C923" s="18"/>
      <c r="D923" s="47"/>
      <c r="E923" s="18"/>
      <c r="F923" s="18"/>
      <c r="G923" s="18"/>
      <c r="H923" s="18"/>
      <c r="I923" s="25"/>
      <c r="J923" s="18"/>
      <c r="K923" s="18"/>
      <c r="L923" s="18"/>
      <c r="M923" s="18"/>
      <c r="N923" s="109"/>
      <c r="O923" s="18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>
      <c r="A924" s="1"/>
      <c r="B924" s="1"/>
      <c r="C924" s="18"/>
      <c r="D924" s="47"/>
      <c r="E924" s="18"/>
      <c r="F924" s="18"/>
      <c r="G924" s="18"/>
      <c r="H924" s="18"/>
      <c r="I924" s="25"/>
      <c r="J924" s="18"/>
      <c r="K924" s="18"/>
      <c r="L924" s="18"/>
      <c r="M924" s="18"/>
      <c r="N924" s="109"/>
      <c r="O924" s="18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>
      <c r="A925" s="1"/>
      <c r="B925" s="1"/>
      <c r="C925" s="18"/>
      <c r="D925" s="47"/>
      <c r="E925" s="18"/>
      <c r="F925" s="18"/>
      <c r="G925" s="18"/>
      <c r="H925" s="18"/>
      <c r="I925" s="25"/>
      <c r="J925" s="18"/>
      <c r="K925" s="18"/>
      <c r="L925" s="18"/>
      <c r="M925" s="18"/>
      <c r="N925" s="109"/>
      <c r="O925" s="18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>
      <c r="A926" s="1"/>
      <c r="B926" s="1"/>
      <c r="C926" s="18"/>
      <c r="D926" s="47"/>
      <c r="E926" s="18"/>
      <c r="F926" s="18"/>
      <c r="G926" s="18"/>
      <c r="H926" s="18"/>
      <c r="I926" s="25"/>
      <c r="J926" s="18"/>
      <c r="K926" s="18"/>
      <c r="L926" s="18"/>
      <c r="M926" s="18"/>
      <c r="N926" s="109"/>
      <c r="O926" s="18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>
      <c r="A927" s="1"/>
      <c r="B927" s="1"/>
      <c r="C927" s="18"/>
      <c r="D927" s="47"/>
      <c r="E927" s="18"/>
      <c r="F927" s="18"/>
      <c r="G927" s="18"/>
      <c r="H927" s="18"/>
      <c r="I927" s="25"/>
      <c r="J927" s="18"/>
      <c r="K927" s="18"/>
      <c r="L927" s="18"/>
      <c r="M927" s="18"/>
      <c r="N927" s="109"/>
      <c r="O927" s="18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>
      <c r="A928" s="1"/>
      <c r="B928" s="1"/>
      <c r="C928" s="18"/>
      <c r="D928" s="47"/>
      <c r="E928" s="18"/>
      <c r="F928" s="18"/>
      <c r="G928" s="18"/>
      <c r="H928" s="18"/>
      <c r="I928" s="25"/>
      <c r="J928" s="18"/>
      <c r="K928" s="18"/>
      <c r="L928" s="18"/>
      <c r="M928" s="18"/>
      <c r="N928" s="109"/>
      <c r="O928" s="18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>
      <c r="A929" s="1"/>
      <c r="B929" s="1"/>
      <c r="C929" s="18"/>
      <c r="D929" s="47"/>
      <c r="E929" s="18"/>
      <c r="F929" s="18"/>
      <c r="G929" s="18"/>
      <c r="H929" s="18"/>
      <c r="I929" s="25"/>
      <c r="J929" s="18"/>
      <c r="K929" s="18"/>
      <c r="L929" s="18"/>
      <c r="M929" s="18"/>
      <c r="N929" s="109"/>
      <c r="O929" s="18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>
      <c r="A930" s="1"/>
      <c r="B930" s="1"/>
      <c r="C930" s="18"/>
      <c r="D930" s="47"/>
      <c r="E930" s="18"/>
      <c r="F930" s="18"/>
      <c r="G930" s="18"/>
      <c r="H930" s="18"/>
      <c r="I930" s="25"/>
      <c r="J930" s="18"/>
      <c r="K930" s="18"/>
      <c r="L930" s="18"/>
      <c r="M930" s="18"/>
      <c r="N930" s="109"/>
      <c r="O930" s="18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>
      <c r="A931" s="1"/>
      <c r="B931" s="1"/>
      <c r="C931" s="18"/>
      <c r="D931" s="47"/>
      <c r="E931" s="18"/>
      <c r="F931" s="18"/>
      <c r="G931" s="18"/>
      <c r="H931" s="18"/>
      <c r="I931" s="25"/>
      <c r="J931" s="18"/>
      <c r="K931" s="18"/>
      <c r="L931" s="18"/>
      <c r="M931" s="18"/>
      <c r="N931" s="109"/>
      <c r="O931" s="18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>
      <c r="A932" s="1"/>
      <c r="B932" s="1"/>
      <c r="C932" s="18"/>
      <c r="D932" s="47"/>
      <c r="E932" s="18"/>
      <c r="F932" s="18"/>
      <c r="G932" s="18"/>
      <c r="H932" s="18"/>
      <c r="I932" s="25"/>
      <c r="J932" s="18"/>
      <c r="K932" s="18"/>
      <c r="L932" s="18"/>
      <c r="M932" s="18"/>
      <c r="N932" s="109"/>
      <c r="O932" s="18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>
      <c r="A933" s="1"/>
      <c r="B933" s="1"/>
      <c r="C933" s="18"/>
      <c r="D933" s="47"/>
      <c r="E933" s="18"/>
      <c r="F933" s="18"/>
      <c r="G933" s="18"/>
      <c r="H933" s="18"/>
      <c r="I933" s="25"/>
      <c r="J933" s="18"/>
      <c r="K933" s="18"/>
      <c r="L933" s="18"/>
      <c r="M933" s="18"/>
      <c r="N933" s="109"/>
      <c r="O933" s="18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>
      <c r="A934" s="1"/>
      <c r="B934" s="1"/>
      <c r="C934" s="18"/>
      <c r="D934" s="47"/>
      <c r="E934" s="18"/>
      <c r="F934" s="18"/>
      <c r="G934" s="18"/>
      <c r="H934" s="18"/>
      <c r="I934" s="25"/>
      <c r="J934" s="18"/>
      <c r="K934" s="18"/>
      <c r="L934" s="18"/>
      <c r="M934" s="18"/>
      <c r="N934" s="109"/>
      <c r="O934" s="18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>
      <c r="A935" s="1"/>
      <c r="B935" s="1"/>
      <c r="C935" s="18"/>
      <c r="D935" s="47"/>
      <c r="E935" s="18"/>
      <c r="F935" s="18"/>
      <c r="G935" s="18"/>
      <c r="H935" s="18"/>
      <c r="I935" s="25"/>
      <c r="J935" s="18"/>
      <c r="K935" s="18"/>
      <c r="L935" s="18"/>
      <c r="M935" s="18"/>
      <c r="N935" s="109"/>
      <c r="O935" s="18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>
      <c r="A936" s="1"/>
      <c r="B936" s="1"/>
      <c r="C936" s="18"/>
      <c r="D936" s="47"/>
      <c r="E936" s="18"/>
      <c r="F936" s="18"/>
      <c r="G936" s="18"/>
      <c r="H936" s="18"/>
      <c r="I936" s="25"/>
      <c r="J936" s="18"/>
      <c r="K936" s="18"/>
      <c r="L936" s="18"/>
      <c r="M936" s="18"/>
      <c r="N936" s="109"/>
      <c r="O936" s="18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>
      <c r="A937" s="1"/>
      <c r="B937" s="1"/>
      <c r="C937" s="18"/>
      <c r="D937" s="47"/>
      <c r="E937" s="18"/>
      <c r="F937" s="18"/>
      <c r="G937" s="18"/>
      <c r="H937" s="18"/>
      <c r="I937" s="25"/>
      <c r="J937" s="18"/>
      <c r="K937" s="18"/>
      <c r="L937" s="18"/>
      <c r="M937" s="18"/>
      <c r="N937" s="109"/>
      <c r="O937" s="18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>
      <c r="A938" s="1"/>
      <c r="B938" s="1"/>
      <c r="C938" s="18"/>
      <c r="D938" s="47"/>
      <c r="E938" s="18"/>
      <c r="F938" s="18"/>
      <c r="G938" s="18"/>
      <c r="H938" s="18"/>
      <c r="I938" s="25"/>
      <c r="J938" s="18"/>
      <c r="K938" s="18"/>
      <c r="L938" s="18"/>
      <c r="M938" s="18"/>
      <c r="N938" s="109"/>
      <c r="O938" s="18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>
      <c r="A939" s="1"/>
      <c r="B939" s="1"/>
      <c r="C939" s="18"/>
      <c r="D939" s="47"/>
      <c r="E939" s="18"/>
      <c r="F939" s="18"/>
      <c r="G939" s="18"/>
      <c r="H939" s="18"/>
      <c r="I939" s="25"/>
      <c r="J939" s="18"/>
      <c r="K939" s="18"/>
      <c r="L939" s="18"/>
      <c r="M939" s="18"/>
      <c r="N939" s="109"/>
      <c r="O939" s="18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>
      <c r="A940" s="1"/>
      <c r="B940" s="1"/>
      <c r="C940" s="18"/>
      <c r="D940" s="47"/>
      <c r="E940" s="18"/>
      <c r="F940" s="18"/>
      <c r="G940" s="18"/>
      <c r="H940" s="18"/>
      <c r="I940" s="25"/>
      <c r="J940" s="18"/>
      <c r="K940" s="18"/>
      <c r="L940" s="18"/>
      <c r="M940" s="18"/>
      <c r="N940" s="109"/>
      <c r="O940" s="18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>
      <c r="A941" s="1"/>
      <c r="B941" s="1"/>
      <c r="C941" s="18"/>
      <c r="D941" s="47"/>
      <c r="E941" s="18"/>
      <c r="F941" s="18"/>
      <c r="G941" s="18"/>
      <c r="H941" s="18"/>
      <c r="I941" s="25"/>
      <c r="J941" s="18"/>
      <c r="K941" s="18"/>
      <c r="L941" s="18"/>
      <c r="M941" s="18"/>
      <c r="N941" s="109"/>
      <c r="O941" s="18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>
      <c r="A942" s="1"/>
      <c r="B942" s="1"/>
      <c r="C942" s="18"/>
      <c r="D942" s="47"/>
      <c r="E942" s="18"/>
      <c r="F942" s="18"/>
      <c r="G942" s="18"/>
      <c r="H942" s="18"/>
      <c r="I942" s="25"/>
      <c r="J942" s="18"/>
      <c r="K942" s="18"/>
      <c r="L942" s="18"/>
      <c r="M942" s="18"/>
      <c r="N942" s="109"/>
      <c r="O942" s="18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>
      <c r="A943" s="1"/>
      <c r="B943" s="1"/>
      <c r="C943" s="18"/>
      <c r="D943" s="47"/>
      <c r="E943" s="18"/>
      <c r="F943" s="18"/>
      <c r="G943" s="18"/>
      <c r="H943" s="18"/>
      <c r="I943" s="25"/>
      <c r="J943" s="18"/>
      <c r="K943" s="18"/>
      <c r="L943" s="18"/>
      <c r="M943" s="18"/>
      <c r="N943" s="109"/>
      <c r="O943" s="18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>
      <c r="A944" s="1"/>
      <c r="B944" s="1"/>
      <c r="C944" s="18"/>
      <c r="D944" s="47"/>
      <c r="E944" s="18"/>
      <c r="F944" s="18"/>
      <c r="G944" s="18"/>
      <c r="H944" s="18"/>
      <c r="I944" s="25"/>
      <c r="J944" s="18"/>
      <c r="K944" s="18"/>
      <c r="L944" s="18"/>
      <c r="M944" s="18"/>
      <c r="N944" s="109"/>
      <c r="O944" s="18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>
      <c r="A945" s="1"/>
      <c r="B945" s="1"/>
      <c r="C945" s="18"/>
      <c r="D945" s="47"/>
      <c r="E945" s="18"/>
      <c r="F945" s="18"/>
      <c r="G945" s="18"/>
      <c r="H945" s="18"/>
      <c r="I945" s="25"/>
      <c r="J945" s="18"/>
      <c r="K945" s="18"/>
      <c r="L945" s="18"/>
      <c r="M945" s="18"/>
      <c r="N945" s="109"/>
      <c r="O945" s="18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>
      <c r="A946" s="1"/>
      <c r="B946" s="1"/>
      <c r="C946" s="18"/>
      <c r="D946" s="47"/>
      <c r="E946" s="18"/>
      <c r="F946" s="18"/>
      <c r="G946" s="18"/>
      <c r="H946" s="18"/>
      <c r="I946" s="25"/>
      <c r="J946" s="18"/>
      <c r="K946" s="18"/>
      <c r="L946" s="18"/>
      <c r="M946" s="18"/>
      <c r="N946" s="109"/>
      <c r="O946" s="18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>
      <c r="A947" s="1"/>
      <c r="B947" s="1"/>
      <c r="C947" s="18"/>
      <c r="D947" s="47"/>
      <c r="E947" s="18"/>
      <c r="F947" s="18"/>
      <c r="G947" s="18"/>
      <c r="H947" s="18"/>
      <c r="I947" s="25"/>
      <c r="J947" s="18"/>
      <c r="K947" s="18"/>
      <c r="L947" s="18"/>
      <c r="M947" s="18"/>
      <c r="N947" s="109"/>
      <c r="O947" s="18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>
      <c r="A948" s="1"/>
      <c r="B948" s="1"/>
      <c r="C948" s="18"/>
      <c r="D948" s="47"/>
      <c r="E948" s="18"/>
      <c r="F948" s="18"/>
      <c r="G948" s="18"/>
      <c r="H948" s="18"/>
      <c r="I948" s="25"/>
      <c r="J948" s="18"/>
      <c r="K948" s="18"/>
      <c r="L948" s="18"/>
      <c r="M948" s="18"/>
      <c r="N948" s="109"/>
      <c r="O948" s="18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>
      <c r="A949" s="1"/>
      <c r="B949" s="1"/>
      <c r="C949" s="18"/>
      <c r="D949" s="47"/>
      <c r="E949" s="18"/>
      <c r="F949" s="18"/>
      <c r="G949" s="18"/>
      <c r="H949" s="18"/>
      <c r="I949" s="25"/>
      <c r="J949" s="18"/>
      <c r="K949" s="18"/>
      <c r="L949" s="18"/>
      <c r="M949" s="18"/>
      <c r="N949" s="109"/>
      <c r="O949" s="18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>
      <c r="A950" s="1"/>
      <c r="B950" s="1"/>
      <c r="C950" s="18"/>
      <c r="D950" s="47"/>
      <c r="E950" s="18"/>
      <c r="F950" s="18"/>
      <c r="G950" s="18"/>
      <c r="H950" s="18"/>
      <c r="I950" s="25"/>
      <c r="J950" s="18"/>
      <c r="K950" s="18"/>
      <c r="L950" s="18"/>
      <c r="M950" s="18"/>
      <c r="N950" s="109"/>
      <c r="O950" s="18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>
      <c r="A951" s="1"/>
      <c r="B951" s="1"/>
      <c r="C951" s="18"/>
      <c r="D951" s="47"/>
      <c r="E951" s="18"/>
      <c r="F951" s="18"/>
      <c r="G951" s="18"/>
      <c r="H951" s="18"/>
      <c r="I951" s="25"/>
      <c r="J951" s="18"/>
      <c r="K951" s="18"/>
      <c r="L951" s="18"/>
      <c r="M951" s="18"/>
      <c r="N951" s="109"/>
      <c r="O951" s="18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>
      <c r="A952" s="1"/>
      <c r="B952" s="1"/>
      <c r="C952" s="18"/>
      <c r="D952" s="47"/>
      <c r="E952" s="18"/>
      <c r="F952" s="18"/>
      <c r="G952" s="18"/>
      <c r="H952" s="18"/>
      <c r="I952" s="25"/>
      <c r="J952" s="18"/>
      <c r="K952" s="18"/>
      <c r="L952" s="18"/>
      <c r="M952" s="18"/>
      <c r="N952" s="109"/>
      <c r="O952" s="18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>
      <c r="A953" s="1"/>
      <c r="B953" s="1"/>
      <c r="C953" s="18"/>
      <c r="D953" s="47"/>
      <c r="E953" s="18"/>
      <c r="F953" s="18"/>
      <c r="G953" s="18"/>
      <c r="H953" s="18"/>
      <c r="I953" s="25"/>
      <c r="J953" s="18"/>
      <c r="K953" s="18"/>
      <c r="L953" s="18"/>
      <c r="M953" s="18"/>
      <c r="N953" s="109"/>
      <c r="O953" s="18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>
      <c r="A954" s="1"/>
      <c r="B954" s="1"/>
      <c r="C954" s="18"/>
      <c r="D954" s="47"/>
      <c r="E954" s="18"/>
      <c r="F954" s="18"/>
      <c r="G954" s="18"/>
      <c r="H954" s="18"/>
      <c r="I954" s="25"/>
      <c r="J954" s="18"/>
      <c r="K954" s="18"/>
      <c r="L954" s="18"/>
      <c r="M954" s="18"/>
      <c r="N954" s="109"/>
      <c r="O954" s="18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>
      <c r="A955" s="1"/>
      <c r="B955" s="1"/>
      <c r="C955" s="18"/>
      <c r="D955" s="47"/>
      <c r="E955" s="18"/>
      <c r="F955" s="18"/>
      <c r="G955" s="18"/>
      <c r="H955" s="18"/>
      <c r="I955" s="25"/>
      <c r="J955" s="18"/>
      <c r="K955" s="18"/>
      <c r="L955" s="18"/>
      <c r="M955" s="18"/>
      <c r="N955" s="109"/>
      <c r="O955" s="18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>
      <c r="A956" s="1"/>
      <c r="B956" s="1"/>
      <c r="C956" s="18"/>
      <c r="D956" s="47"/>
      <c r="E956" s="18"/>
      <c r="F956" s="18"/>
      <c r="G956" s="18"/>
      <c r="H956" s="18"/>
      <c r="I956" s="25"/>
      <c r="J956" s="18"/>
      <c r="K956" s="18"/>
      <c r="L956" s="18"/>
      <c r="M956" s="18"/>
      <c r="N956" s="109"/>
      <c r="O956" s="18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>
      <c r="A957" s="1"/>
      <c r="B957" s="1"/>
      <c r="C957" s="18"/>
      <c r="D957" s="47"/>
      <c r="E957" s="18"/>
      <c r="F957" s="18"/>
      <c r="G957" s="18"/>
      <c r="H957" s="18"/>
      <c r="I957" s="25"/>
      <c r="J957" s="18"/>
      <c r="K957" s="18"/>
      <c r="L957" s="18"/>
      <c r="M957" s="18"/>
      <c r="N957" s="109"/>
      <c r="O957" s="18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>
      <c r="A958" s="1"/>
      <c r="B958" s="1"/>
      <c r="C958" s="18"/>
      <c r="D958" s="47"/>
      <c r="E958" s="18"/>
      <c r="F958" s="18"/>
      <c r="G958" s="18"/>
      <c r="H958" s="18"/>
      <c r="I958" s="25"/>
      <c r="J958" s="18"/>
      <c r="K958" s="18"/>
      <c r="L958" s="18"/>
      <c r="M958" s="18"/>
      <c r="N958" s="109"/>
      <c r="O958" s="18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>
      <c r="A959" s="1"/>
      <c r="B959" s="1"/>
      <c r="C959" s="18"/>
      <c r="D959" s="47"/>
      <c r="E959" s="18"/>
      <c r="F959" s="18"/>
      <c r="G959" s="18"/>
      <c r="H959" s="18"/>
      <c r="I959" s="25"/>
      <c r="J959" s="18"/>
      <c r="K959" s="18"/>
      <c r="L959" s="18"/>
      <c r="M959" s="18"/>
      <c r="N959" s="109"/>
      <c r="O959" s="18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>
      <c r="A960" s="1"/>
      <c r="B960" s="1"/>
      <c r="C960" s="18"/>
      <c r="D960" s="47"/>
      <c r="E960" s="18"/>
      <c r="F960" s="18"/>
      <c r="G960" s="18"/>
      <c r="H960" s="18"/>
      <c r="I960" s="25"/>
      <c r="J960" s="18"/>
      <c r="K960" s="18"/>
      <c r="L960" s="18"/>
      <c r="M960" s="18"/>
      <c r="N960" s="109"/>
      <c r="O960" s="18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>
      <c r="A961" s="1"/>
      <c r="B961" s="1"/>
      <c r="C961" s="18"/>
      <c r="D961" s="47"/>
      <c r="E961" s="18"/>
      <c r="F961" s="18"/>
      <c r="G961" s="18"/>
      <c r="H961" s="18"/>
      <c r="I961" s="25"/>
      <c r="J961" s="18"/>
      <c r="K961" s="18"/>
      <c r="L961" s="18"/>
      <c r="M961" s="18"/>
      <c r="N961" s="109"/>
      <c r="O961" s="18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>
      <c r="A962" s="1"/>
      <c r="B962" s="1"/>
      <c r="C962" s="18"/>
      <c r="D962" s="47"/>
      <c r="E962" s="18"/>
      <c r="F962" s="18"/>
      <c r="G962" s="18"/>
      <c r="H962" s="18"/>
      <c r="I962" s="25"/>
      <c r="J962" s="18"/>
      <c r="K962" s="18"/>
      <c r="L962" s="18"/>
      <c r="M962" s="18"/>
      <c r="N962" s="109"/>
      <c r="O962" s="18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>
      <c r="A963" s="1"/>
      <c r="B963" s="1"/>
      <c r="C963" s="18"/>
      <c r="D963" s="47"/>
      <c r="E963" s="18"/>
      <c r="F963" s="18"/>
      <c r="G963" s="18"/>
      <c r="H963" s="18"/>
      <c r="I963" s="25"/>
      <c r="J963" s="18"/>
      <c r="K963" s="18"/>
      <c r="L963" s="18"/>
      <c r="M963" s="18"/>
      <c r="N963" s="109"/>
      <c r="O963" s="18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>
      <c r="A964" s="1"/>
      <c r="B964" s="1"/>
      <c r="C964" s="18"/>
      <c r="D964" s="47"/>
      <c r="E964" s="18"/>
      <c r="F964" s="18"/>
      <c r="G964" s="18"/>
      <c r="H964" s="18"/>
      <c r="I964" s="25"/>
      <c r="J964" s="18"/>
      <c r="K964" s="18"/>
      <c r="L964" s="18"/>
      <c r="M964" s="18"/>
      <c r="N964" s="109"/>
      <c r="O964" s="18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>
      <c r="A965" s="1"/>
      <c r="B965" s="1"/>
      <c r="C965" s="18"/>
      <c r="D965" s="47"/>
      <c r="E965" s="18"/>
      <c r="F965" s="18"/>
      <c r="G965" s="18"/>
      <c r="H965" s="18"/>
      <c r="I965" s="25"/>
      <c r="J965" s="18"/>
      <c r="K965" s="18"/>
      <c r="L965" s="18"/>
      <c r="M965" s="18"/>
      <c r="N965" s="109"/>
      <c r="O965" s="18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>
      <c r="A966" s="1"/>
      <c r="B966" s="1"/>
      <c r="C966" s="18"/>
      <c r="D966" s="47"/>
      <c r="E966" s="18"/>
      <c r="F966" s="18"/>
      <c r="G966" s="18"/>
      <c r="H966" s="18"/>
      <c r="I966" s="25"/>
      <c r="J966" s="18"/>
      <c r="K966" s="18"/>
      <c r="L966" s="18"/>
      <c r="M966" s="18"/>
      <c r="N966" s="109"/>
      <c r="O966" s="18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>
      <c r="A967" s="1"/>
      <c r="B967" s="1"/>
      <c r="C967" s="18"/>
      <c r="D967" s="47"/>
      <c r="E967" s="18"/>
      <c r="F967" s="18"/>
      <c r="G967" s="18"/>
      <c r="H967" s="18"/>
      <c r="I967" s="25"/>
      <c r="J967" s="18"/>
      <c r="K967" s="18"/>
      <c r="L967" s="18"/>
      <c r="M967" s="18"/>
      <c r="N967" s="109"/>
      <c r="O967" s="18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>
      <c r="A968" s="1"/>
      <c r="B968" s="1"/>
      <c r="C968" s="18"/>
      <c r="D968" s="47"/>
      <c r="E968" s="18"/>
      <c r="F968" s="18"/>
      <c r="G968" s="18"/>
      <c r="H968" s="18"/>
      <c r="I968" s="25"/>
      <c r="J968" s="18"/>
      <c r="K968" s="18"/>
      <c r="L968" s="18"/>
      <c r="M968" s="18"/>
      <c r="N968" s="109"/>
      <c r="O968" s="18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>
      <c r="A969" s="1"/>
      <c r="B969" s="1"/>
      <c r="C969" s="18"/>
      <c r="D969" s="47"/>
      <c r="E969" s="18"/>
      <c r="F969" s="18"/>
      <c r="G969" s="18"/>
      <c r="H969" s="18"/>
      <c r="I969" s="25"/>
      <c r="J969" s="18"/>
      <c r="K969" s="18"/>
      <c r="L969" s="18"/>
      <c r="M969" s="18"/>
      <c r="N969" s="109"/>
      <c r="O969" s="18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>
      <c r="A970" s="1"/>
      <c r="B970" s="1"/>
      <c r="C970" s="18"/>
      <c r="D970" s="47"/>
      <c r="E970" s="18"/>
      <c r="F970" s="18"/>
      <c r="G970" s="18"/>
      <c r="H970" s="18"/>
      <c r="I970" s="25"/>
      <c r="J970" s="18"/>
      <c r="K970" s="18"/>
      <c r="L970" s="18"/>
      <c r="M970" s="18"/>
      <c r="N970" s="109"/>
      <c r="O970" s="18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>
      <c r="A971" s="1"/>
      <c r="B971" s="1"/>
      <c r="C971" s="18"/>
      <c r="D971" s="47"/>
      <c r="E971" s="18"/>
      <c r="F971" s="18"/>
      <c r="G971" s="18"/>
      <c r="H971" s="18"/>
      <c r="I971" s="25"/>
      <c r="J971" s="18"/>
      <c r="K971" s="18"/>
      <c r="L971" s="18"/>
      <c r="M971" s="18"/>
      <c r="N971" s="109"/>
      <c r="O971" s="18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>
      <c r="A972" s="1"/>
      <c r="B972" s="1"/>
      <c r="C972" s="18"/>
      <c r="D972" s="47"/>
      <c r="E972" s="18"/>
      <c r="F972" s="18"/>
      <c r="G972" s="18"/>
      <c r="H972" s="18"/>
      <c r="I972" s="25"/>
      <c r="J972" s="18"/>
      <c r="K972" s="18"/>
      <c r="L972" s="18"/>
      <c r="M972" s="18"/>
      <c r="N972" s="109"/>
      <c r="O972" s="18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>
      <c r="A973" s="1"/>
      <c r="B973" s="1"/>
      <c r="C973" s="18"/>
      <c r="D973" s="47"/>
      <c r="E973" s="18"/>
      <c r="F973" s="18"/>
      <c r="G973" s="18"/>
      <c r="H973" s="18"/>
      <c r="I973" s="25"/>
      <c r="J973" s="18"/>
      <c r="K973" s="18"/>
      <c r="L973" s="18"/>
      <c r="M973" s="18"/>
      <c r="N973" s="109"/>
      <c r="O973" s="18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>
      <c r="A974" s="1"/>
      <c r="B974" s="1"/>
      <c r="C974" s="18"/>
      <c r="D974" s="47"/>
      <c r="E974" s="18"/>
      <c r="F974" s="18"/>
      <c r="G974" s="18"/>
      <c r="H974" s="18"/>
      <c r="I974" s="25"/>
      <c r="J974" s="18"/>
      <c r="K974" s="18"/>
      <c r="L974" s="18"/>
      <c r="M974" s="18"/>
      <c r="N974" s="109"/>
      <c r="O974" s="18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>
      <c r="A975" s="1"/>
      <c r="B975" s="1"/>
      <c r="C975" s="18"/>
      <c r="D975" s="47"/>
      <c r="E975" s="18"/>
      <c r="F975" s="18"/>
      <c r="G975" s="18"/>
      <c r="H975" s="18"/>
      <c r="I975" s="25"/>
      <c r="J975" s="18"/>
      <c r="K975" s="18"/>
      <c r="L975" s="18"/>
      <c r="M975" s="18"/>
      <c r="N975" s="109"/>
      <c r="O975" s="18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>
      <c r="A976" s="1"/>
      <c r="B976" s="1"/>
      <c r="C976" s="18"/>
      <c r="D976" s="47"/>
      <c r="E976" s="18"/>
      <c r="F976" s="18"/>
      <c r="G976" s="18"/>
      <c r="H976" s="18"/>
      <c r="I976" s="25"/>
      <c r="J976" s="18"/>
      <c r="K976" s="18"/>
      <c r="L976" s="18"/>
      <c r="M976" s="18"/>
      <c r="N976" s="109"/>
      <c r="O976" s="18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>
      <c r="A977" s="1"/>
      <c r="B977" s="1"/>
      <c r="C977" s="18"/>
      <c r="D977" s="47"/>
      <c r="E977" s="18"/>
      <c r="F977" s="18"/>
      <c r="G977" s="18"/>
      <c r="H977" s="18"/>
      <c r="I977" s="25"/>
      <c r="J977" s="18"/>
      <c r="K977" s="18"/>
      <c r="L977" s="18"/>
      <c r="M977" s="18"/>
      <c r="N977" s="109"/>
      <c r="O977" s="18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>
      <c r="A978" s="1"/>
      <c r="B978" s="1"/>
      <c r="C978" s="18"/>
      <c r="D978" s="47"/>
      <c r="E978" s="18"/>
      <c r="F978" s="18"/>
      <c r="G978" s="18"/>
      <c r="H978" s="18"/>
      <c r="I978" s="25"/>
      <c r="J978" s="18"/>
      <c r="K978" s="18"/>
      <c r="L978" s="18"/>
      <c r="M978" s="18"/>
      <c r="N978" s="109"/>
      <c r="O978" s="18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>
      <c r="A979" s="1"/>
      <c r="B979" s="1"/>
      <c r="C979" s="18"/>
      <c r="D979" s="47"/>
      <c r="E979" s="18"/>
      <c r="F979" s="18"/>
      <c r="G979" s="18"/>
      <c r="H979" s="18"/>
      <c r="I979" s="25"/>
      <c r="J979" s="18"/>
      <c r="K979" s="18"/>
      <c r="L979" s="18"/>
      <c r="M979" s="18"/>
      <c r="N979" s="109"/>
      <c r="O979" s="18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>
      <c r="A980" s="1"/>
      <c r="B980" s="1"/>
      <c r="C980" s="18"/>
      <c r="D980" s="47"/>
      <c r="E980" s="18"/>
      <c r="F980" s="18"/>
      <c r="G980" s="18"/>
      <c r="H980" s="18"/>
      <c r="I980" s="25"/>
      <c r="J980" s="18"/>
      <c r="K980" s="18"/>
      <c r="L980" s="18"/>
      <c r="M980" s="18"/>
      <c r="N980" s="109"/>
      <c r="O980" s="18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>
      <c r="A981" s="1"/>
      <c r="B981" s="1"/>
      <c r="C981" s="18"/>
      <c r="D981" s="47"/>
      <c r="E981" s="18"/>
      <c r="F981" s="18"/>
      <c r="G981" s="18"/>
      <c r="H981" s="18"/>
      <c r="I981" s="25"/>
      <c r="J981" s="18"/>
      <c r="K981" s="18"/>
      <c r="L981" s="18"/>
      <c r="M981" s="18"/>
      <c r="N981" s="109"/>
      <c r="O981" s="18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>
      <c r="A982" s="1"/>
      <c r="B982" s="1"/>
      <c r="C982" s="18"/>
      <c r="D982" s="47"/>
      <c r="E982" s="18"/>
      <c r="F982" s="18"/>
      <c r="G982" s="18"/>
      <c r="H982" s="18"/>
      <c r="I982" s="25"/>
      <c r="J982" s="18"/>
      <c r="K982" s="18"/>
      <c r="L982" s="18"/>
      <c r="M982" s="18"/>
      <c r="N982" s="109"/>
      <c r="O982" s="18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>
      <c r="A983" s="1"/>
      <c r="B983" s="1"/>
      <c r="C983" s="18"/>
      <c r="D983" s="47"/>
      <c r="E983" s="18"/>
      <c r="F983" s="18"/>
      <c r="G983" s="18"/>
      <c r="H983" s="18"/>
      <c r="I983" s="25"/>
      <c r="J983" s="18"/>
      <c r="K983" s="18"/>
      <c r="L983" s="18"/>
      <c r="M983" s="18"/>
      <c r="N983" s="109"/>
      <c r="O983" s="18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>
      <c r="A984" s="1"/>
      <c r="B984" s="1"/>
      <c r="C984" s="18"/>
      <c r="D984" s="47"/>
      <c r="E984" s="18"/>
      <c r="F984" s="18"/>
      <c r="G984" s="18"/>
      <c r="H984" s="18"/>
      <c r="I984" s="25"/>
      <c r="J984" s="18"/>
      <c r="K984" s="18"/>
      <c r="L984" s="18"/>
      <c r="M984" s="18"/>
      <c r="N984" s="109"/>
      <c r="O984" s="18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>
      <c r="A985" s="1"/>
      <c r="B985" s="1"/>
      <c r="C985" s="18"/>
      <c r="D985" s="47"/>
      <c r="E985" s="18"/>
      <c r="F985" s="18"/>
      <c r="G985" s="18"/>
      <c r="H985" s="18"/>
      <c r="I985" s="25"/>
      <c r="J985" s="18"/>
      <c r="K985" s="18"/>
      <c r="L985" s="18"/>
      <c r="M985" s="18"/>
      <c r="N985" s="109"/>
      <c r="O985" s="18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>
      <c r="A986" s="1"/>
      <c r="B986" s="1"/>
      <c r="C986" s="18"/>
      <c r="D986" s="47"/>
      <c r="E986" s="18"/>
      <c r="F986" s="18"/>
      <c r="G986" s="18"/>
      <c r="H986" s="18"/>
      <c r="I986" s="25"/>
      <c r="J986" s="18"/>
      <c r="K986" s="18"/>
      <c r="L986" s="18"/>
      <c r="M986" s="18"/>
      <c r="N986" s="109"/>
      <c r="O986" s="18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>
      <c r="A987" s="1"/>
      <c r="B987" s="1"/>
      <c r="C987" s="18"/>
      <c r="D987" s="47"/>
      <c r="E987" s="18"/>
      <c r="F987" s="18"/>
      <c r="G987" s="18"/>
      <c r="H987" s="18"/>
      <c r="I987" s="25"/>
      <c r="J987" s="18"/>
      <c r="K987" s="18"/>
      <c r="L987" s="18"/>
      <c r="M987" s="18"/>
      <c r="N987" s="109"/>
      <c r="O987" s="18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>
      <c r="A988" s="1"/>
      <c r="B988" s="1"/>
      <c r="C988" s="18"/>
      <c r="D988" s="47"/>
      <c r="E988" s="18"/>
      <c r="F988" s="18"/>
      <c r="G988" s="18"/>
      <c r="H988" s="18"/>
      <c r="I988" s="25"/>
      <c r="J988" s="18"/>
      <c r="K988" s="18"/>
      <c r="L988" s="18"/>
      <c r="M988" s="18"/>
      <c r="N988" s="109"/>
      <c r="O988" s="18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>
      <c r="A989" s="1"/>
      <c r="B989" s="1"/>
      <c r="C989" s="18"/>
      <c r="D989" s="47"/>
      <c r="E989" s="18"/>
      <c r="F989" s="18"/>
      <c r="G989" s="18"/>
      <c r="H989" s="18"/>
      <c r="I989" s="25"/>
      <c r="J989" s="18"/>
      <c r="K989" s="18"/>
      <c r="L989" s="18"/>
      <c r="M989" s="18"/>
      <c r="N989" s="109"/>
      <c r="O989" s="18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>
      <c r="A990" s="1"/>
      <c r="B990" s="1"/>
      <c r="C990" s="18"/>
      <c r="D990" s="47"/>
      <c r="E990" s="18"/>
      <c r="F990" s="18"/>
      <c r="G990" s="18"/>
      <c r="H990" s="18"/>
      <c r="I990" s="25"/>
      <c r="J990" s="18"/>
      <c r="K990" s="18"/>
      <c r="L990" s="18"/>
      <c r="M990" s="18"/>
      <c r="N990" s="109"/>
      <c r="O990" s="18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>
      <c r="A991" s="1"/>
      <c r="B991" s="1"/>
      <c r="C991" s="18"/>
      <c r="D991" s="47"/>
      <c r="E991" s="18"/>
      <c r="F991" s="18"/>
      <c r="G991" s="18"/>
      <c r="H991" s="18"/>
      <c r="I991" s="25"/>
      <c r="J991" s="18"/>
      <c r="K991" s="18"/>
      <c r="L991" s="18"/>
      <c r="M991" s="18"/>
      <c r="N991" s="109"/>
      <c r="O991" s="18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>
      <c r="A992" s="1"/>
      <c r="B992" s="1"/>
      <c r="C992" s="18"/>
      <c r="D992" s="47"/>
      <c r="E992" s="18"/>
      <c r="F992" s="18"/>
      <c r="G992" s="18"/>
      <c r="H992" s="18"/>
      <c r="I992" s="25"/>
      <c r="J992" s="18"/>
      <c r="K992" s="18"/>
      <c r="L992" s="18"/>
      <c r="M992" s="18"/>
      <c r="N992" s="109"/>
      <c r="O992" s="18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>
      <c r="A993" s="1"/>
      <c r="B993" s="1"/>
      <c r="C993" s="18"/>
      <c r="D993" s="47"/>
      <c r="E993" s="18"/>
      <c r="F993" s="18"/>
      <c r="G993" s="18"/>
      <c r="H993" s="18"/>
      <c r="I993" s="25"/>
      <c r="J993" s="18"/>
      <c r="K993" s="18"/>
      <c r="L993" s="18"/>
      <c r="M993" s="18"/>
      <c r="N993" s="109"/>
      <c r="O993" s="18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>
      <c r="A994" s="1"/>
      <c r="B994" s="1"/>
      <c r="C994" s="18"/>
      <c r="D994" s="47"/>
      <c r="E994" s="18"/>
      <c r="F994" s="18"/>
      <c r="G994" s="18"/>
      <c r="H994" s="18"/>
      <c r="I994" s="25"/>
      <c r="J994" s="18"/>
      <c r="K994" s="18"/>
      <c r="L994" s="18"/>
      <c r="M994" s="18"/>
      <c r="N994" s="109"/>
      <c r="O994" s="18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>
      <c r="A995" s="1"/>
      <c r="B995" s="1"/>
      <c r="C995" s="18"/>
      <c r="D995" s="47"/>
      <c r="E995" s="18"/>
      <c r="F995" s="18"/>
      <c r="G995" s="18"/>
      <c r="H995" s="18"/>
      <c r="I995" s="25"/>
      <c r="J995" s="18"/>
      <c r="K995" s="18"/>
      <c r="L995" s="18"/>
      <c r="M995" s="18"/>
      <c r="N995" s="109"/>
      <c r="O995" s="18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>
      <c r="A996" s="1"/>
      <c r="B996" s="1"/>
      <c r="C996" s="18"/>
      <c r="D996" s="47"/>
      <c r="E996" s="18"/>
      <c r="F996" s="18"/>
      <c r="G996" s="18"/>
      <c r="H996" s="18"/>
      <c r="I996" s="25"/>
      <c r="J996" s="18"/>
      <c r="K996" s="18"/>
      <c r="L996" s="18"/>
      <c r="M996" s="18"/>
      <c r="N996" s="109"/>
      <c r="O996" s="18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>
      <c r="A997" s="1"/>
      <c r="B997" s="1"/>
      <c r="C997" s="18"/>
      <c r="D997" s="47"/>
      <c r="E997" s="18"/>
      <c r="F997" s="18"/>
      <c r="G997" s="18"/>
      <c r="H997" s="18"/>
      <c r="I997" s="25"/>
      <c r="J997" s="18"/>
      <c r="K997" s="18"/>
      <c r="L997" s="18"/>
      <c r="M997" s="18"/>
      <c r="N997" s="109"/>
      <c r="O997" s="18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>
      <c r="A998" s="1"/>
      <c r="B998" s="1"/>
      <c r="C998" s="18"/>
      <c r="D998" s="47"/>
      <c r="E998" s="18"/>
      <c r="F998" s="18"/>
      <c r="G998" s="18"/>
      <c r="H998" s="18"/>
      <c r="I998" s="25"/>
      <c r="J998" s="18"/>
      <c r="K998" s="18"/>
      <c r="L998" s="18"/>
      <c r="M998" s="18"/>
      <c r="N998" s="109"/>
      <c r="O998" s="18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>
      <c r="A999" s="1"/>
      <c r="B999" s="1"/>
      <c r="C999" s="18"/>
      <c r="N999" s="118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</sheetData>
  <conditionalFormatting sqref="F1:F998">
    <cfRule type="containsText" dxfId="0" priority="1" operator="containsText" text="Propulsion">
      <formula>NOT(ISERROR(SEARCH(("Propulsion"),(F1))))</formula>
    </cfRule>
  </conditionalFormatting>
  <conditionalFormatting sqref="F1:F998">
    <cfRule type="containsText" dxfId="1" priority="2" operator="containsText" text="Avionics">
      <formula>NOT(ISERROR(SEARCH(("Avionics"),(F1))))</formula>
    </cfRule>
  </conditionalFormatting>
  <conditionalFormatting sqref="F1:F998">
    <cfRule type="containsText" dxfId="2" priority="3" operator="containsText" text="Structures">
      <formula>NOT(ISERROR(SEARCH(("Structures"),(F1))))</formula>
    </cfRule>
  </conditionalFormatting>
  <conditionalFormatting sqref="F1:F998">
    <cfRule type="containsText" dxfId="3" priority="4" operator="containsText" text="Systems">
      <formula>NOT(ISERROR(SEARCH(("Systems"),(F1))))</formula>
    </cfRule>
  </conditionalFormatting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4"/>
    <hyperlink r:id="rId13" ref="N15"/>
    <hyperlink r:id="rId14" ref="N16"/>
    <hyperlink r:id="rId15" ref="N17"/>
    <hyperlink r:id="rId16" ref="N18"/>
    <hyperlink r:id="rId17" ref="N19"/>
    <hyperlink r:id="rId18" ref="N20"/>
    <hyperlink r:id="rId19" ref="N21"/>
    <hyperlink r:id="rId20" ref="N22"/>
    <hyperlink r:id="rId21" ref="N23"/>
    <hyperlink r:id="rId22" ref="N25"/>
    <hyperlink r:id="rId23" ref="N26"/>
    <hyperlink r:id="rId24" ref="N27"/>
    <hyperlink r:id="rId25" ref="N28"/>
    <hyperlink r:id="rId26" ref="N30"/>
    <hyperlink r:id="rId27" ref="N31"/>
    <hyperlink r:id="rId28" ref="N32"/>
    <hyperlink r:id="rId29" ref="N33"/>
    <hyperlink r:id="rId30" ref="N34"/>
    <hyperlink r:id="rId31" ref="N35"/>
    <hyperlink r:id="rId32" ref="N36"/>
    <hyperlink r:id="rId33" ref="N37"/>
    <hyperlink r:id="rId34" ref="N38"/>
    <hyperlink r:id="rId35" ref="N39"/>
    <hyperlink r:id="rId36" ref="N40"/>
    <hyperlink r:id="rId37" ref="N41"/>
    <hyperlink r:id="rId38" ref="N42"/>
    <hyperlink r:id="rId39" ref="N43"/>
    <hyperlink r:id="rId40" ref="N46"/>
    <hyperlink r:id="rId41" ref="N49"/>
    <hyperlink r:id="rId42" ref="N50"/>
    <hyperlink r:id="rId43" ref="N51"/>
    <hyperlink r:id="rId44" ref="N52"/>
    <hyperlink r:id="rId45" ref="N53"/>
    <hyperlink r:id="rId46" ref="N54"/>
    <hyperlink r:id="rId47" ref="N55"/>
    <hyperlink r:id="rId48" ref="N56"/>
    <hyperlink r:id="rId49" ref="N57"/>
    <hyperlink r:id="rId50" ref="N58"/>
    <hyperlink r:id="rId51" ref="N59"/>
    <hyperlink r:id="rId52" ref="N62"/>
    <hyperlink r:id="rId53" ref="N63"/>
    <hyperlink r:id="rId54" ref="N64"/>
    <hyperlink r:id="rId55" ref="N65"/>
  </hyperlinks>
  <drawing r:id="rId5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0"/>
    <col customWidth="1" hidden="1" min="2" max="2" width="8.0"/>
    <col customWidth="1" min="3" max="3" width="17.29"/>
    <col customWidth="1" min="4" max="4" width="11.29"/>
    <col customWidth="1" min="5" max="5" width="18.29"/>
    <col customWidth="1" min="6" max="6" width="15.14"/>
    <col customWidth="1" min="7" max="7" width="16.71"/>
    <col customWidth="1" min="8" max="8" width="15.71"/>
    <col customWidth="1" min="9" max="9" width="16.14"/>
    <col customWidth="1" min="10" max="10" width="12.0"/>
    <col customWidth="1" min="11" max="11" width="8.29"/>
    <col customWidth="1" min="12" max="12" width="18.57"/>
    <col customWidth="1" min="13" max="13" width="15.86"/>
    <col customWidth="1" min="14" max="14" width="11.14"/>
  </cols>
  <sheetData>
    <row r="1">
      <c r="A1" s="1"/>
      <c r="B1" s="2">
        <v>15000.0</v>
      </c>
      <c r="C1" s="3" t="s">
        <v>0</v>
      </c>
      <c r="D1" s="4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5" t="s">
        <v>6</v>
      </c>
      <c r="J1" s="3" t="s">
        <v>7</v>
      </c>
      <c r="K1" s="3" t="s">
        <v>8</v>
      </c>
      <c r="L1" s="6" t="s">
        <v>9</v>
      </c>
      <c r="M1" s="6" t="s">
        <v>10</v>
      </c>
      <c r="N1" s="6" t="s">
        <v>11</v>
      </c>
      <c r="O1" s="3" t="s">
        <v>12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ht="17.25" customHeight="1">
      <c r="A2" s="7"/>
      <c r="B2" s="8" t="s">
        <v>13</v>
      </c>
      <c r="C2" s="9">
        <f t="shared" ref="C2:C248" si="1">B2+$B$1</f>
        <v>15001</v>
      </c>
      <c r="D2" s="10" t="s">
        <v>43</v>
      </c>
      <c r="E2" s="11" t="s">
        <v>585</v>
      </c>
      <c r="F2" s="2" t="s">
        <v>586</v>
      </c>
      <c r="G2" s="2" t="s">
        <v>26</v>
      </c>
      <c r="H2" s="2" t="s">
        <v>18</v>
      </c>
      <c r="I2" s="12" t="s">
        <v>587</v>
      </c>
      <c r="J2" s="2" t="s">
        <v>588</v>
      </c>
      <c r="K2" s="52" t="s">
        <v>21</v>
      </c>
      <c r="L2" s="14" t="s">
        <v>29</v>
      </c>
      <c r="M2" s="92">
        <v>43314.0</v>
      </c>
      <c r="N2" s="14"/>
      <c r="O2" s="2" t="s">
        <v>32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>
      <c r="A3" s="7"/>
      <c r="B3" s="8" t="s">
        <v>34</v>
      </c>
      <c r="C3" s="9">
        <f t="shared" si="1"/>
        <v>15002</v>
      </c>
      <c r="D3" s="10" t="s">
        <v>14</v>
      </c>
      <c r="E3" s="23" t="s">
        <v>589</v>
      </c>
      <c r="F3" s="2" t="s">
        <v>586</v>
      </c>
      <c r="G3" s="2" t="s">
        <v>26</v>
      </c>
      <c r="H3" s="2" t="s">
        <v>18</v>
      </c>
      <c r="I3" s="12" t="s">
        <v>590</v>
      </c>
      <c r="J3" s="2" t="s">
        <v>118</v>
      </c>
      <c r="K3" s="52" t="s">
        <v>21</v>
      </c>
      <c r="L3" s="14" t="s">
        <v>29</v>
      </c>
      <c r="M3" s="92">
        <v>43315.0</v>
      </c>
      <c r="N3" s="17" t="s">
        <v>486</v>
      </c>
      <c r="O3" s="2" t="s">
        <v>32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>
      <c r="A4" s="7"/>
      <c r="B4" s="8" t="s">
        <v>40</v>
      </c>
      <c r="C4" s="9">
        <f t="shared" si="1"/>
        <v>15003</v>
      </c>
      <c r="D4" s="10" t="s">
        <v>14</v>
      </c>
      <c r="E4" s="23" t="s">
        <v>591</v>
      </c>
      <c r="F4" s="2" t="s">
        <v>586</v>
      </c>
      <c r="G4" s="2" t="s">
        <v>26</v>
      </c>
      <c r="H4" s="2" t="s">
        <v>18</v>
      </c>
      <c r="I4" s="12" t="s">
        <v>592</v>
      </c>
      <c r="J4" s="2" t="s">
        <v>20</v>
      </c>
      <c r="K4" s="52" t="s">
        <v>21</v>
      </c>
      <c r="L4" s="14" t="s">
        <v>29</v>
      </c>
      <c r="M4" s="14" t="s">
        <v>339</v>
      </c>
      <c r="N4" s="14"/>
      <c r="O4" s="2" t="s">
        <v>96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>
      <c r="A5" s="7"/>
      <c r="B5" s="8" t="s">
        <v>41</v>
      </c>
      <c r="C5" s="9">
        <f t="shared" si="1"/>
        <v>15004</v>
      </c>
      <c r="D5" s="10" t="s">
        <v>14</v>
      </c>
      <c r="E5" s="23" t="s">
        <v>593</v>
      </c>
      <c r="F5" s="2" t="s">
        <v>586</v>
      </c>
      <c r="G5" s="2" t="s">
        <v>26</v>
      </c>
      <c r="H5" s="2" t="s">
        <v>18</v>
      </c>
      <c r="I5" s="12" t="s">
        <v>592</v>
      </c>
      <c r="J5" s="2" t="s">
        <v>20</v>
      </c>
      <c r="K5" s="52" t="s">
        <v>21</v>
      </c>
      <c r="L5" s="14" t="s">
        <v>29</v>
      </c>
      <c r="M5" s="14" t="s">
        <v>339</v>
      </c>
      <c r="N5" s="14"/>
      <c r="O5" s="2" t="s">
        <v>96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>
      <c r="A6" s="7"/>
      <c r="B6" s="8" t="s">
        <v>42</v>
      </c>
      <c r="C6" s="9">
        <f t="shared" si="1"/>
        <v>15005</v>
      </c>
      <c r="D6" s="10" t="s">
        <v>415</v>
      </c>
      <c r="E6" s="23" t="s">
        <v>594</v>
      </c>
      <c r="F6" s="2" t="s">
        <v>586</v>
      </c>
      <c r="G6" s="2" t="s">
        <v>26</v>
      </c>
      <c r="H6" s="2" t="s">
        <v>18</v>
      </c>
      <c r="I6" s="12" t="s">
        <v>595</v>
      </c>
      <c r="J6" s="2" t="s">
        <v>118</v>
      </c>
      <c r="K6" s="2" t="s">
        <v>21</v>
      </c>
      <c r="L6" s="14" t="s">
        <v>596</v>
      </c>
      <c r="M6" s="15">
        <v>43407.0</v>
      </c>
      <c r="N6" s="17" t="s">
        <v>597</v>
      </c>
      <c r="O6" s="2" t="s">
        <v>96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>
      <c r="A7" s="7"/>
      <c r="B7" s="8" t="s">
        <v>46</v>
      </c>
      <c r="C7" s="9">
        <f t="shared" si="1"/>
        <v>15006</v>
      </c>
      <c r="D7" s="10" t="s">
        <v>35</v>
      </c>
      <c r="E7" s="23" t="s">
        <v>598</v>
      </c>
      <c r="F7" s="2" t="s">
        <v>586</v>
      </c>
      <c r="G7" s="2" t="s">
        <v>26</v>
      </c>
      <c r="H7" s="2" t="s">
        <v>18</v>
      </c>
      <c r="I7" s="12" t="s">
        <v>599</v>
      </c>
      <c r="J7" s="2" t="s">
        <v>118</v>
      </c>
      <c r="K7" s="2" t="s">
        <v>21</v>
      </c>
      <c r="L7" s="14" t="s">
        <v>596</v>
      </c>
      <c r="M7" s="15">
        <v>43407.0</v>
      </c>
      <c r="N7" s="17" t="s">
        <v>600</v>
      </c>
      <c r="O7" s="2" t="s">
        <v>96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>
      <c r="A8" s="7"/>
      <c r="B8" s="8" t="s">
        <v>49</v>
      </c>
      <c r="C8" s="9">
        <f t="shared" si="1"/>
        <v>15007</v>
      </c>
      <c r="D8" s="10" t="s">
        <v>35</v>
      </c>
      <c r="E8" s="23" t="s">
        <v>601</v>
      </c>
      <c r="F8" s="2" t="s">
        <v>586</v>
      </c>
      <c r="G8" s="2" t="s">
        <v>26</v>
      </c>
      <c r="H8" s="2" t="s">
        <v>18</v>
      </c>
      <c r="I8" s="12" t="s">
        <v>602</v>
      </c>
      <c r="J8" s="2" t="s">
        <v>603</v>
      </c>
      <c r="K8" s="2" t="s">
        <v>21</v>
      </c>
      <c r="L8" s="14" t="s">
        <v>596</v>
      </c>
      <c r="M8" s="110">
        <v>43484.0</v>
      </c>
      <c r="N8" s="17" t="s">
        <v>486</v>
      </c>
      <c r="O8" s="2" t="s">
        <v>96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>
      <c r="A9" s="7"/>
      <c r="B9" s="8" t="s">
        <v>50</v>
      </c>
      <c r="C9" s="9">
        <f t="shared" si="1"/>
        <v>15008</v>
      </c>
      <c r="D9" s="10" t="s">
        <v>43</v>
      </c>
      <c r="E9" s="23" t="s">
        <v>604</v>
      </c>
      <c r="F9" s="2" t="s">
        <v>586</v>
      </c>
      <c r="G9" s="2" t="s">
        <v>26</v>
      </c>
      <c r="H9" s="2" t="s">
        <v>18</v>
      </c>
      <c r="I9" s="12" t="s">
        <v>605</v>
      </c>
      <c r="J9" s="2" t="s">
        <v>603</v>
      </c>
      <c r="K9" s="2" t="s">
        <v>21</v>
      </c>
      <c r="L9" s="14" t="s">
        <v>596</v>
      </c>
      <c r="M9" s="110">
        <v>43484.0</v>
      </c>
      <c r="N9" s="17" t="s">
        <v>486</v>
      </c>
      <c r="O9" s="2" t="s">
        <v>96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>
      <c r="A10" s="7"/>
      <c r="B10" s="8" t="s">
        <v>53</v>
      </c>
      <c r="C10" s="9">
        <f t="shared" si="1"/>
        <v>15009</v>
      </c>
      <c r="D10" s="10" t="s">
        <v>14</v>
      </c>
      <c r="E10" s="11" t="s">
        <v>606</v>
      </c>
      <c r="F10" s="2" t="s">
        <v>586</v>
      </c>
      <c r="G10" s="2" t="s">
        <v>26</v>
      </c>
      <c r="H10" s="2" t="s">
        <v>18</v>
      </c>
      <c r="I10" s="12" t="s">
        <v>607</v>
      </c>
      <c r="J10" s="2" t="s">
        <v>608</v>
      </c>
      <c r="K10" s="2" t="s">
        <v>21</v>
      </c>
      <c r="L10" s="14" t="s">
        <v>77</v>
      </c>
      <c r="M10" s="110">
        <v>43501.0</v>
      </c>
      <c r="N10" s="17" t="s">
        <v>609</v>
      </c>
      <c r="O10" s="2" t="s">
        <v>96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>
      <c r="A11" s="7"/>
      <c r="B11" s="8" t="s">
        <v>56</v>
      </c>
      <c r="C11" s="9">
        <f t="shared" si="1"/>
        <v>15010</v>
      </c>
      <c r="D11" s="10" t="s">
        <v>14</v>
      </c>
      <c r="E11" s="11" t="s">
        <v>610</v>
      </c>
      <c r="F11" s="2" t="s">
        <v>586</v>
      </c>
      <c r="G11" s="2" t="s">
        <v>26</v>
      </c>
      <c r="H11" s="2" t="s">
        <v>18</v>
      </c>
      <c r="I11" s="12" t="s">
        <v>611</v>
      </c>
      <c r="J11" s="93" t="s">
        <v>612</v>
      </c>
      <c r="K11" s="2" t="s">
        <v>21</v>
      </c>
      <c r="L11" s="14" t="s">
        <v>613</v>
      </c>
      <c r="M11" s="19">
        <v>43533.0</v>
      </c>
      <c r="N11" s="27" t="s">
        <v>614</v>
      </c>
      <c r="O11" s="2" t="s">
        <v>96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>
      <c r="A12" s="7"/>
      <c r="B12" s="8" t="s">
        <v>57</v>
      </c>
      <c r="C12" s="9">
        <f t="shared" si="1"/>
        <v>15011</v>
      </c>
      <c r="D12" s="10" t="s">
        <v>14</v>
      </c>
      <c r="E12" s="11" t="s">
        <v>615</v>
      </c>
      <c r="F12" s="2" t="s">
        <v>586</v>
      </c>
      <c r="G12" s="2" t="s">
        <v>26</v>
      </c>
      <c r="H12" s="2" t="s">
        <v>18</v>
      </c>
      <c r="I12" s="12" t="s">
        <v>616</v>
      </c>
      <c r="J12" s="2" t="s">
        <v>617</v>
      </c>
      <c r="K12" s="2" t="s">
        <v>21</v>
      </c>
      <c r="L12" s="14" t="s">
        <v>618</v>
      </c>
      <c r="M12" s="111" t="s">
        <v>619</v>
      </c>
      <c r="N12" s="17" t="str">
        <f>HYPERLINK("https://drive.google.com/open?id=14eou7lPrclsgoEfLqcDs671F5BBD4Jii","Link")</f>
        <v>Link</v>
      </c>
      <c r="O12" s="2" t="s">
        <v>381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>
      <c r="A13" s="7"/>
      <c r="B13" s="8" t="s">
        <v>61</v>
      </c>
      <c r="C13" s="9">
        <f t="shared" si="1"/>
        <v>15012</v>
      </c>
      <c r="D13" s="10" t="s">
        <v>14</v>
      </c>
      <c r="E13" s="11" t="s">
        <v>620</v>
      </c>
      <c r="F13" s="2" t="s">
        <v>586</v>
      </c>
      <c r="G13" s="2" t="s">
        <v>26</v>
      </c>
      <c r="H13" s="2" t="s">
        <v>18</v>
      </c>
      <c r="I13" s="12" t="s">
        <v>621</v>
      </c>
      <c r="J13" s="2" t="s">
        <v>617</v>
      </c>
      <c r="K13" s="2" t="s">
        <v>21</v>
      </c>
      <c r="L13" s="14" t="s">
        <v>618</v>
      </c>
      <c r="M13" s="111" t="s">
        <v>622</v>
      </c>
      <c r="N13" s="17" t="str">
        <f>HYPERLINK("https://drive.google.com/open?id=1sMU4cl8eloBCh1lyWnvcPLunAN3eC52e","Link")</f>
        <v>Link</v>
      </c>
      <c r="O13" s="2" t="s">
        <v>381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>
      <c r="A14" s="7"/>
      <c r="B14" s="8" t="s">
        <v>64</v>
      </c>
      <c r="C14" s="9">
        <f t="shared" si="1"/>
        <v>15013</v>
      </c>
      <c r="D14" s="10" t="s">
        <v>14</v>
      </c>
      <c r="E14" s="11" t="s">
        <v>623</v>
      </c>
      <c r="F14" s="2" t="s">
        <v>586</v>
      </c>
      <c r="G14" s="2" t="s">
        <v>26</v>
      </c>
      <c r="H14" s="2" t="s">
        <v>18</v>
      </c>
      <c r="I14" s="12" t="s">
        <v>624</v>
      </c>
      <c r="J14" s="2" t="s">
        <v>617</v>
      </c>
      <c r="K14" s="2" t="s">
        <v>21</v>
      </c>
      <c r="L14" s="14" t="s">
        <v>618</v>
      </c>
      <c r="M14" s="111" t="s">
        <v>625</v>
      </c>
      <c r="N14" s="17" t="str">
        <f>HYPERLINK("https://drive.google.com/open?id=1ZUM5K3U5kofhrFQYyM7bgL2BY_4AqcGQ","Link")</f>
        <v>Link</v>
      </c>
      <c r="O14" s="2" t="s">
        <v>381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>
      <c r="A15" s="7"/>
      <c r="B15" s="8" t="s">
        <v>65</v>
      </c>
      <c r="C15" s="9">
        <f t="shared" si="1"/>
        <v>15014</v>
      </c>
      <c r="D15" s="10" t="s">
        <v>14</v>
      </c>
      <c r="E15" s="11" t="s">
        <v>626</v>
      </c>
      <c r="F15" s="2" t="s">
        <v>586</v>
      </c>
      <c r="G15" s="2" t="s">
        <v>26</v>
      </c>
      <c r="H15" s="2" t="s">
        <v>18</v>
      </c>
      <c r="I15" s="12" t="s">
        <v>627</v>
      </c>
      <c r="J15" s="2" t="s">
        <v>617</v>
      </c>
      <c r="K15" s="2" t="s">
        <v>21</v>
      </c>
      <c r="L15" s="14" t="s">
        <v>618</v>
      </c>
      <c r="M15" s="111" t="s">
        <v>628</v>
      </c>
      <c r="N15" s="17" t="str">
        <f>HYPERLINK("https://drive.google.com/open?id=10pruX2e27oLQEPGV0w7FRwPapK0YbzbM","Link")</f>
        <v>Link</v>
      </c>
      <c r="O15" s="2" t="s">
        <v>381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>
      <c r="A16" s="7"/>
      <c r="B16" s="8" t="s">
        <v>71</v>
      </c>
      <c r="C16" s="9">
        <f t="shared" si="1"/>
        <v>15015</v>
      </c>
      <c r="D16" s="10"/>
      <c r="E16" s="11"/>
      <c r="F16" s="18"/>
      <c r="G16" s="2"/>
      <c r="H16" s="18"/>
      <c r="I16" s="12"/>
      <c r="J16" s="2"/>
      <c r="K16" s="2"/>
      <c r="L16" s="2"/>
      <c r="M16" s="21"/>
      <c r="N16" s="14"/>
      <c r="O16" s="18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>
      <c r="A17" s="7"/>
      <c r="B17" s="8" t="s">
        <v>72</v>
      </c>
      <c r="C17" s="9">
        <f t="shared" si="1"/>
        <v>15016</v>
      </c>
      <c r="D17" s="10"/>
      <c r="E17" s="11"/>
      <c r="F17" s="18"/>
      <c r="G17" s="2"/>
      <c r="H17" s="18"/>
      <c r="I17" s="12"/>
      <c r="J17" s="2"/>
      <c r="K17" s="2"/>
      <c r="L17" s="2"/>
      <c r="M17" s="21"/>
      <c r="N17" s="14"/>
      <c r="O17" s="18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>
      <c r="A18" s="7"/>
      <c r="B18" s="8" t="s">
        <v>73</v>
      </c>
      <c r="C18" s="9">
        <f t="shared" si="1"/>
        <v>15017</v>
      </c>
      <c r="D18" s="10"/>
      <c r="E18" s="11"/>
      <c r="J18" s="2"/>
      <c r="K18" s="2"/>
      <c r="L18" s="2"/>
      <c r="M18" s="21"/>
      <c r="N18" s="14"/>
      <c r="O18" s="1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>
      <c r="A19" s="7"/>
      <c r="B19" s="8" t="s">
        <v>75</v>
      </c>
      <c r="C19" s="9">
        <f t="shared" si="1"/>
        <v>15018</v>
      </c>
      <c r="D19" s="10"/>
      <c r="E19" s="11"/>
      <c r="F19" s="18"/>
      <c r="G19" s="2"/>
      <c r="H19" s="18"/>
      <c r="I19" s="12"/>
      <c r="J19" s="2"/>
      <c r="K19" s="2"/>
      <c r="L19" s="2"/>
      <c r="M19" s="21"/>
      <c r="N19" s="14"/>
      <c r="O19" s="18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>
      <c r="A20" s="7"/>
      <c r="B20" s="8" t="s">
        <v>79</v>
      </c>
      <c r="C20" s="9">
        <f t="shared" si="1"/>
        <v>15019</v>
      </c>
      <c r="D20" s="10"/>
      <c r="E20" s="11"/>
      <c r="F20" s="18"/>
      <c r="G20" s="2"/>
      <c r="H20" s="18"/>
      <c r="I20" s="22"/>
      <c r="J20" s="2"/>
      <c r="K20" s="2"/>
      <c r="L20" s="2"/>
      <c r="M20" s="21"/>
      <c r="N20" s="14"/>
      <c r="O20" s="18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>
      <c r="A21" s="7"/>
      <c r="B21" s="8" t="s">
        <v>80</v>
      </c>
      <c r="C21" s="9">
        <f t="shared" si="1"/>
        <v>15020</v>
      </c>
      <c r="D21" s="10"/>
      <c r="E21" s="11"/>
      <c r="F21" s="18"/>
      <c r="G21" s="2"/>
      <c r="H21" s="18"/>
      <c r="I21" s="22"/>
      <c r="J21" s="2"/>
      <c r="K21" s="2"/>
      <c r="L21" s="2"/>
      <c r="M21" s="21"/>
      <c r="N21" s="14"/>
      <c r="O21" s="18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>
      <c r="A22" s="7"/>
      <c r="B22" s="8" t="s">
        <v>81</v>
      </c>
      <c r="C22" s="9">
        <f t="shared" si="1"/>
        <v>15021</v>
      </c>
      <c r="D22" s="10"/>
      <c r="E22" s="23"/>
      <c r="F22" s="18"/>
      <c r="G22" s="2"/>
      <c r="H22" s="18"/>
      <c r="I22" s="12"/>
      <c r="J22" s="2"/>
      <c r="K22" s="2"/>
      <c r="L22" s="2"/>
      <c r="M22" s="18"/>
      <c r="N22" s="24"/>
      <c r="O22" s="18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>
      <c r="A23" s="7"/>
      <c r="B23" s="8" t="s">
        <v>88</v>
      </c>
      <c r="C23" s="9">
        <f t="shared" si="1"/>
        <v>15022</v>
      </c>
      <c r="D23" s="10"/>
      <c r="E23" s="23"/>
      <c r="F23" s="18"/>
      <c r="G23" s="2"/>
      <c r="H23" s="18"/>
      <c r="I23" s="12"/>
      <c r="J23" s="2"/>
      <c r="K23" s="2"/>
      <c r="L23" s="2"/>
      <c r="M23" s="21"/>
      <c r="N23" s="14"/>
      <c r="O23" s="18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>
      <c r="A24" s="7"/>
      <c r="B24" s="8" t="s">
        <v>89</v>
      </c>
      <c r="C24" s="9">
        <f t="shared" si="1"/>
        <v>15023</v>
      </c>
      <c r="D24" s="10"/>
      <c r="E24" s="23"/>
      <c r="F24" s="18"/>
      <c r="G24" s="2"/>
      <c r="H24" s="18"/>
      <c r="I24" s="12"/>
      <c r="J24" s="2"/>
      <c r="K24" s="2"/>
      <c r="L24" s="2"/>
      <c r="M24" s="21"/>
      <c r="N24" s="14"/>
      <c r="O24" s="18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>
      <c r="A25" s="7"/>
      <c r="B25" s="8" t="s">
        <v>93</v>
      </c>
      <c r="C25" s="9">
        <f t="shared" si="1"/>
        <v>15024</v>
      </c>
      <c r="D25" s="10"/>
      <c r="E25" s="23"/>
      <c r="F25" s="18"/>
      <c r="G25" s="2"/>
      <c r="H25" s="18"/>
      <c r="I25" s="12"/>
      <c r="J25" s="2"/>
      <c r="K25" s="2"/>
      <c r="L25" s="2"/>
      <c r="M25" s="21"/>
      <c r="N25" s="14"/>
      <c r="O25" s="18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>
      <c r="A26" s="7"/>
      <c r="B26" s="8" t="s">
        <v>94</v>
      </c>
      <c r="C26" s="9">
        <f t="shared" si="1"/>
        <v>15025</v>
      </c>
      <c r="D26" s="10"/>
      <c r="E26" s="23"/>
      <c r="F26" s="18"/>
      <c r="G26" s="2"/>
      <c r="H26" s="18"/>
      <c r="I26" s="12"/>
      <c r="J26" s="2"/>
      <c r="K26" s="2"/>
      <c r="L26" s="2"/>
      <c r="M26" s="21"/>
      <c r="N26" s="24"/>
      <c r="O26" s="18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>
      <c r="A27" s="7"/>
      <c r="B27" s="8" t="s">
        <v>95</v>
      </c>
      <c r="C27" s="9">
        <f t="shared" si="1"/>
        <v>15026</v>
      </c>
      <c r="D27" s="10"/>
      <c r="E27" s="23"/>
      <c r="F27" s="18"/>
      <c r="G27" s="2"/>
      <c r="H27" s="18"/>
      <c r="I27" s="12"/>
      <c r="J27" s="2"/>
      <c r="K27" s="2"/>
      <c r="L27" s="2"/>
      <c r="M27" s="21"/>
      <c r="N27" s="24"/>
      <c r="O27" s="18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>
      <c r="A28" s="7"/>
      <c r="B28" s="8" t="s">
        <v>97</v>
      </c>
      <c r="C28" s="9">
        <f t="shared" si="1"/>
        <v>15029</v>
      </c>
      <c r="D28" s="10"/>
      <c r="E28" s="11"/>
      <c r="F28" s="18"/>
      <c r="G28" s="2"/>
      <c r="H28" s="18"/>
      <c r="I28" s="25"/>
      <c r="J28" s="2"/>
      <c r="K28" s="2"/>
      <c r="L28" s="2"/>
      <c r="M28" s="26"/>
      <c r="N28" s="2"/>
      <c r="O28" s="18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>
      <c r="A29" s="7"/>
      <c r="B29" s="8" t="s">
        <v>102</v>
      </c>
      <c r="C29" s="9">
        <f t="shared" si="1"/>
        <v>15030</v>
      </c>
      <c r="D29" s="10"/>
      <c r="E29" s="11"/>
      <c r="F29" s="18"/>
      <c r="G29" s="2"/>
      <c r="H29" s="18"/>
      <c r="I29" s="25"/>
      <c r="J29" s="2"/>
      <c r="K29" s="2"/>
      <c r="L29" s="2"/>
      <c r="M29" s="26"/>
      <c r="N29" s="2"/>
      <c r="O29" s="18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>
      <c r="A30" s="7"/>
      <c r="B30" s="8" t="s">
        <v>103</v>
      </c>
      <c r="C30" s="9">
        <f t="shared" si="1"/>
        <v>15031</v>
      </c>
      <c r="D30" s="10"/>
      <c r="E30" s="11"/>
      <c r="F30" s="2"/>
      <c r="G30" s="2"/>
      <c r="H30" s="18"/>
      <c r="I30" s="25"/>
      <c r="J30" s="2"/>
      <c r="K30" s="2"/>
      <c r="L30" s="2"/>
      <c r="M30" s="26"/>
      <c r="N30" s="2"/>
      <c r="O30" s="18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>
      <c r="A31" s="7"/>
      <c r="B31" s="8" t="s">
        <v>104</v>
      </c>
      <c r="C31" s="9">
        <f t="shared" si="1"/>
        <v>15032</v>
      </c>
      <c r="D31" s="10"/>
      <c r="E31" s="11"/>
      <c r="F31" s="2"/>
      <c r="G31" s="2"/>
      <c r="H31" s="18"/>
      <c r="I31" s="25"/>
      <c r="J31" s="2"/>
      <c r="K31" s="2"/>
      <c r="L31" s="2"/>
      <c r="M31" s="26"/>
      <c r="N31" s="2"/>
      <c r="O31" s="18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>
      <c r="A32" s="7"/>
      <c r="B32" s="8" t="s">
        <v>105</v>
      </c>
      <c r="C32" s="9">
        <f t="shared" si="1"/>
        <v>15033</v>
      </c>
      <c r="D32" s="10"/>
      <c r="E32" s="11"/>
      <c r="F32" s="2"/>
      <c r="G32" s="2"/>
      <c r="H32" s="18"/>
      <c r="I32" s="25"/>
      <c r="J32" s="2"/>
      <c r="K32" s="2"/>
      <c r="L32" s="2"/>
      <c r="M32" s="26"/>
      <c r="N32" s="2"/>
      <c r="O32" s="18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>
      <c r="A33" s="7"/>
      <c r="B33" s="8" t="s">
        <v>106</v>
      </c>
      <c r="C33" s="9">
        <f t="shared" si="1"/>
        <v>15034</v>
      </c>
      <c r="D33" s="10"/>
      <c r="E33" s="11"/>
      <c r="F33" s="2"/>
      <c r="G33" s="2"/>
      <c r="I33" s="12"/>
      <c r="J33" s="2"/>
      <c r="K33" s="2"/>
      <c r="L33" s="2"/>
      <c r="M33" s="26"/>
      <c r="N33" s="18"/>
      <c r="O33" s="18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>
      <c r="A34" s="7"/>
      <c r="B34" s="8" t="s">
        <v>107</v>
      </c>
      <c r="C34" s="9">
        <f t="shared" si="1"/>
        <v>15035</v>
      </c>
      <c r="D34" s="10"/>
      <c r="E34" s="11"/>
      <c r="F34" s="2"/>
      <c r="G34" s="2"/>
      <c r="H34" s="18"/>
      <c r="I34" s="12"/>
      <c r="J34" s="2"/>
      <c r="K34" s="2"/>
      <c r="L34" s="2"/>
      <c r="M34" s="26"/>
      <c r="N34" s="18"/>
      <c r="O34" s="18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>
      <c r="A35" s="7"/>
      <c r="B35" s="8" t="s">
        <v>110</v>
      </c>
      <c r="C35" s="9">
        <f t="shared" si="1"/>
        <v>15036</v>
      </c>
      <c r="D35" s="10"/>
      <c r="E35" s="11"/>
      <c r="F35" s="2"/>
      <c r="G35" s="2"/>
      <c r="H35" s="18"/>
      <c r="I35" s="12"/>
      <c r="J35" s="2"/>
      <c r="K35" s="2"/>
      <c r="L35" s="2"/>
      <c r="M35" s="26"/>
      <c r="N35" s="18"/>
      <c r="O35" s="18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>
      <c r="A36" s="7"/>
      <c r="B36" s="8" t="s">
        <v>113</v>
      </c>
      <c r="C36" s="9">
        <f t="shared" si="1"/>
        <v>15037</v>
      </c>
      <c r="D36" s="28"/>
      <c r="E36" s="29"/>
      <c r="F36" s="18"/>
      <c r="G36" s="18"/>
      <c r="H36" s="18"/>
      <c r="I36" s="25"/>
      <c r="J36" s="18"/>
      <c r="K36" s="18"/>
      <c r="L36" s="18"/>
      <c r="M36" s="18"/>
      <c r="N36" s="18"/>
      <c r="O36" s="18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>
      <c r="A37" s="7"/>
      <c r="B37" s="8" t="s">
        <v>114</v>
      </c>
      <c r="C37" s="9">
        <f t="shared" si="1"/>
        <v>15038</v>
      </c>
      <c r="D37" s="28"/>
      <c r="E37" s="29"/>
      <c r="F37" s="18"/>
      <c r="G37" s="18"/>
      <c r="H37" s="18"/>
      <c r="I37" s="25"/>
      <c r="J37" s="18"/>
      <c r="K37" s="18"/>
      <c r="L37" s="18"/>
      <c r="M37" s="18"/>
      <c r="N37" s="18"/>
      <c r="O37" s="18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>
      <c r="A38" s="7"/>
      <c r="B38" s="8" t="s">
        <v>116</v>
      </c>
      <c r="C38" s="9">
        <f t="shared" si="1"/>
        <v>15039</v>
      </c>
      <c r="D38" s="28"/>
      <c r="E38" s="29"/>
      <c r="F38" s="18"/>
      <c r="G38" s="18"/>
      <c r="H38" s="18"/>
      <c r="I38" s="25"/>
      <c r="J38" s="18"/>
      <c r="K38" s="18"/>
      <c r="L38" s="18"/>
      <c r="M38" s="18"/>
      <c r="N38" s="18"/>
      <c r="O38" s="18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>
      <c r="A39" s="7"/>
      <c r="B39" s="8" t="s">
        <v>123</v>
      </c>
      <c r="C39" s="9">
        <f t="shared" si="1"/>
        <v>15040</v>
      </c>
      <c r="D39" s="28"/>
      <c r="E39" s="29"/>
      <c r="F39" s="18"/>
      <c r="G39" s="18"/>
      <c r="H39" s="18"/>
      <c r="I39" s="25"/>
      <c r="J39" s="18"/>
      <c r="K39" s="18"/>
      <c r="L39" s="18"/>
      <c r="M39" s="18"/>
      <c r="N39" s="18"/>
      <c r="O39" s="18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>
      <c r="A40" s="7"/>
      <c r="B40" s="8" t="s">
        <v>125</v>
      </c>
      <c r="C40" s="9">
        <f t="shared" si="1"/>
        <v>15041</v>
      </c>
      <c r="D40" s="28"/>
      <c r="E40" s="29"/>
      <c r="F40" s="18"/>
      <c r="G40" s="18"/>
      <c r="H40" s="18"/>
      <c r="I40" s="25"/>
      <c r="J40" s="18"/>
      <c r="K40" s="18"/>
      <c r="L40" s="18"/>
      <c r="M40" s="18"/>
      <c r="N40" s="18"/>
      <c r="O40" s="18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>
      <c r="A41" s="7"/>
      <c r="B41" s="8" t="s">
        <v>126</v>
      </c>
      <c r="C41" s="9">
        <f t="shared" si="1"/>
        <v>15042</v>
      </c>
      <c r="D41" s="28"/>
      <c r="E41" s="29"/>
      <c r="F41" s="18"/>
      <c r="G41" s="18"/>
      <c r="H41" s="18"/>
      <c r="I41" s="25"/>
      <c r="J41" s="18"/>
      <c r="K41" s="18"/>
      <c r="L41" s="18"/>
      <c r="M41" s="18"/>
      <c r="N41" s="18"/>
      <c r="O41" s="18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>
      <c r="A42" s="7"/>
      <c r="B42" s="8" t="s">
        <v>127</v>
      </c>
      <c r="C42" s="9">
        <f t="shared" si="1"/>
        <v>15043</v>
      </c>
      <c r="D42" s="10"/>
      <c r="E42" s="31"/>
      <c r="F42" s="2"/>
      <c r="G42" s="2"/>
      <c r="H42" s="2"/>
      <c r="I42" s="12"/>
      <c r="J42" s="2"/>
      <c r="K42" s="2"/>
      <c r="L42" s="2"/>
      <c r="M42" s="26"/>
      <c r="N42" s="32"/>
      <c r="O42" s="18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>
      <c r="A43" s="7"/>
      <c r="B43" s="8" t="s">
        <v>128</v>
      </c>
      <c r="C43" s="9">
        <f t="shared" si="1"/>
        <v>15044</v>
      </c>
      <c r="D43" s="10"/>
      <c r="E43" s="31"/>
      <c r="F43" s="2"/>
      <c r="G43" s="2"/>
      <c r="H43" s="2"/>
      <c r="I43" s="12"/>
      <c r="J43" s="2"/>
      <c r="K43" s="2"/>
      <c r="L43" s="2"/>
      <c r="M43" s="26"/>
      <c r="N43" s="32"/>
      <c r="O43" s="18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>
      <c r="A44" s="7"/>
      <c r="B44" s="8" t="s">
        <v>129</v>
      </c>
      <c r="C44" s="9">
        <f t="shared" si="1"/>
        <v>15045</v>
      </c>
      <c r="D44" s="10"/>
      <c r="E44" s="31"/>
      <c r="F44" s="2"/>
      <c r="G44" s="2"/>
      <c r="H44" s="2"/>
      <c r="I44" s="12"/>
      <c r="J44" s="2"/>
      <c r="K44" s="2"/>
      <c r="L44" s="2"/>
      <c r="M44" s="26"/>
      <c r="N44" s="32"/>
      <c r="O44" s="18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>
      <c r="A45" s="7"/>
      <c r="B45" s="8" t="s">
        <v>130</v>
      </c>
      <c r="C45" s="9">
        <f t="shared" si="1"/>
        <v>15046</v>
      </c>
      <c r="D45" s="10"/>
      <c r="E45" s="31"/>
      <c r="F45" s="2"/>
      <c r="G45" s="2"/>
      <c r="H45" s="2"/>
      <c r="I45" s="12"/>
      <c r="J45" s="2"/>
      <c r="K45" s="2"/>
      <c r="L45" s="2"/>
      <c r="M45" s="26"/>
      <c r="N45" s="32"/>
      <c r="O45" s="18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>
      <c r="A46" s="7"/>
      <c r="B46" s="8" t="s">
        <v>131</v>
      </c>
      <c r="C46" s="9">
        <f t="shared" si="1"/>
        <v>15047</v>
      </c>
      <c r="D46" s="10"/>
      <c r="E46" s="31"/>
      <c r="F46" s="2"/>
      <c r="G46" s="2"/>
      <c r="H46" s="2"/>
      <c r="I46" s="25"/>
      <c r="J46" s="2"/>
      <c r="K46" s="18"/>
      <c r="L46" s="18"/>
      <c r="M46" s="18"/>
      <c r="N46" s="32"/>
      <c r="O46" s="18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>
      <c r="A47" s="7"/>
      <c r="B47" s="8" t="s">
        <v>132</v>
      </c>
      <c r="C47" s="9">
        <f t="shared" si="1"/>
        <v>15048</v>
      </c>
      <c r="D47" s="10"/>
      <c r="E47" s="31"/>
      <c r="F47" s="2"/>
      <c r="G47" s="2"/>
      <c r="H47" s="2"/>
      <c r="I47" s="25"/>
      <c r="J47" s="2"/>
      <c r="K47" s="18"/>
      <c r="L47" s="18"/>
      <c r="M47" s="18"/>
      <c r="N47" s="32"/>
      <c r="O47" s="18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>
      <c r="A48" s="7"/>
      <c r="B48" s="8" t="s">
        <v>133</v>
      </c>
      <c r="C48" s="9">
        <f t="shared" si="1"/>
        <v>15049</v>
      </c>
      <c r="D48" s="10"/>
      <c r="E48" s="31"/>
      <c r="F48" s="2"/>
      <c r="G48" s="2"/>
      <c r="H48" s="2"/>
      <c r="I48" s="25"/>
      <c r="J48" s="2"/>
      <c r="K48" s="2"/>
      <c r="L48" s="2"/>
      <c r="M48" s="26"/>
      <c r="N48" s="32"/>
      <c r="O48" s="18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>
      <c r="A49" s="7"/>
      <c r="B49" s="8" t="s">
        <v>134</v>
      </c>
      <c r="C49" s="9">
        <f t="shared" si="1"/>
        <v>15050</v>
      </c>
      <c r="D49" s="10"/>
      <c r="E49" s="31"/>
      <c r="F49" s="2"/>
      <c r="G49" s="2"/>
      <c r="H49" s="2"/>
      <c r="I49" s="25"/>
      <c r="J49" s="2"/>
      <c r="K49" s="2"/>
      <c r="L49" s="2"/>
      <c r="M49" s="26"/>
      <c r="N49" s="32"/>
      <c r="O49" s="18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>
      <c r="A50" s="7"/>
      <c r="B50" s="8" t="s">
        <v>135</v>
      </c>
      <c r="C50" s="9">
        <f t="shared" si="1"/>
        <v>15051</v>
      </c>
      <c r="D50" s="10"/>
      <c r="E50" s="31"/>
      <c r="F50" s="2"/>
      <c r="G50" s="2"/>
      <c r="H50" s="2"/>
      <c r="I50" s="25"/>
      <c r="J50" s="2"/>
      <c r="K50" s="2"/>
      <c r="L50" s="2"/>
      <c r="M50" s="26"/>
      <c r="N50" s="32"/>
      <c r="O50" s="18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>
      <c r="A51" s="7"/>
      <c r="B51" s="8" t="s">
        <v>136</v>
      </c>
      <c r="C51" s="9">
        <f t="shared" si="1"/>
        <v>15052</v>
      </c>
      <c r="D51" s="10"/>
      <c r="E51" s="31"/>
      <c r="F51" s="2"/>
      <c r="G51" s="2"/>
      <c r="H51" s="2"/>
      <c r="I51" s="12"/>
      <c r="J51" s="2"/>
      <c r="K51" s="2"/>
      <c r="L51" s="2"/>
      <c r="M51" s="26"/>
      <c r="N51" s="32"/>
      <c r="O51" s="18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>
      <c r="A52" s="7"/>
      <c r="B52" s="8" t="s">
        <v>137</v>
      </c>
      <c r="C52" s="9">
        <f t="shared" si="1"/>
        <v>15053</v>
      </c>
      <c r="D52" s="10"/>
      <c r="E52" s="31"/>
      <c r="F52" s="2"/>
      <c r="G52" s="2"/>
      <c r="H52" s="2"/>
      <c r="I52" s="12"/>
      <c r="J52" s="2"/>
      <c r="K52" s="18"/>
      <c r="L52" s="18"/>
      <c r="M52" s="18"/>
      <c r="N52" s="32"/>
      <c r="O52" s="18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>
      <c r="A53" s="7"/>
      <c r="B53" s="8" t="s">
        <v>138</v>
      </c>
      <c r="C53" s="9">
        <f t="shared" si="1"/>
        <v>15054</v>
      </c>
      <c r="D53" s="10"/>
      <c r="E53" s="31"/>
      <c r="F53" s="2"/>
      <c r="G53" s="2"/>
      <c r="H53" s="2"/>
      <c r="I53" s="12"/>
      <c r="J53" s="2"/>
      <c r="K53" s="18"/>
      <c r="L53" s="18"/>
      <c r="M53" s="18"/>
      <c r="N53" s="32"/>
      <c r="O53" s="18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>
      <c r="A54" s="7"/>
      <c r="B54" s="8" t="s">
        <v>139</v>
      </c>
      <c r="C54" s="9">
        <f t="shared" si="1"/>
        <v>15055</v>
      </c>
      <c r="D54" s="10"/>
      <c r="E54" s="31"/>
      <c r="F54" s="2"/>
      <c r="G54" s="2"/>
      <c r="H54" s="2"/>
      <c r="I54" s="25"/>
      <c r="J54" s="2"/>
      <c r="K54" s="2"/>
      <c r="L54" s="2"/>
      <c r="M54" s="26"/>
      <c r="N54" s="35"/>
      <c r="O54" s="18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>
      <c r="A55" s="7"/>
      <c r="B55" s="8" t="s">
        <v>140</v>
      </c>
      <c r="C55" s="9">
        <f t="shared" si="1"/>
        <v>15056</v>
      </c>
      <c r="D55" s="10"/>
      <c r="E55" s="31"/>
      <c r="F55" s="2"/>
      <c r="G55" s="2"/>
      <c r="H55" s="2"/>
      <c r="I55" s="25"/>
      <c r="J55" s="2"/>
      <c r="K55" s="2"/>
      <c r="L55" s="2"/>
      <c r="M55" s="26"/>
      <c r="N55" s="32"/>
      <c r="O55" s="18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>
      <c r="A56" s="7"/>
      <c r="B56" s="8" t="s">
        <v>141</v>
      </c>
      <c r="C56" s="9">
        <f t="shared" si="1"/>
        <v>15057</v>
      </c>
      <c r="D56" s="10"/>
      <c r="E56" s="31"/>
      <c r="F56" s="2"/>
      <c r="G56" s="2"/>
      <c r="H56" s="2"/>
      <c r="I56" s="25"/>
      <c r="J56" s="2"/>
      <c r="K56" s="18"/>
      <c r="L56" s="18"/>
      <c r="M56" s="18"/>
      <c r="N56" s="32"/>
      <c r="O56" s="18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>
      <c r="A57" s="7"/>
      <c r="B57" s="8" t="s">
        <v>142</v>
      </c>
      <c r="C57" s="9">
        <f t="shared" si="1"/>
        <v>15058</v>
      </c>
      <c r="D57" s="10"/>
      <c r="E57" s="36"/>
      <c r="F57" s="2"/>
      <c r="G57" s="2"/>
      <c r="H57" s="2"/>
      <c r="I57" s="25"/>
      <c r="J57" s="2"/>
      <c r="K57" s="2"/>
      <c r="L57" s="2"/>
      <c r="M57" s="26"/>
      <c r="N57" s="32"/>
      <c r="O57" s="18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>
      <c r="A58" s="7"/>
      <c r="B58" s="8" t="s">
        <v>143</v>
      </c>
      <c r="C58" s="9">
        <f t="shared" si="1"/>
        <v>15059</v>
      </c>
      <c r="D58" s="10"/>
      <c r="E58" s="31"/>
      <c r="F58" s="2"/>
      <c r="G58" s="2"/>
      <c r="H58" s="2"/>
      <c r="I58" s="25"/>
      <c r="J58" s="2"/>
      <c r="K58" s="2"/>
      <c r="L58" s="2"/>
      <c r="M58" s="21"/>
      <c r="N58" s="32"/>
      <c r="O58" s="18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>
      <c r="A59" s="7"/>
      <c r="B59" s="8" t="s">
        <v>144</v>
      </c>
      <c r="C59" s="9">
        <f t="shared" si="1"/>
        <v>15060</v>
      </c>
      <c r="D59" s="10"/>
      <c r="E59" s="31"/>
      <c r="F59" s="2"/>
      <c r="G59" s="2"/>
      <c r="H59" s="2"/>
      <c r="I59" s="25"/>
      <c r="J59" s="2"/>
      <c r="K59" s="2"/>
      <c r="L59" s="2"/>
      <c r="M59" s="26"/>
      <c r="N59" s="32"/>
      <c r="O59" s="18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>
      <c r="A60" s="7"/>
      <c r="B60" s="8" t="s">
        <v>145</v>
      </c>
      <c r="C60" s="9">
        <f t="shared" si="1"/>
        <v>15061</v>
      </c>
      <c r="D60" s="10"/>
      <c r="E60" s="11"/>
      <c r="F60" s="2"/>
      <c r="G60" s="2"/>
      <c r="H60" s="2"/>
      <c r="I60" s="25"/>
      <c r="J60" s="2"/>
      <c r="K60" s="2"/>
      <c r="L60" s="2"/>
      <c r="M60" s="26"/>
      <c r="N60" s="37"/>
      <c r="O60" s="18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>
      <c r="A61" s="7"/>
      <c r="B61" s="8" t="s">
        <v>146</v>
      </c>
      <c r="C61" s="9">
        <f t="shared" si="1"/>
        <v>15062</v>
      </c>
      <c r="D61" s="10"/>
      <c r="E61" s="11"/>
      <c r="F61" s="2"/>
      <c r="G61" s="2"/>
      <c r="H61" s="2"/>
      <c r="I61" s="25"/>
      <c r="J61" s="2"/>
      <c r="K61" s="2"/>
      <c r="L61" s="2"/>
      <c r="M61" s="26"/>
      <c r="N61" s="37"/>
      <c r="O61" s="18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>
      <c r="A62" s="7"/>
      <c r="B62" s="8" t="s">
        <v>147</v>
      </c>
      <c r="C62" s="9">
        <f t="shared" si="1"/>
        <v>15063</v>
      </c>
      <c r="D62" s="10"/>
      <c r="E62" s="11"/>
      <c r="F62" s="2"/>
      <c r="H62" s="2"/>
      <c r="I62" s="38"/>
      <c r="J62" s="2"/>
      <c r="K62" s="38"/>
      <c r="L62" s="38"/>
      <c r="M62" s="26"/>
      <c r="N62" s="32"/>
      <c r="O62" s="18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>
      <c r="A63" s="7"/>
      <c r="B63" s="8" t="s">
        <v>148</v>
      </c>
      <c r="C63" s="9">
        <f t="shared" si="1"/>
        <v>15064</v>
      </c>
      <c r="D63" s="10"/>
      <c r="E63" s="11"/>
      <c r="F63" s="2"/>
      <c r="G63" s="2"/>
      <c r="H63" s="2"/>
      <c r="I63" s="12"/>
      <c r="J63" s="2"/>
      <c r="K63" s="2"/>
      <c r="L63" s="2"/>
      <c r="M63" s="26"/>
      <c r="N63" s="37"/>
      <c r="O63" s="18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>
      <c r="A64" s="7"/>
      <c r="B64" s="8" t="s">
        <v>149</v>
      </c>
      <c r="C64" s="9">
        <f t="shared" si="1"/>
        <v>15065</v>
      </c>
      <c r="D64" s="10"/>
      <c r="E64" s="11"/>
      <c r="F64" s="2"/>
      <c r="G64" s="2"/>
      <c r="H64" s="2"/>
      <c r="I64" s="12"/>
      <c r="J64" s="2"/>
      <c r="K64" s="2"/>
      <c r="L64" s="2"/>
      <c r="M64" s="26"/>
      <c r="N64" s="37"/>
      <c r="O64" s="18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>
      <c r="A65" s="7"/>
      <c r="B65" s="8" t="s">
        <v>150</v>
      </c>
      <c r="C65" s="9">
        <f t="shared" si="1"/>
        <v>15066</v>
      </c>
      <c r="D65" s="10"/>
      <c r="E65" s="11"/>
      <c r="F65" s="2"/>
      <c r="G65" s="2"/>
      <c r="H65" s="2"/>
      <c r="I65" s="25"/>
      <c r="J65" s="2"/>
      <c r="K65" s="2"/>
      <c r="L65" s="2"/>
      <c r="M65" s="26"/>
      <c r="N65" s="37"/>
      <c r="O65" s="18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>
      <c r="A66" s="7"/>
      <c r="B66" s="8" t="s">
        <v>151</v>
      </c>
      <c r="C66" s="9">
        <f t="shared" si="1"/>
        <v>15067</v>
      </c>
      <c r="D66" s="10"/>
      <c r="E66" s="11"/>
      <c r="F66" s="2"/>
      <c r="G66" s="2"/>
      <c r="H66" s="2"/>
      <c r="I66" s="25"/>
      <c r="J66" s="2"/>
      <c r="K66" s="2"/>
      <c r="L66" s="2"/>
      <c r="M66" s="26"/>
      <c r="N66" s="37"/>
      <c r="O66" s="18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>
      <c r="A67" s="7"/>
      <c r="B67" s="8" t="s">
        <v>152</v>
      </c>
      <c r="C67" s="9">
        <f t="shared" si="1"/>
        <v>15068</v>
      </c>
      <c r="D67" s="10"/>
      <c r="E67" s="11"/>
      <c r="F67" s="2"/>
      <c r="G67" s="2"/>
      <c r="H67" s="2"/>
      <c r="I67" s="12"/>
      <c r="J67" s="2"/>
      <c r="K67" s="2"/>
      <c r="L67" s="2"/>
      <c r="M67" s="26"/>
      <c r="N67" s="37"/>
      <c r="O67" s="18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>
      <c r="A68" s="7"/>
      <c r="B68" s="8" t="s">
        <v>153</v>
      </c>
      <c r="C68" s="9">
        <f t="shared" si="1"/>
        <v>15069</v>
      </c>
      <c r="D68" s="10"/>
      <c r="E68" s="11"/>
      <c r="F68" s="2"/>
      <c r="G68" s="2"/>
      <c r="H68" s="2"/>
      <c r="I68" s="12"/>
      <c r="J68" s="2"/>
      <c r="K68" s="2"/>
      <c r="L68" s="2"/>
      <c r="M68" s="26"/>
      <c r="N68" s="37"/>
      <c r="O68" s="18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>
      <c r="A69" s="7"/>
      <c r="B69" s="8" t="s">
        <v>154</v>
      </c>
      <c r="C69" s="9">
        <f t="shared" si="1"/>
        <v>15070</v>
      </c>
      <c r="D69" s="10"/>
      <c r="E69" s="11"/>
      <c r="F69" s="2"/>
      <c r="G69" s="2"/>
      <c r="H69" s="2"/>
      <c r="I69" s="12"/>
      <c r="J69" s="2"/>
      <c r="K69" s="2"/>
      <c r="L69" s="2"/>
      <c r="M69" s="26"/>
      <c r="N69" s="37"/>
      <c r="O69" s="18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>
      <c r="A70" s="7"/>
      <c r="B70" s="8" t="s">
        <v>155</v>
      </c>
      <c r="C70" s="9">
        <f t="shared" si="1"/>
        <v>15071</v>
      </c>
      <c r="D70" s="10"/>
      <c r="E70" s="11"/>
      <c r="F70" s="2"/>
      <c r="G70" s="2"/>
      <c r="H70" s="2"/>
      <c r="I70" s="12"/>
      <c r="J70" s="2"/>
      <c r="K70" s="2"/>
      <c r="L70" s="2"/>
      <c r="M70" s="26"/>
      <c r="N70" s="37"/>
      <c r="O70" s="18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>
      <c r="A71" s="7"/>
      <c r="B71" s="8" t="s">
        <v>156</v>
      </c>
      <c r="C71" s="9">
        <f t="shared" si="1"/>
        <v>15072</v>
      </c>
      <c r="D71" s="10"/>
      <c r="E71" s="11"/>
      <c r="F71" s="2"/>
      <c r="G71" s="2"/>
      <c r="H71" s="2"/>
      <c r="I71" s="25"/>
      <c r="J71" s="2"/>
      <c r="K71" s="2"/>
      <c r="L71" s="2"/>
      <c r="M71" s="26"/>
      <c r="N71" s="37"/>
      <c r="O71" s="18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>
      <c r="A72" s="7"/>
      <c r="B72" s="8" t="s">
        <v>157</v>
      </c>
      <c r="C72" s="9">
        <f t="shared" si="1"/>
        <v>15073</v>
      </c>
      <c r="D72" s="10"/>
      <c r="E72" s="11"/>
      <c r="F72" s="2"/>
      <c r="G72" s="2"/>
      <c r="H72" s="2"/>
      <c r="I72" s="25"/>
      <c r="J72" s="2"/>
      <c r="K72" s="2"/>
      <c r="L72" s="2"/>
      <c r="M72" s="26"/>
      <c r="N72" s="37"/>
      <c r="O72" s="18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>
      <c r="A73" s="7"/>
      <c r="B73" s="8" t="s">
        <v>158</v>
      </c>
      <c r="C73" s="9">
        <f t="shared" si="1"/>
        <v>15074</v>
      </c>
      <c r="D73" s="10"/>
      <c r="E73" s="11"/>
      <c r="F73" s="2"/>
      <c r="G73" s="2"/>
      <c r="H73" s="2"/>
      <c r="I73" s="12"/>
      <c r="J73" s="2"/>
      <c r="K73" s="2"/>
      <c r="L73" s="2"/>
      <c r="M73" s="26"/>
      <c r="N73" s="37"/>
      <c r="O73" s="18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>
      <c r="A74" s="7"/>
      <c r="B74" s="8" t="s">
        <v>159</v>
      </c>
      <c r="C74" s="9">
        <f t="shared" si="1"/>
        <v>15075</v>
      </c>
      <c r="D74" s="10"/>
      <c r="E74" s="31"/>
      <c r="F74" s="2"/>
      <c r="G74" s="2"/>
      <c r="H74" s="2"/>
      <c r="I74" s="12"/>
      <c r="J74" s="2"/>
      <c r="K74" s="2"/>
      <c r="L74" s="2"/>
      <c r="M74" s="26"/>
      <c r="N74" s="32"/>
      <c r="O74" s="18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>
      <c r="A75" s="7"/>
      <c r="B75" s="8" t="s">
        <v>160</v>
      </c>
      <c r="C75" s="9">
        <f t="shared" si="1"/>
        <v>15076</v>
      </c>
      <c r="D75" s="10"/>
      <c r="E75" s="31"/>
      <c r="F75" s="2"/>
      <c r="G75" s="2"/>
      <c r="H75" s="2"/>
      <c r="I75" s="12"/>
      <c r="J75" s="2"/>
      <c r="K75" s="2"/>
      <c r="L75" s="2"/>
      <c r="M75" s="26"/>
      <c r="N75" s="32"/>
      <c r="O75" s="18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>
      <c r="A76" s="7"/>
      <c r="B76" s="8" t="s">
        <v>161</v>
      </c>
      <c r="C76" s="9">
        <f t="shared" si="1"/>
        <v>15077</v>
      </c>
      <c r="D76" s="10"/>
      <c r="E76" s="31"/>
      <c r="F76" s="2"/>
      <c r="G76" s="2"/>
      <c r="H76" s="2"/>
      <c r="I76" s="12"/>
      <c r="J76" s="2"/>
      <c r="K76" s="2"/>
      <c r="L76" s="2"/>
      <c r="M76" s="26"/>
      <c r="N76" s="32"/>
      <c r="O76" s="18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>
      <c r="A77" s="7"/>
      <c r="B77" s="8" t="s">
        <v>162</v>
      </c>
      <c r="C77" s="9">
        <f t="shared" si="1"/>
        <v>15078</v>
      </c>
      <c r="D77" s="10"/>
      <c r="E77" s="31"/>
      <c r="F77" s="2"/>
      <c r="G77" s="2"/>
      <c r="H77" s="2"/>
      <c r="I77" s="12"/>
      <c r="J77" s="2"/>
      <c r="K77" s="2"/>
      <c r="L77" s="2"/>
      <c r="M77" s="26"/>
      <c r="N77" s="32"/>
      <c r="O77" s="18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>
      <c r="A78" s="7"/>
      <c r="B78" s="8" t="s">
        <v>163</v>
      </c>
      <c r="C78" s="9">
        <f t="shared" si="1"/>
        <v>15079</v>
      </c>
      <c r="D78" s="10"/>
      <c r="E78" s="31"/>
      <c r="F78" s="2"/>
      <c r="G78" s="2"/>
      <c r="H78" s="2"/>
      <c r="I78" s="12"/>
      <c r="J78" s="2"/>
      <c r="K78" s="2"/>
      <c r="L78" s="2"/>
      <c r="M78" s="26"/>
      <c r="N78" s="32"/>
      <c r="O78" s="18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>
      <c r="A79" s="7"/>
      <c r="B79" s="8" t="s">
        <v>164</v>
      </c>
      <c r="C79" s="9">
        <f t="shared" si="1"/>
        <v>15080</v>
      </c>
      <c r="D79" s="10"/>
      <c r="E79" s="31"/>
      <c r="F79" s="2"/>
      <c r="G79" s="2"/>
      <c r="H79" s="2"/>
      <c r="I79" s="12"/>
      <c r="J79" s="2"/>
      <c r="K79" s="2"/>
      <c r="L79" s="2"/>
      <c r="M79" s="26"/>
      <c r="N79" s="32"/>
      <c r="O79" s="18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>
      <c r="A80" s="7"/>
      <c r="B80" s="8" t="s">
        <v>165</v>
      </c>
      <c r="C80" s="9">
        <f t="shared" si="1"/>
        <v>15081</v>
      </c>
      <c r="D80" s="10"/>
      <c r="E80" s="31"/>
      <c r="F80" s="2"/>
      <c r="G80" s="2"/>
      <c r="H80" s="2"/>
      <c r="I80" s="12"/>
      <c r="J80" s="2"/>
      <c r="K80" s="2"/>
      <c r="L80" s="2"/>
      <c r="M80" s="26"/>
      <c r="N80" s="32"/>
      <c r="O80" s="18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>
      <c r="A81" s="7"/>
      <c r="B81" s="8" t="s">
        <v>166</v>
      </c>
      <c r="C81" s="9">
        <f t="shared" si="1"/>
        <v>15082</v>
      </c>
      <c r="D81" s="10"/>
      <c r="E81" s="31"/>
      <c r="F81" s="2"/>
      <c r="G81" s="2"/>
      <c r="H81" s="2"/>
      <c r="I81" s="12"/>
      <c r="J81" s="2"/>
      <c r="K81" s="2"/>
      <c r="L81" s="2"/>
      <c r="M81" s="26"/>
      <c r="N81" s="32"/>
      <c r="O81" s="18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>
      <c r="A82" s="7"/>
      <c r="B82" s="8" t="s">
        <v>167</v>
      </c>
      <c r="C82" s="9">
        <f t="shared" si="1"/>
        <v>15083</v>
      </c>
      <c r="D82" s="10"/>
      <c r="E82" s="31"/>
      <c r="F82" s="2"/>
      <c r="G82" s="2"/>
      <c r="H82" s="2"/>
      <c r="I82" s="12"/>
      <c r="J82" s="2"/>
      <c r="K82" s="2"/>
      <c r="L82" s="2"/>
      <c r="M82" s="26"/>
      <c r="N82" s="32"/>
      <c r="O82" s="18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>
      <c r="A83" s="7"/>
      <c r="B83" s="8" t="s">
        <v>168</v>
      </c>
      <c r="C83" s="9">
        <f t="shared" si="1"/>
        <v>15084</v>
      </c>
      <c r="D83" s="10"/>
      <c r="E83" s="31"/>
      <c r="F83" s="2"/>
      <c r="G83" s="2"/>
      <c r="H83" s="2"/>
      <c r="I83" s="12"/>
      <c r="J83" s="2"/>
      <c r="K83" s="2"/>
      <c r="L83" s="2"/>
      <c r="M83" s="26"/>
      <c r="N83" s="32"/>
      <c r="O83" s="18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>
      <c r="A84" s="7"/>
      <c r="B84" s="8" t="s">
        <v>169</v>
      </c>
      <c r="C84" s="9">
        <f t="shared" si="1"/>
        <v>15085</v>
      </c>
      <c r="D84" s="10"/>
      <c r="E84" s="31"/>
      <c r="F84" s="2"/>
      <c r="G84" s="2"/>
      <c r="H84" s="2"/>
      <c r="I84" s="12"/>
      <c r="J84" s="2"/>
      <c r="K84" s="2"/>
      <c r="L84" s="2"/>
      <c r="M84" s="26"/>
      <c r="N84" s="32"/>
      <c r="O84" s="18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>
      <c r="A85" s="7"/>
      <c r="B85" s="8" t="s">
        <v>170</v>
      </c>
      <c r="C85" s="9">
        <f t="shared" si="1"/>
        <v>15086</v>
      </c>
      <c r="D85" s="10"/>
      <c r="E85" s="11"/>
      <c r="F85" s="2"/>
      <c r="G85" s="2"/>
      <c r="H85" s="2"/>
      <c r="I85" s="25"/>
      <c r="J85" s="18"/>
      <c r="K85" s="2"/>
      <c r="L85" s="2"/>
      <c r="M85" s="21"/>
      <c r="N85" s="37"/>
      <c r="O85" s="18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>
      <c r="A86" s="7"/>
      <c r="B86" s="8" t="s">
        <v>171</v>
      </c>
      <c r="C86" s="9">
        <f t="shared" si="1"/>
        <v>15087</v>
      </c>
      <c r="D86" s="10"/>
      <c r="E86" s="11"/>
      <c r="F86" s="2"/>
      <c r="G86" s="2"/>
      <c r="H86" s="2"/>
      <c r="I86" s="25"/>
      <c r="J86" s="18"/>
      <c r="K86" s="2"/>
      <c r="N86" s="18"/>
      <c r="O86" s="18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>
      <c r="A87" s="7"/>
      <c r="B87" s="8" t="s">
        <v>172</v>
      </c>
      <c r="C87" s="9">
        <f t="shared" si="1"/>
        <v>15088</v>
      </c>
      <c r="D87" s="28"/>
      <c r="E87" s="29"/>
      <c r="F87" s="18"/>
      <c r="G87" s="18"/>
      <c r="H87" s="18"/>
      <c r="I87" s="25"/>
      <c r="J87" s="18"/>
      <c r="K87" s="18"/>
      <c r="L87" s="18"/>
      <c r="M87" s="18"/>
      <c r="N87" s="18"/>
      <c r="O87" s="18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>
      <c r="A88" s="7"/>
      <c r="B88" s="8" t="s">
        <v>173</v>
      </c>
      <c r="C88" s="9">
        <f t="shared" si="1"/>
        <v>15089</v>
      </c>
      <c r="D88" s="28"/>
      <c r="E88" s="29"/>
      <c r="F88" s="18"/>
      <c r="G88" s="18"/>
      <c r="H88" s="18"/>
      <c r="I88" s="25"/>
      <c r="J88" s="18"/>
      <c r="K88" s="18"/>
      <c r="L88" s="18"/>
      <c r="M88" s="18"/>
      <c r="N88" s="18"/>
      <c r="O88" s="18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>
      <c r="A89" s="7"/>
      <c r="B89" s="8" t="s">
        <v>174</v>
      </c>
      <c r="C89" s="9">
        <f t="shared" si="1"/>
        <v>15090</v>
      </c>
      <c r="D89" s="28"/>
      <c r="E89" s="29"/>
      <c r="F89" s="18"/>
      <c r="G89" s="18"/>
      <c r="H89" s="18"/>
      <c r="I89" s="25"/>
      <c r="J89" s="18"/>
      <c r="K89" s="18"/>
      <c r="L89" s="18"/>
      <c r="M89" s="18"/>
      <c r="N89" s="18"/>
      <c r="O89" s="18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>
      <c r="A90" s="7"/>
      <c r="B90" s="8" t="s">
        <v>175</v>
      </c>
      <c r="C90" s="9">
        <f t="shared" si="1"/>
        <v>15091</v>
      </c>
      <c r="D90" s="28"/>
      <c r="E90" s="29"/>
      <c r="F90" s="18"/>
      <c r="G90" s="18"/>
      <c r="H90" s="18"/>
      <c r="I90" s="25"/>
      <c r="J90" s="18"/>
      <c r="K90" s="18"/>
      <c r="L90" s="18"/>
      <c r="M90" s="18"/>
      <c r="N90" s="18"/>
      <c r="O90" s="18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>
      <c r="A91" s="7"/>
      <c r="B91" s="8" t="s">
        <v>176</v>
      </c>
      <c r="C91" s="9">
        <f t="shared" si="1"/>
        <v>15092</v>
      </c>
      <c r="D91" s="28"/>
      <c r="E91" s="29"/>
      <c r="F91" s="18"/>
      <c r="G91" s="18"/>
      <c r="H91" s="18"/>
      <c r="I91" s="25"/>
      <c r="J91" s="18"/>
      <c r="K91" s="18"/>
      <c r="L91" s="18"/>
      <c r="M91" s="18"/>
      <c r="N91" s="18"/>
      <c r="O91" s="18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>
      <c r="A92" s="7"/>
      <c r="B92" s="8" t="s">
        <v>177</v>
      </c>
      <c r="C92" s="9">
        <f t="shared" si="1"/>
        <v>15093</v>
      </c>
      <c r="D92" s="28"/>
      <c r="E92" s="29"/>
      <c r="F92" s="18"/>
      <c r="G92" s="18"/>
      <c r="H92" s="18"/>
      <c r="I92" s="25"/>
      <c r="J92" s="18"/>
      <c r="K92" s="18"/>
      <c r="L92" s="18"/>
      <c r="M92" s="18"/>
      <c r="N92" s="18"/>
      <c r="O92" s="18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>
      <c r="A93" s="7"/>
      <c r="B93" s="8" t="s">
        <v>178</v>
      </c>
      <c r="C93" s="9">
        <f t="shared" si="1"/>
        <v>15094</v>
      </c>
      <c r="D93" s="28"/>
      <c r="E93" s="29"/>
      <c r="F93" s="18"/>
      <c r="G93" s="18"/>
      <c r="H93" s="18"/>
      <c r="I93" s="25"/>
      <c r="J93" s="18"/>
      <c r="K93" s="18"/>
      <c r="L93" s="18"/>
      <c r="M93" s="18"/>
      <c r="N93" s="18"/>
      <c r="O93" s="18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>
      <c r="A94" s="7"/>
      <c r="B94" s="8" t="s">
        <v>179</v>
      </c>
      <c r="C94" s="9">
        <f t="shared" si="1"/>
        <v>15095</v>
      </c>
      <c r="D94" s="28"/>
      <c r="E94" s="29"/>
      <c r="F94" s="18"/>
      <c r="G94" s="18"/>
      <c r="H94" s="18"/>
      <c r="I94" s="25"/>
      <c r="J94" s="18"/>
      <c r="K94" s="18"/>
      <c r="L94" s="18"/>
      <c r="M94" s="18"/>
      <c r="N94" s="18"/>
      <c r="O94" s="18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>
      <c r="A95" s="7"/>
      <c r="B95" s="8" t="s">
        <v>180</v>
      </c>
      <c r="C95" s="9">
        <f t="shared" si="1"/>
        <v>15096</v>
      </c>
      <c r="D95" s="28"/>
      <c r="E95" s="29"/>
      <c r="F95" s="18"/>
      <c r="G95" s="18"/>
      <c r="H95" s="18"/>
      <c r="I95" s="25"/>
      <c r="J95" s="18"/>
      <c r="K95" s="18"/>
      <c r="L95" s="18"/>
      <c r="M95" s="18"/>
      <c r="N95" s="18"/>
      <c r="O95" s="18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>
      <c r="A96" s="7"/>
      <c r="B96" s="8" t="s">
        <v>181</v>
      </c>
      <c r="C96" s="9">
        <f t="shared" si="1"/>
        <v>15097</v>
      </c>
      <c r="D96" s="28"/>
      <c r="E96" s="29"/>
      <c r="F96" s="18"/>
      <c r="G96" s="18"/>
      <c r="H96" s="18"/>
      <c r="I96" s="25"/>
      <c r="J96" s="18"/>
      <c r="K96" s="18"/>
      <c r="L96" s="18"/>
      <c r="M96" s="18"/>
      <c r="N96" s="18"/>
      <c r="O96" s="18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>
      <c r="A97" s="7"/>
      <c r="B97" s="8" t="s">
        <v>182</v>
      </c>
      <c r="C97" s="9">
        <f t="shared" si="1"/>
        <v>15098</v>
      </c>
      <c r="D97" s="28"/>
      <c r="E97" s="29"/>
      <c r="F97" s="18"/>
      <c r="G97" s="18"/>
      <c r="H97" s="18"/>
      <c r="I97" s="25"/>
      <c r="J97" s="18"/>
      <c r="K97" s="18"/>
      <c r="L97" s="18"/>
      <c r="M97" s="18"/>
      <c r="N97" s="18"/>
      <c r="O97" s="18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>
      <c r="A98" s="7"/>
      <c r="B98" s="8" t="s">
        <v>183</v>
      </c>
      <c r="C98" s="9">
        <f t="shared" si="1"/>
        <v>15099</v>
      </c>
      <c r="D98" s="28"/>
      <c r="E98" s="29"/>
      <c r="F98" s="18"/>
      <c r="G98" s="18"/>
      <c r="H98" s="18"/>
      <c r="I98" s="25"/>
      <c r="J98" s="18"/>
      <c r="K98" s="18"/>
      <c r="L98" s="18"/>
      <c r="M98" s="18"/>
      <c r="N98" s="18"/>
      <c r="O98" s="18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>
      <c r="A99" s="7"/>
      <c r="B99" s="8" t="s">
        <v>184</v>
      </c>
      <c r="C99" s="9">
        <f t="shared" si="1"/>
        <v>15100</v>
      </c>
      <c r="D99" s="28"/>
      <c r="E99" s="29"/>
      <c r="F99" s="18"/>
      <c r="G99" s="18"/>
      <c r="H99" s="18"/>
      <c r="I99" s="25"/>
      <c r="J99" s="18"/>
      <c r="K99" s="18"/>
      <c r="L99" s="18"/>
      <c r="M99" s="18"/>
      <c r="N99" s="18"/>
      <c r="O99" s="18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>
      <c r="A100" s="7"/>
      <c r="B100" s="8" t="s">
        <v>185</v>
      </c>
      <c r="C100" s="9">
        <f t="shared" si="1"/>
        <v>15101</v>
      </c>
      <c r="D100" s="10"/>
      <c r="E100" s="11"/>
      <c r="F100" s="2"/>
      <c r="G100" s="2"/>
      <c r="H100" s="2"/>
      <c r="I100" s="25"/>
      <c r="J100" s="2"/>
      <c r="K100" s="2"/>
      <c r="L100" s="2"/>
      <c r="M100" s="26"/>
      <c r="N100" s="18"/>
      <c r="O100" s="18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>
      <c r="A101" s="7"/>
      <c r="B101" s="8" t="s">
        <v>186</v>
      </c>
      <c r="C101" s="9">
        <f t="shared" si="1"/>
        <v>15102</v>
      </c>
      <c r="D101" s="10"/>
      <c r="E101" s="11"/>
      <c r="F101" s="2"/>
      <c r="G101" s="2"/>
      <c r="H101" s="2"/>
      <c r="I101" s="12"/>
      <c r="J101" s="2"/>
      <c r="K101" s="2"/>
      <c r="L101" s="2"/>
      <c r="M101" s="26"/>
      <c r="N101" s="18"/>
      <c r="O101" s="18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>
      <c r="A102" s="7"/>
      <c r="B102" s="8" t="s">
        <v>187</v>
      </c>
      <c r="C102" s="9">
        <f t="shared" si="1"/>
        <v>15103</v>
      </c>
      <c r="D102" s="10"/>
      <c r="E102" s="11"/>
      <c r="F102" s="2"/>
      <c r="G102" s="2"/>
      <c r="H102" s="2"/>
      <c r="I102" s="25"/>
      <c r="J102" s="2"/>
      <c r="K102" s="2"/>
      <c r="L102" s="2"/>
      <c r="M102" s="26"/>
      <c r="N102" s="18"/>
      <c r="O102" s="18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>
      <c r="A103" s="7"/>
      <c r="B103" s="8" t="s">
        <v>188</v>
      </c>
      <c r="C103" s="9">
        <f t="shared" si="1"/>
        <v>15104</v>
      </c>
      <c r="D103" s="10"/>
      <c r="E103" s="11"/>
      <c r="F103" s="2"/>
      <c r="G103" s="2"/>
      <c r="H103" s="2"/>
      <c r="I103" s="25"/>
      <c r="J103" s="2"/>
      <c r="K103" s="2"/>
      <c r="L103" s="2"/>
      <c r="M103" s="26"/>
      <c r="N103" s="18"/>
      <c r="O103" s="18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>
      <c r="A104" s="7"/>
      <c r="B104" s="8" t="s">
        <v>189</v>
      </c>
      <c r="C104" s="9">
        <f t="shared" si="1"/>
        <v>15105</v>
      </c>
      <c r="D104" s="10"/>
      <c r="E104" s="11"/>
      <c r="F104" s="2"/>
      <c r="G104" s="2"/>
      <c r="H104" s="2"/>
      <c r="I104" s="12"/>
      <c r="J104" s="2"/>
      <c r="K104" s="2"/>
      <c r="L104" s="2"/>
      <c r="M104" s="21"/>
      <c r="N104" s="2"/>
      <c r="O104" s="18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>
      <c r="A105" s="7"/>
      <c r="B105" s="8" t="s">
        <v>190</v>
      </c>
      <c r="C105" s="9">
        <f t="shared" si="1"/>
        <v>15106</v>
      </c>
      <c r="D105" s="10"/>
      <c r="E105" s="11"/>
      <c r="F105" s="2"/>
      <c r="G105" s="2"/>
      <c r="H105" s="2"/>
      <c r="I105" s="12"/>
      <c r="J105" s="2"/>
      <c r="K105" s="2"/>
      <c r="L105" s="2"/>
      <c r="M105" s="21"/>
      <c r="N105" s="2"/>
      <c r="O105" s="18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>
      <c r="A106" s="7"/>
      <c r="B106" s="8" t="s">
        <v>191</v>
      </c>
      <c r="C106" s="9">
        <f t="shared" si="1"/>
        <v>15107</v>
      </c>
      <c r="D106" s="10"/>
      <c r="E106" s="11"/>
      <c r="F106" s="2"/>
      <c r="G106" s="2"/>
      <c r="H106" s="2"/>
      <c r="I106" s="12"/>
      <c r="J106" s="2"/>
      <c r="K106" s="2"/>
      <c r="L106" s="2"/>
      <c r="M106" s="21"/>
      <c r="N106" s="2"/>
      <c r="O106" s="18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>
      <c r="A107" s="7"/>
      <c r="B107" s="8" t="s">
        <v>192</v>
      </c>
      <c r="C107" s="9">
        <f t="shared" si="1"/>
        <v>15108</v>
      </c>
      <c r="D107" s="10"/>
      <c r="E107" s="11"/>
      <c r="F107" s="2"/>
      <c r="G107" s="2"/>
      <c r="H107" s="2"/>
      <c r="I107" s="12"/>
      <c r="J107" s="2"/>
      <c r="K107" s="2"/>
      <c r="L107" s="2"/>
      <c r="M107" s="26"/>
      <c r="N107" s="2"/>
      <c r="O107" s="18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>
      <c r="A108" s="7"/>
      <c r="B108" s="8" t="s">
        <v>193</v>
      </c>
      <c r="C108" s="9">
        <f t="shared" si="1"/>
        <v>15109</v>
      </c>
      <c r="D108" s="10"/>
      <c r="E108" s="11"/>
      <c r="F108" s="2"/>
      <c r="G108" s="2"/>
      <c r="H108" s="2"/>
      <c r="I108" s="12"/>
      <c r="J108" s="2"/>
      <c r="K108" s="2"/>
      <c r="L108" s="2"/>
      <c r="M108" s="26"/>
      <c r="N108" s="2"/>
      <c r="O108" s="18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>
      <c r="A109" s="7"/>
      <c r="B109" s="8" t="s">
        <v>194</v>
      </c>
      <c r="C109" s="9">
        <f t="shared" si="1"/>
        <v>15110</v>
      </c>
      <c r="D109" s="10"/>
      <c r="E109" s="11"/>
      <c r="F109" s="2"/>
      <c r="G109" s="2"/>
      <c r="H109" s="2"/>
      <c r="I109" s="12"/>
      <c r="J109" s="2"/>
      <c r="K109" s="2"/>
      <c r="L109" s="2"/>
      <c r="M109" s="26"/>
      <c r="N109" s="2"/>
      <c r="O109" s="18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>
      <c r="A110" s="7"/>
      <c r="B110" s="8" t="s">
        <v>195</v>
      </c>
      <c r="C110" s="9">
        <f t="shared" si="1"/>
        <v>15111</v>
      </c>
      <c r="D110" s="10"/>
      <c r="E110" s="11"/>
      <c r="F110" s="2"/>
      <c r="G110" s="2"/>
      <c r="H110" s="2"/>
      <c r="I110" s="12"/>
      <c r="J110" s="2"/>
      <c r="K110" s="2"/>
      <c r="L110" s="2"/>
      <c r="M110" s="26"/>
      <c r="N110" s="2"/>
      <c r="O110" s="18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>
      <c r="A111" s="7"/>
      <c r="B111" s="8" t="s">
        <v>196</v>
      </c>
      <c r="C111" s="9">
        <f t="shared" si="1"/>
        <v>15112</v>
      </c>
      <c r="D111" s="10"/>
      <c r="E111" s="11"/>
      <c r="F111" s="2"/>
      <c r="G111" s="2"/>
      <c r="H111" s="2"/>
      <c r="I111" s="12"/>
      <c r="J111" s="2"/>
      <c r="K111" s="2"/>
      <c r="L111" s="2"/>
      <c r="M111" s="26"/>
      <c r="N111" s="2"/>
      <c r="O111" s="18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>
      <c r="A112" s="7"/>
      <c r="B112" s="8" t="s">
        <v>197</v>
      </c>
      <c r="C112" s="9">
        <f t="shared" si="1"/>
        <v>15113</v>
      </c>
      <c r="D112" s="10"/>
      <c r="E112" s="11"/>
      <c r="F112" s="2"/>
      <c r="G112" s="2"/>
      <c r="H112" s="2"/>
      <c r="I112" s="12"/>
      <c r="J112" s="2"/>
      <c r="K112" s="2"/>
      <c r="L112" s="2"/>
      <c r="M112" s="26"/>
      <c r="N112" s="2"/>
      <c r="O112" s="18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>
      <c r="A113" s="7"/>
      <c r="B113" s="8" t="s">
        <v>198</v>
      </c>
      <c r="C113" s="9">
        <f t="shared" si="1"/>
        <v>15114</v>
      </c>
      <c r="D113" s="28"/>
      <c r="E113" s="11"/>
      <c r="F113" s="2"/>
      <c r="G113" s="2"/>
      <c r="H113" s="2"/>
      <c r="I113" s="12"/>
      <c r="J113" s="2"/>
      <c r="K113" s="2"/>
      <c r="L113" s="2"/>
      <c r="M113" s="26"/>
      <c r="N113" s="2"/>
      <c r="O113" s="18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>
      <c r="A114" s="7"/>
      <c r="B114" s="8" t="s">
        <v>199</v>
      </c>
      <c r="C114" s="9">
        <f t="shared" si="1"/>
        <v>15115</v>
      </c>
      <c r="D114" s="28"/>
      <c r="E114" s="11"/>
      <c r="F114" s="2"/>
      <c r="G114" s="2"/>
      <c r="H114" s="2"/>
      <c r="I114" s="12"/>
      <c r="J114" s="2"/>
      <c r="K114" s="2"/>
      <c r="L114" s="2"/>
      <c r="M114" s="26"/>
      <c r="N114" s="2"/>
      <c r="O114" s="18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>
      <c r="A115" s="7"/>
      <c r="B115" s="8" t="s">
        <v>200</v>
      </c>
      <c r="C115" s="9">
        <f t="shared" si="1"/>
        <v>15116</v>
      </c>
      <c r="D115" s="28"/>
      <c r="E115" s="11"/>
      <c r="F115" s="2"/>
      <c r="G115" s="2"/>
      <c r="H115" s="2"/>
      <c r="I115" s="12"/>
      <c r="J115" s="2"/>
      <c r="K115" s="2"/>
      <c r="L115" s="2"/>
      <c r="M115" s="26"/>
      <c r="N115" s="2"/>
      <c r="O115" s="18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>
      <c r="A116" s="7"/>
      <c r="B116" s="8" t="s">
        <v>201</v>
      </c>
      <c r="C116" s="9">
        <f t="shared" si="1"/>
        <v>15117</v>
      </c>
      <c r="D116" s="28"/>
      <c r="E116" s="11"/>
      <c r="F116" s="2"/>
      <c r="G116" s="2"/>
      <c r="H116" s="2"/>
      <c r="I116" s="12"/>
      <c r="J116" s="2"/>
      <c r="K116" s="2"/>
      <c r="L116" s="2"/>
      <c r="M116" s="26"/>
      <c r="N116" s="2"/>
      <c r="O116" s="18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>
      <c r="A117" s="7"/>
      <c r="B117" s="8" t="s">
        <v>202</v>
      </c>
      <c r="C117" s="9">
        <f t="shared" si="1"/>
        <v>15118</v>
      </c>
      <c r="D117" s="28"/>
      <c r="E117" s="11"/>
      <c r="F117" s="2"/>
      <c r="G117" s="2"/>
      <c r="H117" s="2"/>
      <c r="I117" s="12"/>
      <c r="J117" s="2"/>
      <c r="K117" s="2"/>
      <c r="L117" s="2"/>
      <c r="M117" s="26"/>
      <c r="N117" s="2"/>
      <c r="O117" s="18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>
      <c r="A118" s="7"/>
      <c r="B118" s="8" t="s">
        <v>203</v>
      </c>
      <c r="C118" s="9">
        <f t="shared" si="1"/>
        <v>15119</v>
      </c>
      <c r="D118" s="28"/>
      <c r="E118" s="11"/>
      <c r="F118" s="2"/>
      <c r="G118" s="2"/>
      <c r="H118" s="2"/>
      <c r="I118" s="12"/>
      <c r="J118" s="2"/>
      <c r="K118" s="2"/>
      <c r="L118" s="2"/>
      <c r="M118" s="26"/>
      <c r="N118" s="2"/>
      <c r="O118" s="18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>
      <c r="A119" s="7"/>
      <c r="B119" s="8" t="s">
        <v>204</v>
      </c>
      <c r="C119" s="9">
        <f t="shared" si="1"/>
        <v>15120</v>
      </c>
      <c r="D119" s="28"/>
      <c r="E119" s="11"/>
      <c r="F119" s="2"/>
      <c r="G119" s="2"/>
      <c r="H119" s="2"/>
      <c r="I119" s="12"/>
      <c r="J119" s="2"/>
      <c r="K119" s="2"/>
      <c r="L119" s="2"/>
      <c r="M119" s="26"/>
      <c r="N119" s="2"/>
      <c r="O119" s="18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>
      <c r="A120" s="7"/>
      <c r="B120" s="8" t="s">
        <v>205</v>
      </c>
      <c r="C120" s="9">
        <f t="shared" si="1"/>
        <v>15121</v>
      </c>
      <c r="D120" s="28"/>
      <c r="E120" s="11"/>
      <c r="F120" s="2"/>
      <c r="G120" s="2"/>
      <c r="H120" s="2"/>
      <c r="I120" s="12"/>
      <c r="J120" s="2"/>
      <c r="K120" s="2"/>
      <c r="L120" s="2"/>
      <c r="M120" s="26"/>
      <c r="N120" s="2"/>
      <c r="O120" s="18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>
      <c r="A121" s="7"/>
      <c r="B121" s="8" t="s">
        <v>206</v>
      </c>
      <c r="C121" s="9">
        <f t="shared" si="1"/>
        <v>15122</v>
      </c>
      <c r="D121" s="28"/>
      <c r="E121" s="11"/>
      <c r="F121" s="2"/>
      <c r="G121" s="2"/>
      <c r="H121" s="2"/>
      <c r="I121" s="12"/>
      <c r="J121" s="2"/>
      <c r="K121" s="2"/>
      <c r="L121" s="2"/>
      <c r="M121" s="26"/>
      <c r="N121" s="2"/>
      <c r="O121" s="18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>
      <c r="A122" s="7"/>
      <c r="B122" s="8" t="s">
        <v>207</v>
      </c>
      <c r="C122" s="9">
        <f t="shared" si="1"/>
        <v>15123</v>
      </c>
      <c r="D122" s="28"/>
      <c r="E122" s="11"/>
      <c r="F122" s="2"/>
      <c r="G122" s="2"/>
      <c r="H122" s="2"/>
      <c r="I122" s="12"/>
      <c r="J122" s="2"/>
      <c r="K122" s="2"/>
      <c r="L122" s="2"/>
      <c r="M122" s="26"/>
      <c r="N122" s="2"/>
      <c r="O122" s="18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>
      <c r="A123" s="7"/>
      <c r="B123" s="8" t="s">
        <v>208</v>
      </c>
      <c r="C123" s="9">
        <f t="shared" si="1"/>
        <v>15124</v>
      </c>
      <c r="D123" s="28"/>
      <c r="E123" s="11"/>
      <c r="F123" s="2"/>
      <c r="G123" s="2"/>
      <c r="H123" s="2"/>
      <c r="I123" s="12"/>
      <c r="J123" s="2"/>
      <c r="K123" s="2"/>
      <c r="L123" s="2"/>
      <c r="M123" s="26"/>
      <c r="N123" s="2"/>
      <c r="O123" s="18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>
      <c r="A124" s="7"/>
      <c r="B124" s="8" t="s">
        <v>209</v>
      </c>
      <c r="C124" s="9">
        <f t="shared" si="1"/>
        <v>15125</v>
      </c>
      <c r="D124" s="28"/>
      <c r="E124" s="11"/>
      <c r="F124" s="2"/>
      <c r="G124" s="2"/>
      <c r="H124" s="2"/>
      <c r="I124" s="12"/>
      <c r="J124" s="2"/>
      <c r="K124" s="2"/>
      <c r="L124" s="2"/>
      <c r="M124" s="26"/>
      <c r="N124" s="2"/>
      <c r="O124" s="18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>
      <c r="A125" s="7"/>
      <c r="B125" s="8" t="s">
        <v>210</v>
      </c>
      <c r="C125" s="9">
        <f t="shared" si="1"/>
        <v>15126</v>
      </c>
      <c r="D125" s="28"/>
      <c r="E125" s="11"/>
      <c r="F125" s="2"/>
      <c r="G125" s="2"/>
      <c r="H125" s="2"/>
      <c r="I125" s="12"/>
      <c r="J125" s="2"/>
      <c r="K125" s="2"/>
      <c r="L125" s="2"/>
      <c r="M125" s="26"/>
      <c r="N125" s="2"/>
      <c r="O125" s="18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>
      <c r="A126" s="7"/>
      <c r="B126" s="8" t="s">
        <v>211</v>
      </c>
      <c r="C126" s="9">
        <f t="shared" si="1"/>
        <v>15127</v>
      </c>
      <c r="D126" s="28"/>
      <c r="E126" s="11"/>
      <c r="F126" s="2"/>
      <c r="G126" s="2"/>
      <c r="H126" s="2"/>
      <c r="I126" s="12"/>
      <c r="J126" s="2"/>
      <c r="K126" s="2"/>
      <c r="L126" s="2"/>
      <c r="M126" s="26"/>
      <c r="N126" s="2"/>
      <c r="O126" s="18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>
      <c r="A127" s="7"/>
      <c r="B127" s="8" t="s">
        <v>212</v>
      </c>
      <c r="C127" s="9">
        <f t="shared" si="1"/>
        <v>15128</v>
      </c>
      <c r="D127" s="28"/>
      <c r="E127" s="11"/>
      <c r="F127" s="2"/>
      <c r="G127" s="2"/>
      <c r="H127" s="2"/>
      <c r="I127" s="12"/>
      <c r="J127" s="2"/>
      <c r="K127" s="2"/>
      <c r="L127" s="2"/>
      <c r="M127" s="26"/>
      <c r="N127" s="2"/>
      <c r="O127" s="18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>
      <c r="A128" s="7"/>
      <c r="B128" s="8" t="s">
        <v>213</v>
      </c>
      <c r="C128" s="9">
        <f t="shared" si="1"/>
        <v>15129</v>
      </c>
      <c r="D128" s="28"/>
      <c r="E128" s="11"/>
      <c r="F128" s="2"/>
      <c r="G128" s="2"/>
      <c r="H128" s="2"/>
      <c r="I128" s="12"/>
      <c r="J128" s="2"/>
      <c r="K128" s="2"/>
      <c r="L128" s="2"/>
      <c r="M128" s="26"/>
      <c r="N128" s="2"/>
      <c r="O128" s="18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>
      <c r="A129" s="7"/>
      <c r="B129" s="8" t="s">
        <v>214</v>
      </c>
      <c r="C129" s="9">
        <f t="shared" si="1"/>
        <v>15130</v>
      </c>
      <c r="D129" s="10"/>
      <c r="E129" s="11"/>
      <c r="F129" s="2"/>
      <c r="G129" s="2"/>
      <c r="H129" s="2"/>
      <c r="I129" s="12"/>
      <c r="J129" s="2"/>
      <c r="K129" s="2"/>
      <c r="L129" s="2"/>
      <c r="M129" s="26"/>
      <c r="N129" s="18"/>
      <c r="O129" s="18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>
      <c r="A130" s="7"/>
      <c r="B130" s="8" t="s">
        <v>215</v>
      </c>
      <c r="C130" s="9">
        <f t="shared" si="1"/>
        <v>15131</v>
      </c>
      <c r="D130" s="10"/>
      <c r="E130" s="11"/>
      <c r="F130" s="2"/>
      <c r="G130" s="2"/>
      <c r="H130" s="2"/>
      <c r="I130" s="25"/>
      <c r="J130" s="2"/>
      <c r="K130" s="2"/>
      <c r="L130" s="2"/>
      <c r="M130" s="26"/>
      <c r="N130" s="18"/>
      <c r="O130" s="18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>
      <c r="A131" s="7"/>
      <c r="B131" s="8" t="s">
        <v>216</v>
      </c>
      <c r="C131" s="9">
        <f t="shared" si="1"/>
        <v>15132</v>
      </c>
      <c r="D131" s="28"/>
      <c r="E131" s="29"/>
      <c r="F131" s="18"/>
      <c r="G131" s="18"/>
      <c r="H131" s="18"/>
      <c r="I131" s="25"/>
      <c r="J131" s="18"/>
      <c r="K131" s="18"/>
      <c r="L131" s="18"/>
      <c r="M131" s="18"/>
      <c r="N131" s="18"/>
      <c r="O131" s="18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>
      <c r="A132" s="7"/>
      <c r="B132" s="8" t="s">
        <v>217</v>
      </c>
      <c r="C132" s="9">
        <f t="shared" si="1"/>
        <v>15133</v>
      </c>
      <c r="D132" s="28"/>
      <c r="E132" s="29"/>
      <c r="F132" s="18"/>
      <c r="G132" s="18"/>
      <c r="H132" s="18"/>
      <c r="I132" s="25"/>
      <c r="J132" s="18"/>
      <c r="K132" s="18"/>
      <c r="L132" s="18"/>
      <c r="M132" s="18"/>
      <c r="N132" s="18"/>
      <c r="O132" s="18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>
      <c r="A133" s="7"/>
      <c r="B133" s="8" t="s">
        <v>218</v>
      </c>
      <c r="C133" s="9">
        <f t="shared" si="1"/>
        <v>15134</v>
      </c>
      <c r="D133" s="10"/>
      <c r="E133" s="11"/>
      <c r="F133" s="18"/>
      <c r="G133" s="2"/>
      <c r="H133" s="2"/>
      <c r="I133" s="12"/>
      <c r="J133" s="2"/>
      <c r="K133" s="2"/>
      <c r="L133" s="2"/>
      <c r="M133" s="21"/>
      <c r="N133" s="2"/>
      <c r="O133" s="18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>
      <c r="A134" s="7"/>
      <c r="B134" s="8" t="s">
        <v>219</v>
      </c>
      <c r="C134" s="9">
        <f t="shared" si="1"/>
        <v>15135</v>
      </c>
      <c r="D134" s="10"/>
      <c r="E134" s="11"/>
      <c r="F134" s="18"/>
      <c r="G134" s="2"/>
      <c r="H134" s="2"/>
      <c r="I134" s="12"/>
      <c r="J134" s="2"/>
      <c r="K134" s="2"/>
      <c r="L134" s="2"/>
      <c r="M134" s="41"/>
      <c r="N134" s="2"/>
      <c r="O134" s="18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>
      <c r="A135" s="7"/>
      <c r="B135" s="8" t="s">
        <v>220</v>
      </c>
      <c r="C135" s="9">
        <f t="shared" si="1"/>
        <v>15136</v>
      </c>
      <c r="D135" s="28"/>
      <c r="E135" s="11"/>
      <c r="F135" s="18"/>
      <c r="G135" s="2"/>
      <c r="H135" s="2"/>
      <c r="I135" s="12"/>
      <c r="J135" s="2"/>
      <c r="K135" s="2"/>
      <c r="L135" s="2"/>
      <c r="M135" s="21"/>
      <c r="N135" s="2"/>
      <c r="O135" s="18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>
      <c r="A136" s="7"/>
      <c r="B136" s="8" t="s">
        <v>221</v>
      </c>
      <c r="C136" s="9">
        <f t="shared" si="1"/>
        <v>15137</v>
      </c>
      <c r="D136" s="28"/>
      <c r="E136" s="11"/>
      <c r="F136" s="18"/>
      <c r="G136" s="2"/>
      <c r="H136" s="2"/>
      <c r="I136" s="12"/>
      <c r="J136" s="18"/>
      <c r="K136" s="2"/>
      <c r="L136" s="2"/>
      <c r="M136" s="21"/>
      <c r="N136" s="2"/>
      <c r="O136" s="18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>
      <c r="A137" s="7"/>
      <c r="B137" s="8" t="s">
        <v>222</v>
      </c>
      <c r="C137" s="9">
        <f t="shared" si="1"/>
        <v>15138</v>
      </c>
      <c r="D137" s="28"/>
      <c r="E137" s="11"/>
      <c r="F137" s="18"/>
      <c r="G137" s="2"/>
      <c r="H137" s="2"/>
      <c r="I137" s="12"/>
      <c r="J137" s="2"/>
      <c r="K137" s="2"/>
      <c r="L137" s="2"/>
      <c r="M137" s="21"/>
      <c r="N137" s="2"/>
      <c r="O137" s="18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>
      <c r="A138" s="7"/>
      <c r="B138" s="8" t="s">
        <v>223</v>
      </c>
      <c r="C138" s="9">
        <f t="shared" si="1"/>
        <v>15139</v>
      </c>
      <c r="D138" s="28"/>
      <c r="E138" s="11"/>
      <c r="F138" s="18"/>
      <c r="G138" s="2"/>
      <c r="H138" s="2"/>
      <c r="I138" s="12"/>
      <c r="J138" s="2"/>
      <c r="K138" s="2"/>
      <c r="L138" s="2"/>
      <c r="M138" s="21"/>
      <c r="N138" s="2"/>
      <c r="O138" s="18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>
      <c r="A139" s="7"/>
      <c r="B139" s="8" t="s">
        <v>224</v>
      </c>
      <c r="C139" s="9">
        <f t="shared" si="1"/>
        <v>15140</v>
      </c>
      <c r="D139" s="28"/>
      <c r="E139" s="11"/>
      <c r="F139" s="18"/>
      <c r="G139" s="2"/>
      <c r="H139" s="2"/>
      <c r="I139" s="12"/>
      <c r="J139" s="18"/>
      <c r="K139" s="2"/>
      <c r="L139" s="2"/>
      <c r="M139" s="21"/>
      <c r="N139" s="2"/>
      <c r="O139" s="18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>
      <c r="A140" s="7"/>
      <c r="B140" s="8" t="s">
        <v>225</v>
      </c>
      <c r="C140" s="9">
        <f t="shared" si="1"/>
        <v>15141</v>
      </c>
      <c r="D140" s="28"/>
      <c r="E140" s="11"/>
      <c r="F140" s="18"/>
      <c r="G140" s="2"/>
      <c r="H140" s="2"/>
      <c r="I140" s="12"/>
      <c r="J140" s="2"/>
      <c r="K140" s="2"/>
      <c r="L140" s="2"/>
      <c r="M140" s="21"/>
      <c r="N140" s="2"/>
      <c r="O140" s="18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>
      <c r="A141" s="7"/>
      <c r="B141" s="8" t="s">
        <v>226</v>
      </c>
      <c r="C141" s="9">
        <f t="shared" si="1"/>
        <v>15142</v>
      </c>
      <c r="D141" s="28"/>
      <c r="E141" s="11"/>
      <c r="F141" s="18"/>
      <c r="G141" s="2"/>
      <c r="H141" s="2"/>
      <c r="I141" s="12"/>
      <c r="J141" s="2"/>
      <c r="K141" s="2"/>
      <c r="L141" s="2"/>
      <c r="M141" s="21"/>
      <c r="N141" s="2"/>
      <c r="O141" s="18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>
      <c r="A142" s="7"/>
      <c r="B142" s="8" t="s">
        <v>227</v>
      </c>
      <c r="C142" s="9">
        <f t="shared" si="1"/>
        <v>15143</v>
      </c>
      <c r="D142" s="28"/>
      <c r="E142" s="11"/>
      <c r="F142" s="18"/>
      <c r="G142" s="2"/>
      <c r="H142" s="2"/>
      <c r="I142" s="12"/>
      <c r="J142" s="2"/>
      <c r="K142" s="2"/>
      <c r="L142" s="2"/>
      <c r="M142" s="21"/>
      <c r="N142" s="2"/>
      <c r="O142" s="18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>
      <c r="A143" s="7"/>
      <c r="B143" s="8" t="s">
        <v>228</v>
      </c>
      <c r="C143" s="9">
        <f t="shared" si="1"/>
        <v>15144</v>
      </c>
      <c r="D143" s="28"/>
      <c r="E143" s="11"/>
      <c r="F143" s="18"/>
      <c r="G143" s="2"/>
      <c r="H143" s="2"/>
      <c r="I143" s="12"/>
      <c r="J143" s="2"/>
      <c r="K143" s="2"/>
      <c r="L143" s="2"/>
      <c r="M143" s="21"/>
      <c r="N143" s="2"/>
      <c r="O143" s="18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>
      <c r="A144" s="7"/>
      <c r="B144" s="8" t="s">
        <v>229</v>
      </c>
      <c r="C144" s="9">
        <f t="shared" si="1"/>
        <v>15145</v>
      </c>
      <c r="D144" s="28"/>
      <c r="E144" s="11"/>
      <c r="F144" s="18"/>
      <c r="G144" s="2"/>
      <c r="H144" s="2"/>
      <c r="I144" s="12"/>
      <c r="J144" s="18"/>
      <c r="K144" s="2"/>
      <c r="L144" s="2"/>
      <c r="M144" s="21"/>
      <c r="N144" s="2"/>
      <c r="O144" s="18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>
      <c r="A145" s="7"/>
      <c r="B145" s="8" t="s">
        <v>230</v>
      </c>
      <c r="C145" s="9">
        <f t="shared" si="1"/>
        <v>15146</v>
      </c>
      <c r="D145" s="28"/>
      <c r="E145" s="11"/>
      <c r="F145" s="18"/>
      <c r="G145" s="2"/>
      <c r="H145" s="2"/>
      <c r="I145" s="12"/>
      <c r="J145" s="2"/>
      <c r="K145" s="2"/>
      <c r="L145" s="2"/>
      <c r="M145" s="21"/>
      <c r="N145" s="2"/>
      <c r="O145" s="18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>
      <c r="A146" s="7"/>
      <c r="B146" s="8" t="s">
        <v>231</v>
      </c>
      <c r="C146" s="9">
        <f t="shared" si="1"/>
        <v>15148</v>
      </c>
      <c r="D146" s="28"/>
      <c r="E146" s="11"/>
      <c r="F146" s="18"/>
      <c r="G146" s="2"/>
      <c r="H146" s="2"/>
      <c r="I146" s="12"/>
      <c r="J146" s="2"/>
      <c r="K146" s="2"/>
      <c r="L146" s="2"/>
      <c r="M146" s="21"/>
      <c r="N146" s="12"/>
      <c r="O146" s="18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>
      <c r="A147" s="7"/>
      <c r="B147" s="8" t="s">
        <v>232</v>
      </c>
      <c r="C147" s="9">
        <f t="shared" si="1"/>
        <v>15149</v>
      </c>
      <c r="D147" s="28"/>
      <c r="E147" s="11"/>
      <c r="F147" s="18"/>
      <c r="G147" s="2"/>
      <c r="H147" s="2"/>
      <c r="I147" s="12"/>
      <c r="J147" s="2"/>
      <c r="K147" s="2"/>
      <c r="L147" s="2"/>
      <c r="M147" s="21"/>
      <c r="N147" s="12"/>
      <c r="O147" s="18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>
      <c r="A148" s="7"/>
      <c r="B148" s="8" t="s">
        <v>233</v>
      </c>
      <c r="C148" s="9">
        <f t="shared" si="1"/>
        <v>15150</v>
      </c>
      <c r="D148" s="28"/>
      <c r="E148" s="23"/>
      <c r="F148" s="18"/>
      <c r="G148" s="2"/>
      <c r="H148" s="2"/>
      <c r="I148" s="12"/>
      <c r="J148" s="2"/>
      <c r="K148" s="2"/>
      <c r="L148" s="2"/>
      <c r="M148" s="21"/>
      <c r="N148" s="12"/>
      <c r="O148" s="18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>
      <c r="A149" s="7"/>
      <c r="B149" s="8" t="s">
        <v>234</v>
      </c>
      <c r="C149" s="9">
        <f t="shared" si="1"/>
        <v>15151</v>
      </c>
      <c r="D149" s="28"/>
      <c r="E149" s="11"/>
      <c r="F149" s="18"/>
      <c r="G149" s="2"/>
      <c r="H149" s="2"/>
      <c r="I149" s="12"/>
      <c r="J149" s="2"/>
      <c r="K149" s="2"/>
      <c r="L149" s="2"/>
      <c r="M149" s="21"/>
      <c r="N149" s="12"/>
      <c r="O149" s="18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>
      <c r="A150" s="7"/>
      <c r="B150" s="8" t="s">
        <v>235</v>
      </c>
      <c r="C150" s="9">
        <f t="shared" si="1"/>
        <v>15152</v>
      </c>
      <c r="D150" s="28"/>
      <c r="E150" s="11"/>
      <c r="F150" s="18"/>
      <c r="G150" s="2"/>
      <c r="H150" s="2"/>
      <c r="I150" s="12"/>
      <c r="J150" s="2"/>
      <c r="K150" s="2"/>
      <c r="L150" s="2"/>
      <c r="M150" s="21"/>
      <c r="N150" s="12"/>
      <c r="O150" s="18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>
      <c r="A151" s="7"/>
      <c r="B151" s="8" t="s">
        <v>236</v>
      </c>
      <c r="C151" s="9">
        <f t="shared" si="1"/>
        <v>15153</v>
      </c>
      <c r="D151" s="28"/>
      <c r="E151" s="11"/>
      <c r="F151" s="18"/>
      <c r="G151" s="2"/>
      <c r="H151" s="2"/>
      <c r="I151" s="12"/>
      <c r="J151" s="2"/>
      <c r="K151" s="2"/>
      <c r="L151" s="2"/>
      <c r="M151" s="21"/>
      <c r="N151" s="12"/>
      <c r="O151" s="18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>
      <c r="A152" s="7"/>
      <c r="B152" s="8" t="s">
        <v>237</v>
      </c>
      <c r="C152" s="9">
        <f t="shared" si="1"/>
        <v>15154</v>
      </c>
      <c r="D152" s="28"/>
      <c r="E152" s="11"/>
      <c r="F152" s="18"/>
      <c r="G152" s="2"/>
      <c r="H152" s="2"/>
      <c r="I152" s="12"/>
      <c r="J152" s="2"/>
      <c r="K152" s="2"/>
      <c r="L152" s="2"/>
      <c r="M152" s="21"/>
      <c r="N152" s="12"/>
      <c r="O152" s="18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>
      <c r="A153" s="7"/>
      <c r="B153" s="8" t="s">
        <v>238</v>
      </c>
      <c r="C153" s="9">
        <f t="shared" si="1"/>
        <v>15155</v>
      </c>
      <c r="D153" s="28"/>
      <c r="E153" s="11"/>
      <c r="F153" s="18"/>
      <c r="G153" s="2"/>
      <c r="H153" s="2"/>
      <c r="I153" s="12"/>
      <c r="J153" s="2"/>
      <c r="K153" s="2"/>
      <c r="L153" s="2"/>
      <c r="M153" s="21"/>
      <c r="N153" s="12"/>
      <c r="O153" s="18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>
      <c r="A154" s="7"/>
      <c r="B154" s="8" t="s">
        <v>239</v>
      </c>
      <c r="C154" s="9">
        <f t="shared" si="1"/>
        <v>15156</v>
      </c>
      <c r="D154" s="28"/>
      <c r="E154" s="11"/>
      <c r="F154" s="18"/>
      <c r="G154" s="2"/>
      <c r="H154" s="2"/>
      <c r="I154" s="12"/>
      <c r="J154" s="2"/>
      <c r="K154" s="2"/>
      <c r="L154" s="2"/>
      <c r="M154" s="21"/>
      <c r="N154" s="12"/>
      <c r="O154" s="18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>
      <c r="A155" s="7"/>
      <c r="B155" s="8" t="s">
        <v>240</v>
      </c>
      <c r="C155" s="9">
        <f t="shared" si="1"/>
        <v>15157</v>
      </c>
      <c r="D155" s="28"/>
      <c r="E155" s="11"/>
      <c r="F155" s="18"/>
      <c r="G155" s="2"/>
      <c r="H155" s="2"/>
      <c r="I155" s="12"/>
      <c r="J155" s="2"/>
      <c r="K155" s="2"/>
      <c r="L155" s="2"/>
      <c r="M155" s="21"/>
      <c r="N155" s="12"/>
      <c r="O155" s="18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>
      <c r="A156" s="7"/>
      <c r="B156" s="8" t="s">
        <v>241</v>
      </c>
      <c r="C156" s="9">
        <f t="shared" si="1"/>
        <v>15158</v>
      </c>
      <c r="D156" s="28"/>
      <c r="E156" s="11"/>
      <c r="F156" s="18"/>
      <c r="G156" s="2"/>
      <c r="H156" s="2"/>
      <c r="I156" s="12"/>
      <c r="J156" s="2"/>
      <c r="K156" s="2"/>
      <c r="L156" s="2"/>
      <c r="M156" s="21"/>
      <c r="N156" s="12"/>
      <c r="O156" s="18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>
      <c r="A157" s="7"/>
      <c r="B157" s="8" t="s">
        <v>242</v>
      </c>
      <c r="C157" s="9">
        <f t="shared" si="1"/>
        <v>15159</v>
      </c>
      <c r="D157" s="28"/>
      <c r="E157" s="11"/>
      <c r="F157" s="18"/>
      <c r="G157" s="2"/>
      <c r="H157" s="2"/>
      <c r="I157" s="12"/>
      <c r="J157" s="2"/>
      <c r="K157" s="2"/>
      <c r="L157" s="2"/>
      <c r="M157" s="21"/>
      <c r="N157" s="12"/>
      <c r="O157" s="18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>
      <c r="A158" s="7"/>
      <c r="B158" s="8" t="s">
        <v>243</v>
      </c>
      <c r="C158" s="9">
        <f t="shared" si="1"/>
        <v>15160</v>
      </c>
      <c r="D158" s="28"/>
      <c r="E158" s="11"/>
      <c r="F158" s="18"/>
      <c r="G158" s="2"/>
      <c r="H158" s="2"/>
      <c r="I158" s="12"/>
      <c r="J158" s="2"/>
      <c r="K158" s="2"/>
      <c r="L158" s="2"/>
      <c r="M158" s="21"/>
      <c r="N158" s="12"/>
      <c r="O158" s="18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>
      <c r="A159" s="7"/>
      <c r="B159" s="8" t="s">
        <v>244</v>
      </c>
      <c r="C159" s="9">
        <f t="shared" si="1"/>
        <v>15161</v>
      </c>
      <c r="D159" s="28"/>
      <c r="E159" s="11"/>
      <c r="F159" s="18"/>
      <c r="G159" s="2"/>
      <c r="H159" s="2"/>
      <c r="I159" s="12"/>
      <c r="J159" s="2"/>
      <c r="K159" s="2"/>
      <c r="L159" s="2"/>
      <c r="M159" s="21"/>
      <c r="N159" s="12"/>
      <c r="O159" s="18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>
      <c r="A160" s="7"/>
      <c r="B160" s="8" t="s">
        <v>245</v>
      </c>
      <c r="C160" s="9">
        <f t="shared" si="1"/>
        <v>15162</v>
      </c>
      <c r="D160" s="28"/>
      <c r="E160" s="23"/>
      <c r="F160" s="18"/>
      <c r="G160" s="2"/>
      <c r="H160" s="2"/>
      <c r="I160" s="12"/>
      <c r="J160" s="2"/>
      <c r="K160" s="2"/>
      <c r="L160" s="2"/>
      <c r="M160" s="21"/>
      <c r="N160" s="2"/>
      <c r="O160" s="18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>
      <c r="A161" s="7"/>
      <c r="B161" s="8" t="s">
        <v>246</v>
      </c>
      <c r="C161" s="9">
        <f t="shared" si="1"/>
        <v>15163</v>
      </c>
      <c r="D161" s="28"/>
      <c r="E161" s="11"/>
      <c r="F161" s="18"/>
      <c r="G161" s="2"/>
      <c r="H161" s="2"/>
      <c r="I161" s="12"/>
      <c r="J161" s="2"/>
      <c r="K161" s="2"/>
      <c r="L161" s="2"/>
      <c r="M161" s="21"/>
      <c r="N161" s="2"/>
      <c r="O161" s="18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>
      <c r="A162" s="7"/>
      <c r="B162" s="8" t="s">
        <v>247</v>
      </c>
      <c r="C162" s="9">
        <f t="shared" si="1"/>
        <v>15164</v>
      </c>
      <c r="D162" s="28"/>
      <c r="E162" s="11"/>
      <c r="F162" s="18"/>
      <c r="G162" s="2"/>
      <c r="H162" s="2"/>
      <c r="I162" s="12"/>
      <c r="J162" s="2"/>
      <c r="K162" s="2"/>
      <c r="L162" s="2"/>
      <c r="M162" s="21"/>
      <c r="N162" s="2"/>
      <c r="O162" s="18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>
      <c r="A163" s="7"/>
      <c r="B163" s="8" t="s">
        <v>248</v>
      </c>
      <c r="C163" s="9">
        <f t="shared" si="1"/>
        <v>15165</v>
      </c>
      <c r="D163" s="28"/>
      <c r="E163" s="11"/>
      <c r="F163" s="18"/>
      <c r="G163" s="2"/>
      <c r="H163" s="2"/>
      <c r="I163" s="12"/>
      <c r="J163" s="2"/>
      <c r="K163" s="2"/>
      <c r="L163" s="2"/>
      <c r="M163" s="21"/>
      <c r="N163" s="2"/>
      <c r="O163" s="18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>
      <c r="A164" s="7"/>
      <c r="B164" s="8" t="s">
        <v>249</v>
      </c>
      <c r="C164" s="9">
        <f t="shared" si="1"/>
        <v>15166</v>
      </c>
      <c r="D164" s="28"/>
      <c r="E164" s="11"/>
      <c r="F164" s="18"/>
      <c r="G164" s="2"/>
      <c r="H164" s="2"/>
      <c r="I164" s="12"/>
      <c r="J164" s="2"/>
      <c r="K164" s="2"/>
      <c r="L164" s="2"/>
      <c r="M164" s="21"/>
      <c r="N164" s="2"/>
      <c r="O164" s="18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>
      <c r="A165" s="7"/>
      <c r="B165" s="8" t="s">
        <v>250</v>
      </c>
      <c r="C165" s="9">
        <f t="shared" si="1"/>
        <v>15167</v>
      </c>
      <c r="D165" s="28"/>
      <c r="E165" s="11"/>
      <c r="F165" s="18"/>
      <c r="G165" s="18"/>
      <c r="H165" s="18"/>
      <c r="I165" s="25"/>
      <c r="J165" s="18"/>
      <c r="K165" s="18"/>
      <c r="L165" s="18"/>
      <c r="M165" s="18"/>
      <c r="N165" s="18"/>
      <c r="O165" s="18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>
      <c r="A166" s="7"/>
      <c r="B166" s="8" t="s">
        <v>251</v>
      </c>
      <c r="C166" s="9">
        <f t="shared" si="1"/>
        <v>15168</v>
      </c>
      <c r="D166" s="28"/>
      <c r="E166" s="11"/>
      <c r="F166" s="18"/>
      <c r="G166" s="18"/>
      <c r="H166" s="18"/>
      <c r="I166" s="25"/>
      <c r="J166" s="18"/>
      <c r="K166" s="18"/>
      <c r="L166" s="18"/>
      <c r="M166" s="18"/>
      <c r="N166" s="18"/>
      <c r="O166" s="18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>
      <c r="A167" s="7"/>
      <c r="B167" s="8" t="s">
        <v>252</v>
      </c>
      <c r="C167" s="9">
        <f t="shared" si="1"/>
        <v>15169</v>
      </c>
      <c r="D167" s="10"/>
      <c r="E167" s="11"/>
      <c r="F167" s="2"/>
      <c r="G167" s="2"/>
      <c r="H167" s="2"/>
      <c r="I167" s="12"/>
      <c r="J167" s="2"/>
      <c r="K167" s="2"/>
      <c r="L167" s="2"/>
      <c r="M167" s="26"/>
      <c r="N167" s="18"/>
      <c r="O167" s="18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>
      <c r="A168" s="7"/>
      <c r="B168" s="8" t="s">
        <v>253</v>
      </c>
      <c r="C168" s="9">
        <f t="shared" si="1"/>
        <v>15170</v>
      </c>
      <c r="D168" s="28"/>
      <c r="E168" s="29"/>
      <c r="F168" s="18"/>
      <c r="G168" s="18"/>
      <c r="H168" s="18"/>
      <c r="I168" s="25"/>
      <c r="J168" s="18"/>
      <c r="K168" s="18"/>
      <c r="L168" s="18"/>
      <c r="M168" s="18"/>
      <c r="N168" s="18"/>
      <c r="O168" s="18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>
      <c r="A169" s="7"/>
      <c r="B169" s="8" t="s">
        <v>254</v>
      </c>
      <c r="C169" s="9">
        <f t="shared" si="1"/>
        <v>15171</v>
      </c>
      <c r="D169" s="28"/>
      <c r="E169" s="29"/>
      <c r="F169" s="18"/>
      <c r="G169" s="18"/>
      <c r="H169" s="18"/>
      <c r="I169" s="25"/>
      <c r="J169" s="18"/>
      <c r="K169" s="18"/>
      <c r="L169" s="18"/>
      <c r="M169" s="18"/>
      <c r="N169" s="18"/>
      <c r="O169" s="18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>
      <c r="A170" s="7"/>
      <c r="B170" s="8" t="s">
        <v>255</v>
      </c>
      <c r="C170" s="9">
        <f t="shared" si="1"/>
        <v>15172</v>
      </c>
      <c r="D170" s="28"/>
      <c r="E170" s="29"/>
      <c r="F170" s="18"/>
      <c r="G170" s="18"/>
      <c r="H170" s="18"/>
      <c r="I170" s="25"/>
      <c r="J170" s="18"/>
      <c r="K170" s="18"/>
      <c r="L170" s="18"/>
      <c r="M170" s="18"/>
      <c r="N170" s="18"/>
      <c r="O170" s="18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>
      <c r="A171" s="7"/>
      <c r="B171" s="8" t="s">
        <v>256</v>
      </c>
      <c r="C171" s="9">
        <f t="shared" si="1"/>
        <v>15173</v>
      </c>
      <c r="D171" s="28"/>
      <c r="E171" s="29"/>
      <c r="F171" s="18"/>
      <c r="G171" s="18"/>
      <c r="H171" s="18"/>
      <c r="I171" s="25"/>
      <c r="J171" s="18"/>
      <c r="K171" s="18"/>
      <c r="L171" s="18"/>
      <c r="M171" s="18"/>
      <c r="N171" s="18"/>
      <c r="O171" s="18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>
      <c r="A172" s="7"/>
      <c r="B172" s="8" t="s">
        <v>257</v>
      </c>
      <c r="C172" s="9">
        <f t="shared" si="1"/>
        <v>15174</v>
      </c>
      <c r="D172" s="28"/>
      <c r="E172" s="29"/>
      <c r="F172" s="18"/>
      <c r="G172" s="18"/>
      <c r="H172" s="18"/>
      <c r="I172" s="25"/>
      <c r="J172" s="18"/>
      <c r="K172" s="18"/>
      <c r="L172" s="18"/>
      <c r="M172" s="18"/>
      <c r="N172" s="18"/>
      <c r="O172" s="18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>
      <c r="A173" s="7"/>
      <c r="B173" s="8" t="s">
        <v>258</v>
      </c>
      <c r="C173" s="9">
        <f t="shared" si="1"/>
        <v>15175</v>
      </c>
      <c r="D173" s="28"/>
      <c r="E173" s="29"/>
      <c r="F173" s="18"/>
      <c r="G173" s="18"/>
      <c r="H173" s="18"/>
      <c r="I173" s="25"/>
      <c r="J173" s="18"/>
      <c r="K173" s="18"/>
      <c r="L173" s="18"/>
      <c r="M173" s="18"/>
      <c r="N173" s="18"/>
      <c r="O173" s="18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>
      <c r="A174" s="7"/>
      <c r="B174" s="8" t="s">
        <v>259</v>
      </c>
      <c r="C174" s="9">
        <f t="shared" si="1"/>
        <v>15176</v>
      </c>
      <c r="D174" s="28"/>
      <c r="E174" s="29"/>
      <c r="F174" s="18"/>
      <c r="G174" s="18"/>
      <c r="H174" s="18"/>
      <c r="I174" s="25"/>
      <c r="J174" s="18"/>
      <c r="K174" s="18"/>
      <c r="L174" s="18"/>
      <c r="M174" s="18"/>
      <c r="N174" s="18"/>
      <c r="O174" s="18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>
      <c r="A175" s="7"/>
      <c r="B175" s="8" t="s">
        <v>260</v>
      </c>
      <c r="C175" s="9">
        <f t="shared" si="1"/>
        <v>15177</v>
      </c>
      <c r="D175" s="28"/>
      <c r="E175" s="29"/>
      <c r="F175" s="18"/>
      <c r="G175" s="18"/>
      <c r="H175" s="18"/>
      <c r="I175" s="25"/>
      <c r="J175" s="18"/>
      <c r="K175" s="18"/>
      <c r="L175" s="18"/>
      <c r="M175" s="18"/>
      <c r="N175" s="18"/>
      <c r="O175" s="18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>
      <c r="A176" s="7"/>
      <c r="B176" s="8" t="s">
        <v>261</v>
      </c>
      <c r="C176" s="9">
        <f t="shared" si="1"/>
        <v>15178</v>
      </c>
      <c r="D176" s="28"/>
      <c r="E176" s="29"/>
      <c r="F176" s="18"/>
      <c r="G176" s="18"/>
      <c r="H176" s="18"/>
      <c r="I176" s="25"/>
      <c r="J176" s="18"/>
      <c r="K176" s="18"/>
      <c r="L176" s="18"/>
      <c r="M176" s="18"/>
      <c r="N176" s="18"/>
      <c r="O176" s="18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>
      <c r="A177" s="7"/>
      <c r="B177" s="8" t="s">
        <v>262</v>
      </c>
      <c r="C177" s="9">
        <f t="shared" si="1"/>
        <v>15179</v>
      </c>
      <c r="D177" s="28"/>
      <c r="E177" s="29"/>
      <c r="F177" s="18"/>
      <c r="G177" s="18"/>
      <c r="H177" s="18"/>
      <c r="I177" s="25"/>
      <c r="J177" s="18"/>
      <c r="K177" s="18"/>
      <c r="L177" s="18"/>
      <c r="M177" s="18"/>
      <c r="N177" s="18"/>
      <c r="O177" s="18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>
      <c r="A178" s="7"/>
      <c r="B178" s="8" t="s">
        <v>263</v>
      </c>
      <c r="C178" s="9">
        <f t="shared" si="1"/>
        <v>15180</v>
      </c>
      <c r="D178" s="28"/>
      <c r="E178" s="29"/>
      <c r="F178" s="18"/>
      <c r="G178" s="18"/>
      <c r="H178" s="18"/>
      <c r="I178" s="25"/>
      <c r="J178" s="18"/>
      <c r="K178" s="18"/>
      <c r="L178" s="18"/>
      <c r="M178" s="18"/>
      <c r="N178" s="18"/>
      <c r="O178" s="18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>
      <c r="A179" s="7"/>
      <c r="B179" s="8" t="s">
        <v>264</v>
      </c>
      <c r="C179" s="9">
        <f t="shared" si="1"/>
        <v>15181</v>
      </c>
      <c r="D179" s="28"/>
      <c r="E179" s="29"/>
      <c r="F179" s="18"/>
      <c r="G179" s="18"/>
      <c r="H179" s="18"/>
      <c r="I179" s="25"/>
      <c r="J179" s="18"/>
      <c r="K179" s="18"/>
      <c r="L179" s="18"/>
      <c r="M179" s="18"/>
      <c r="N179" s="18"/>
      <c r="O179" s="18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>
      <c r="A180" s="7"/>
      <c r="B180" s="8" t="s">
        <v>265</v>
      </c>
      <c r="C180" s="9">
        <f t="shared" si="1"/>
        <v>15182</v>
      </c>
      <c r="D180" s="28"/>
      <c r="E180" s="29"/>
      <c r="F180" s="18"/>
      <c r="G180" s="18"/>
      <c r="H180" s="18"/>
      <c r="I180" s="25"/>
      <c r="J180" s="18"/>
      <c r="K180" s="18"/>
      <c r="L180" s="18"/>
      <c r="M180" s="18"/>
      <c r="N180" s="18"/>
      <c r="O180" s="18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>
      <c r="A181" s="7"/>
      <c r="B181" s="8" t="s">
        <v>266</v>
      </c>
      <c r="C181" s="9">
        <f t="shared" si="1"/>
        <v>15183</v>
      </c>
      <c r="D181" s="28"/>
      <c r="E181" s="29"/>
      <c r="F181" s="18"/>
      <c r="G181" s="18"/>
      <c r="H181" s="18"/>
      <c r="I181" s="25"/>
      <c r="J181" s="18"/>
      <c r="K181" s="18"/>
      <c r="L181" s="18"/>
      <c r="M181" s="18"/>
      <c r="N181" s="18"/>
      <c r="O181" s="18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>
      <c r="A182" s="7"/>
      <c r="B182" s="8" t="s">
        <v>267</v>
      </c>
      <c r="C182" s="9">
        <f t="shared" si="1"/>
        <v>15184</v>
      </c>
      <c r="D182" s="28"/>
      <c r="E182" s="29"/>
      <c r="F182" s="18"/>
      <c r="G182" s="18"/>
      <c r="H182" s="18"/>
      <c r="I182" s="25"/>
      <c r="J182" s="18"/>
      <c r="K182" s="18"/>
      <c r="L182" s="18"/>
      <c r="M182" s="18"/>
      <c r="N182" s="18"/>
      <c r="O182" s="18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>
      <c r="A183" s="7"/>
      <c r="B183" s="8" t="s">
        <v>268</v>
      </c>
      <c r="C183" s="9">
        <f t="shared" si="1"/>
        <v>15185</v>
      </c>
      <c r="D183" s="28"/>
      <c r="E183" s="29"/>
      <c r="F183" s="18"/>
      <c r="G183" s="18"/>
      <c r="H183" s="18"/>
      <c r="I183" s="25"/>
      <c r="J183" s="18"/>
      <c r="K183" s="18"/>
      <c r="L183" s="18"/>
      <c r="M183" s="18"/>
      <c r="N183" s="18"/>
      <c r="O183" s="18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>
      <c r="A184" s="7"/>
      <c r="B184" s="8" t="s">
        <v>269</v>
      </c>
      <c r="C184" s="9">
        <f t="shared" si="1"/>
        <v>15186</v>
      </c>
      <c r="D184" s="28"/>
      <c r="E184" s="29"/>
      <c r="F184" s="18"/>
      <c r="G184" s="18"/>
      <c r="H184" s="18"/>
      <c r="I184" s="25"/>
      <c r="J184" s="18"/>
      <c r="K184" s="18"/>
      <c r="L184" s="18"/>
      <c r="M184" s="18"/>
      <c r="N184" s="18"/>
      <c r="O184" s="18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>
      <c r="A185" s="7"/>
      <c r="B185" s="8" t="s">
        <v>270</v>
      </c>
      <c r="C185" s="9">
        <f t="shared" si="1"/>
        <v>15187</v>
      </c>
      <c r="D185" s="28"/>
      <c r="E185" s="29"/>
      <c r="F185" s="18"/>
      <c r="G185" s="18"/>
      <c r="H185" s="18"/>
      <c r="I185" s="25"/>
      <c r="J185" s="18"/>
      <c r="K185" s="18"/>
      <c r="L185" s="18"/>
      <c r="M185" s="18"/>
      <c r="N185" s="18"/>
      <c r="O185" s="18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>
      <c r="A186" s="7"/>
      <c r="B186" s="8" t="s">
        <v>271</v>
      </c>
      <c r="C186" s="9">
        <f t="shared" si="1"/>
        <v>15188</v>
      </c>
      <c r="D186" s="28"/>
      <c r="E186" s="29"/>
      <c r="F186" s="18"/>
      <c r="G186" s="18"/>
      <c r="H186" s="18"/>
      <c r="I186" s="25"/>
      <c r="J186" s="18"/>
      <c r="K186" s="18"/>
      <c r="L186" s="18"/>
      <c r="M186" s="18"/>
      <c r="N186" s="18"/>
      <c r="O186" s="18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>
      <c r="A187" s="7"/>
      <c r="B187" s="8" t="s">
        <v>272</v>
      </c>
      <c r="C187" s="9">
        <f t="shared" si="1"/>
        <v>15189</v>
      </c>
      <c r="D187" s="28"/>
      <c r="E187" s="29"/>
      <c r="F187" s="18"/>
      <c r="G187" s="18"/>
      <c r="H187" s="18"/>
      <c r="I187" s="25"/>
      <c r="J187" s="18"/>
      <c r="K187" s="18"/>
      <c r="L187" s="18"/>
      <c r="M187" s="18"/>
      <c r="N187" s="18"/>
      <c r="O187" s="18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>
      <c r="A188" s="7"/>
      <c r="B188" s="8" t="s">
        <v>273</v>
      </c>
      <c r="C188" s="9">
        <f t="shared" si="1"/>
        <v>15190</v>
      </c>
      <c r="D188" s="28"/>
      <c r="E188" s="29"/>
      <c r="F188" s="18"/>
      <c r="G188" s="18"/>
      <c r="H188" s="18"/>
      <c r="I188" s="25"/>
      <c r="J188" s="18"/>
      <c r="K188" s="18"/>
      <c r="L188" s="18"/>
      <c r="M188" s="18"/>
      <c r="N188" s="18"/>
      <c r="O188" s="18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>
      <c r="A189" s="7"/>
      <c r="B189" s="8" t="s">
        <v>274</v>
      </c>
      <c r="C189" s="9">
        <f t="shared" si="1"/>
        <v>15191</v>
      </c>
      <c r="D189" s="28"/>
      <c r="E189" s="29"/>
      <c r="F189" s="18"/>
      <c r="G189" s="18"/>
      <c r="H189" s="18"/>
      <c r="I189" s="25"/>
      <c r="J189" s="18"/>
      <c r="K189" s="18"/>
      <c r="L189" s="18"/>
      <c r="M189" s="18"/>
      <c r="N189" s="18"/>
      <c r="O189" s="18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>
      <c r="A190" s="7"/>
      <c r="B190" s="8" t="s">
        <v>275</v>
      </c>
      <c r="C190" s="9">
        <f t="shared" si="1"/>
        <v>15192</v>
      </c>
      <c r="D190" s="28"/>
      <c r="E190" s="29"/>
      <c r="F190" s="18"/>
      <c r="G190" s="18"/>
      <c r="H190" s="18"/>
      <c r="I190" s="25"/>
      <c r="J190" s="18"/>
      <c r="K190" s="18"/>
      <c r="L190" s="18"/>
      <c r="M190" s="18"/>
      <c r="N190" s="18"/>
      <c r="O190" s="18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>
      <c r="A191" s="7"/>
      <c r="B191" s="8" t="s">
        <v>276</v>
      </c>
      <c r="C191" s="9">
        <f t="shared" si="1"/>
        <v>15193</v>
      </c>
      <c r="D191" s="28"/>
      <c r="E191" s="29"/>
      <c r="F191" s="18"/>
      <c r="G191" s="18"/>
      <c r="H191" s="18"/>
      <c r="I191" s="25"/>
      <c r="J191" s="18"/>
      <c r="K191" s="18"/>
      <c r="L191" s="18"/>
      <c r="M191" s="18"/>
      <c r="N191" s="18"/>
      <c r="O191" s="18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>
      <c r="A192" s="7"/>
      <c r="B192" s="8" t="s">
        <v>277</v>
      </c>
      <c r="C192" s="9">
        <f t="shared" si="1"/>
        <v>15194</v>
      </c>
      <c r="D192" s="28"/>
      <c r="E192" s="29"/>
      <c r="F192" s="18"/>
      <c r="G192" s="18"/>
      <c r="H192" s="18"/>
      <c r="I192" s="25"/>
      <c r="J192" s="18"/>
      <c r="K192" s="18"/>
      <c r="L192" s="18"/>
      <c r="M192" s="18"/>
      <c r="N192" s="18"/>
      <c r="O192" s="18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>
      <c r="A193" s="7"/>
      <c r="B193" s="8" t="s">
        <v>278</v>
      </c>
      <c r="C193" s="9">
        <f t="shared" si="1"/>
        <v>15195</v>
      </c>
      <c r="D193" s="28"/>
      <c r="E193" s="29"/>
      <c r="F193" s="18"/>
      <c r="G193" s="18"/>
      <c r="H193" s="18"/>
      <c r="I193" s="25"/>
      <c r="J193" s="18"/>
      <c r="K193" s="18"/>
      <c r="L193" s="18"/>
      <c r="M193" s="18"/>
      <c r="N193" s="18"/>
      <c r="O193" s="18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>
      <c r="A194" s="7"/>
      <c r="B194" s="8" t="s">
        <v>279</v>
      </c>
      <c r="C194" s="9">
        <f t="shared" si="1"/>
        <v>15196</v>
      </c>
      <c r="D194" s="28"/>
      <c r="E194" s="29"/>
      <c r="F194" s="18"/>
      <c r="G194" s="18"/>
      <c r="H194" s="18"/>
      <c r="I194" s="25"/>
      <c r="J194" s="18"/>
      <c r="K194" s="18"/>
      <c r="L194" s="18"/>
      <c r="M194" s="18"/>
      <c r="N194" s="18"/>
      <c r="O194" s="18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>
      <c r="A195" s="7"/>
      <c r="B195" s="8" t="s">
        <v>280</v>
      </c>
      <c r="C195" s="9">
        <f t="shared" si="1"/>
        <v>15197</v>
      </c>
      <c r="D195" s="28"/>
      <c r="E195" s="29"/>
      <c r="F195" s="18"/>
      <c r="G195" s="18"/>
      <c r="H195" s="18"/>
      <c r="I195" s="25"/>
      <c r="J195" s="18"/>
      <c r="K195" s="18"/>
      <c r="L195" s="18"/>
      <c r="M195" s="18"/>
      <c r="N195" s="18"/>
      <c r="O195" s="18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>
      <c r="A196" s="7"/>
      <c r="B196" s="8" t="s">
        <v>281</v>
      </c>
      <c r="C196" s="9">
        <f t="shared" si="1"/>
        <v>15198</v>
      </c>
      <c r="D196" s="28"/>
      <c r="E196" s="29"/>
      <c r="F196" s="18"/>
      <c r="G196" s="18"/>
      <c r="H196" s="18"/>
      <c r="I196" s="25"/>
      <c r="J196" s="18"/>
      <c r="K196" s="18"/>
      <c r="L196" s="18"/>
      <c r="M196" s="18"/>
      <c r="N196" s="18"/>
      <c r="O196" s="18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>
      <c r="A197" s="7"/>
      <c r="B197" s="8" t="s">
        <v>282</v>
      </c>
      <c r="C197" s="9">
        <f t="shared" si="1"/>
        <v>15199</v>
      </c>
      <c r="D197" s="28"/>
      <c r="E197" s="29"/>
      <c r="F197" s="18"/>
      <c r="G197" s="18"/>
      <c r="H197" s="18"/>
      <c r="I197" s="25"/>
      <c r="J197" s="18"/>
      <c r="K197" s="18"/>
      <c r="L197" s="18"/>
      <c r="M197" s="18"/>
      <c r="N197" s="18"/>
      <c r="O197" s="18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>
      <c r="A198" s="7"/>
      <c r="B198" s="8" t="s">
        <v>283</v>
      </c>
      <c r="C198" s="9">
        <f t="shared" si="1"/>
        <v>15200</v>
      </c>
      <c r="D198" s="10"/>
      <c r="E198" s="11"/>
      <c r="F198" s="2"/>
      <c r="G198" s="2"/>
      <c r="H198" s="2"/>
      <c r="I198" s="25"/>
      <c r="J198" s="2"/>
      <c r="K198" s="2"/>
      <c r="L198" s="2"/>
      <c r="M198" s="26"/>
      <c r="N198" s="18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>
      <c r="A199" s="7"/>
      <c r="B199" s="8" t="s">
        <v>284</v>
      </c>
      <c r="C199" s="9">
        <f t="shared" si="1"/>
        <v>15201</v>
      </c>
      <c r="D199" s="10"/>
      <c r="E199" s="11"/>
      <c r="F199" s="2"/>
      <c r="G199" s="2"/>
      <c r="H199" s="2"/>
      <c r="I199" s="25"/>
      <c r="J199" s="2"/>
      <c r="K199" s="2"/>
      <c r="L199" s="2"/>
      <c r="M199" s="26"/>
      <c r="N199" s="18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>
      <c r="A200" s="7"/>
      <c r="B200" s="8" t="s">
        <v>285</v>
      </c>
      <c r="C200" s="9">
        <f t="shared" si="1"/>
        <v>15202</v>
      </c>
      <c r="D200" s="10"/>
      <c r="E200" s="11"/>
      <c r="F200" s="2"/>
      <c r="G200" s="2"/>
      <c r="H200" s="2"/>
      <c r="I200" s="25"/>
      <c r="J200" s="2"/>
      <c r="K200" s="2"/>
      <c r="L200" s="2"/>
      <c r="M200" s="26"/>
      <c r="N200" s="18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>
      <c r="A201" s="7"/>
      <c r="B201" s="8" t="s">
        <v>286</v>
      </c>
      <c r="C201" s="9">
        <f t="shared" si="1"/>
        <v>15203</v>
      </c>
      <c r="D201" s="10"/>
      <c r="E201" s="11"/>
      <c r="F201" s="2"/>
      <c r="G201" s="2"/>
      <c r="H201" s="2"/>
      <c r="I201" s="25"/>
      <c r="J201" s="2"/>
      <c r="K201" s="2"/>
      <c r="L201" s="2"/>
      <c r="M201" s="26"/>
      <c r="N201" s="18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>
      <c r="A202" s="7"/>
      <c r="B202" s="8" t="s">
        <v>287</v>
      </c>
      <c r="C202" s="9">
        <f t="shared" si="1"/>
        <v>15204</v>
      </c>
      <c r="D202" s="10"/>
      <c r="E202" s="11"/>
      <c r="F202" s="2"/>
      <c r="G202" s="2"/>
      <c r="H202" s="2"/>
      <c r="I202" s="25"/>
      <c r="J202" s="2"/>
      <c r="K202" s="2"/>
      <c r="L202" s="2"/>
      <c r="M202" s="26"/>
      <c r="N202" s="18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>
      <c r="A203" s="7"/>
      <c r="B203" s="8" t="s">
        <v>288</v>
      </c>
      <c r="C203" s="9">
        <f t="shared" si="1"/>
        <v>15205</v>
      </c>
      <c r="D203" s="10"/>
      <c r="E203" s="11"/>
      <c r="F203" s="2"/>
      <c r="G203" s="2"/>
      <c r="H203" s="2"/>
      <c r="I203" s="25"/>
      <c r="J203" s="2"/>
      <c r="K203" s="2"/>
      <c r="L203" s="2"/>
      <c r="M203" s="26"/>
      <c r="N203" s="18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>
      <c r="A204" s="7"/>
      <c r="B204" s="8" t="s">
        <v>289</v>
      </c>
      <c r="C204" s="9">
        <f t="shared" si="1"/>
        <v>15206</v>
      </c>
      <c r="D204" s="10"/>
      <c r="E204" s="11"/>
      <c r="F204" s="2"/>
      <c r="G204" s="2"/>
      <c r="H204" s="2"/>
      <c r="I204" s="25"/>
      <c r="J204" s="2"/>
      <c r="K204" s="2"/>
      <c r="L204" s="2"/>
      <c r="M204" s="26"/>
      <c r="N204" s="18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>
      <c r="A205" s="7"/>
      <c r="B205" s="8" t="s">
        <v>290</v>
      </c>
      <c r="C205" s="9">
        <f t="shared" si="1"/>
        <v>15207</v>
      </c>
      <c r="D205" s="10"/>
      <c r="E205" s="11"/>
      <c r="F205" s="2"/>
      <c r="G205" s="2"/>
      <c r="H205" s="2"/>
      <c r="I205" s="25"/>
      <c r="J205" s="2"/>
      <c r="K205" s="2"/>
      <c r="L205" s="2"/>
      <c r="M205" s="26"/>
      <c r="N205" s="18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>
      <c r="A206" s="7"/>
      <c r="B206" s="8" t="s">
        <v>291</v>
      </c>
      <c r="C206" s="9">
        <f t="shared" si="1"/>
        <v>15208</v>
      </c>
      <c r="D206" s="28"/>
      <c r="E206" s="29"/>
      <c r="F206" s="18"/>
      <c r="G206" s="18"/>
      <c r="H206" s="18"/>
      <c r="I206" s="25"/>
      <c r="J206" s="18"/>
      <c r="K206" s="18"/>
      <c r="L206" s="18"/>
      <c r="M206" s="18"/>
      <c r="N206" s="18"/>
      <c r="O206" s="18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>
      <c r="A207" s="7"/>
      <c r="B207" s="8" t="s">
        <v>292</v>
      </c>
      <c r="C207" s="9">
        <f t="shared" si="1"/>
        <v>15209</v>
      </c>
      <c r="D207" s="28"/>
      <c r="E207" s="29"/>
      <c r="F207" s="18"/>
      <c r="G207" s="18"/>
      <c r="H207" s="18"/>
      <c r="I207" s="25"/>
      <c r="J207" s="18"/>
      <c r="K207" s="18"/>
      <c r="L207" s="18"/>
      <c r="M207" s="18"/>
      <c r="N207" s="18"/>
      <c r="O207" s="18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>
      <c r="A208" s="7"/>
      <c r="B208" s="8" t="s">
        <v>293</v>
      </c>
      <c r="C208" s="9">
        <f t="shared" si="1"/>
        <v>15210</v>
      </c>
      <c r="D208" s="28"/>
      <c r="E208" s="29"/>
      <c r="F208" s="18"/>
      <c r="G208" s="18"/>
      <c r="H208" s="18"/>
      <c r="I208" s="25"/>
      <c r="J208" s="18"/>
      <c r="K208" s="18"/>
      <c r="L208" s="18"/>
      <c r="M208" s="18"/>
      <c r="N208" s="18"/>
      <c r="O208" s="18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>
      <c r="A209" s="7"/>
      <c r="B209" s="8" t="s">
        <v>294</v>
      </c>
      <c r="C209" s="9">
        <f t="shared" si="1"/>
        <v>15211</v>
      </c>
      <c r="D209" s="28"/>
      <c r="E209" s="29"/>
      <c r="F209" s="18"/>
      <c r="G209" s="18"/>
      <c r="H209" s="18"/>
      <c r="I209" s="25"/>
      <c r="J209" s="18"/>
      <c r="K209" s="18"/>
      <c r="L209" s="18"/>
      <c r="M209" s="18"/>
      <c r="N209" s="18"/>
      <c r="O209" s="18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>
      <c r="A210" s="7"/>
      <c r="B210" s="8" t="s">
        <v>295</v>
      </c>
      <c r="C210" s="9">
        <f t="shared" si="1"/>
        <v>15212</v>
      </c>
      <c r="D210" s="28"/>
      <c r="E210" s="29"/>
      <c r="F210" s="18"/>
      <c r="G210" s="18"/>
      <c r="H210" s="18"/>
      <c r="I210" s="25"/>
      <c r="J210" s="18"/>
      <c r="K210" s="18"/>
      <c r="L210" s="18"/>
      <c r="M210" s="18"/>
      <c r="N210" s="18"/>
      <c r="O210" s="18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>
      <c r="A211" s="7"/>
      <c r="B211" s="8" t="s">
        <v>296</v>
      </c>
      <c r="C211" s="9">
        <f t="shared" si="1"/>
        <v>15213</v>
      </c>
      <c r="D211" s="28"/>
      <c r="E211" s="29"/>
      <c r="F211" s="18"/>
      <c r="G211" s="18"/>
      <c r="H211" s="18"/>
      <c r="I211" s="25"/>
      <c r="J211" s="18"/>
      <c r="K211" s="18"/>
      <c r="L211" s="18"/>
      <c r="M211" s="18"/>
      <c r="N211" s="18"/>
      <c r="O211" s="18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>
      <c r="A212" s="7"/>
      <c r="B212" s="8" t="s">
        <v>297</v>
      </c>
      <c r="C212" s="9">
        <f t="shared" si="1"/>
        <v>15214</v>
      </c>
      <c r="D212" s="28"/>
      <c r="E212" s="29"/>
      <c r="F212" s="18"/>
      <c r="G212" s="18"/>
      <c r="H212" s="18"/>
      <c r="I212" s="25"/>
      <c r="J212" s="18"/>
      <c r="K212" s="18"/>
      <c r="L212" s="18"/>
      <c r="M212" s="18"/>
      <c r="N212" s="18"/>
      <c r="O212" s="18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>
      <c r="A213" s="7"/>
      <c r="B213" s="8" t="s">
        <v>298</v>
      </c>
      <c r="C213" s="9">
        <f t="shared" si="1"/>
        <v>15215</v>
      </c>
      <c r="D213" s="28"/>
      <c r="E213" s="29"/>
      <c r="F213" s="18"/>
      <c r="G213" s="18"/>
      <c r="H213" s="18"/>
      <c r="I213" s="25"/>
      <c r="J213" s="18"/>
      <c r="K213" s="18"/>
      <c r="L213" s="18"/>
      <c r="M213" s="18"/>
      <c r="N213" s="18"/>
      <c r="O213" s="18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>
      <c r="A214" s="7"/>
      <c r="B214" s="8" t="s">
        <v>299</v>
      </c>
      <c r="C214" s="9">
        <f t="shared" si="1"/>
        <v>15216</v>
      </c>
      <c r="D214" s="28"/>
      <c r="E214" s="29"/>
      <c r="F214" s="18"/>
      <c r="G214" s="18"/>
      <c r="H214" s="18"/>
      <c r="I214" s="25"/>
      <c r="J214" s="18"/>
      <c r="K214" s="18"/>
      <c r="L214" s="18"/>
      <c r="M214" s="18"/>
      <c r="N214" s="18"/>
      <c r="O214" s="18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>
      <c r="A215" s="7"/>
      <c r="B215" s="8" t="s">
        <v>300</v>
      </c>
      <c r="C215" s="9">
        <f t="shared" si="1"/>
        <v>15217</v>
      </c>
      <c r="D215" s="28"/>
      <c r="E215" s="29"/>
      <c r="F215" s="18"/>
      <c r="G215" s="18"/>
      <c r="H215" s="18"/>
      <c r="I215" s="25"/>
      <c r="J215" s="18"/>
      <c r="K215" s="18"/>
      <c r="L215" s="18"/>
      <c r="M215" s="18"/>
      <c r="N215" s="18"/>
      <c r="O215" s="18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>
      <c r="A216" s="7"/>
      <c r="B216" s="8" t="s">
        <v>301</v>
      </c>
      <c r="C216" s="9">
        <f t="shared" si="1"/>
        <v>15218</v>
      </c>
      <c r="D216" s="28"/>
      <c r="E216" s="29"/>
      <c r="F216" s="18"/>
      <c r="G216" s="18"/>
      <c r="H216" s="18"/>
      <c r="I216" s="25"/>
      <c r="J216" s="18"/>
      <c r="K216" s="18"/>
      <c r="L216" s="18"/>
      <c r="M216" s="18"/>
      <c r="N216" s="18"/>
      <c r="O216" s="18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>
      <c r="A217" s="7"/>
      <c r="B217" s="8" t="s">
        <v>302</v>
      </c>
      <c r="C217" s="9">
        <f t="shared" si="1"/>
        <v>15219</v>
      </c>
      <c r="D217" s="28"/>
      <c r="E217" s="29"/>
      <c r="F217" s="18"/>
      <c r="G217" s="18"/>
      <c r="H217" s="18"/>
      <c r="I217" s="25"/>
      <c r="J217" s="18"/>
      <c r="K217" s="18"/>
      <c r="L217" s="18"/>
      <c r="M217" s="18"/>
      <c r="N217" s="18"/>
      <c r="O217" s="18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>
      <c r="A218" s="7"/>
      <c r="B218" s="8" t="s">
        <v>303</v>
      </c>
      <c r="C218" s="9">
        <f t="shared" si="1"/>
        <v>15220</v>
      </c>
      <c r="D218" s="28"/>
      <c r="E218" s="29"/>
      <c r="F218" s="18"/>
      <c r="G218" s="18"/>
      <c r="H218" s="18"/>
      <c r="I218" s="25"/>
      <c r="J218" s="18"/>
      <c r="K218" s="18"/>
      <c r="L218" s="18"/>
      <c r="M218" s="18"/>
      <c r="N218" s="18"/>
      <c r="O218" s="18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>
      <c r="A219" s="7"/>
      <c r="B219" s="8" t="s">
        <v>304</v>
      </c>
      <c r="C219" s="9">
        <f t="shared" si="1"/>
        <v>15221</v>
      </c>
      <c r="D219" s="28"/>
      <c r="E219" s="29"/>
      <c r="F219" s="18"/>
      <c r="G219" s="18"/>
      <c r="H219" s="18"/>
      <c r="I219" s="25"/>
      <c r="J219" s="18"/>
      <c r="K219" s="18"/>
      <c r="L219" s="18"/>
      <c r="M219" s="18"/>
      <c r="N219" s="18"/>
      <c r="O219" s="18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>
      <c r="A220" s="7"/>
      <c r="B220" s="8" t="s">
        <v>305</v>
      </c>
      <c r="C220" s="9">
        <f t="shared" si="1"/>
        <v>15222</v>
      </c>
      <c r="D220" s="28"/>
      <c r="E220" s="29"/>
      <c r="F220" s="18"/>
      <c r="G220" s="18"/>
      <c r="H220" s="18"/>
      <c r="I220" s="25"/>
      <c r="J220" s="18"/>
      <c r="K220" s="18"/>
      <c r="L220" s="18"/>
      <c r="M220" s="18"/>
      <c r="N220" s="18"/>
      <c r="O220" s="18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>
      <c r="A221" s="7"/>
      <c r="B221" s="8" t="s">
        <v>306</v>
      </c>
      <c r="C221" s="9">
        <f t="shared" si="1"/>
        <v>15223</v>
      </c>
      <c r="D221" s="28"/>
      <c r="E221" s="29"/>
      <c r="F221" s="18"/>
      <c r="G221" s="18"/>
      <c r="H221" s="18"/>
      <c r="I221" s="25"/>
      <c r="J221" s="18"/>
      <c r="K221" s="18"/>
      <c r="L221" s="18"/>
      <c r="M221" s="18"/>
      <c r="N221" s="18"/>
      <c r="O221" s="18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>
      <c r="A222" s="7"/>
      <c r="B222" s="8" t="s">
        <v>307</v>
      </c>
      <c r="C222" s="9">
        <f t="shared" si="1"/>
        <v>15224</v>
      </c>
      <c r="D222" s="28"/>
      <c r="E222" s="29"/>
      <c r="F222" s="18"/>
      <c r="G222" s="18"/>
      <c r="H222" s="18"/>
      <c r="I222" s="25"/>
      <c r="J222" s="18"/>
      <c r="K222" s="18"/>
      <c r="L222" s="18"/>
      <c r="M222" s="18"/>
      <c r="N222" s="18"/>
      <c r="O222" s="18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>
      <c r="A223" s="7"/>
      <c r="B223" s="8" t="s">
        <v>308</v>
      </c>
      <c r="C223" s="9">
        <f t="shared" si="1"/>
        <v>15225</v>
      </c>
      <c r="D223" s="28"/>
      <c r="E223" s="29"/>
      <c r="F223" s="18"/>
      <c r="G223" s="18"/>
      <c r="H223" s="18"/>
      <c r="I223" s="25"/>
      <c r="J223" s="18"/>
      <c r="K223" s="18"/>
      <c r="L223" s="18"/>
      <c r="M223" s="18"/>
      <c r="N223" s="18"/>
      <c r="O223" s="18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>
      <c r="A224" s="7"/>
      <c r="B224" s="8" t="s">
        <v>309</v>
      </c>
      <c r="C224" s="9">
        <f t="shared" si="1"/>
        <v>15226</v>
      </c>
      <c r="D224" s="28"/>
      <c r="E224" s="29"/>
      <c r="F224" s="18"/>
      <c r="G224" s="18"/>
      <c r="H224" s="18"/>
      <c r="I224" s="25"/>
      <c r="J224" s="18"/>
      <c r="K224" s="18"/>
      <c r="L224" s="18"/>
      <c r="M224" s="18"/>
      <c r="N224" s="18"/>
      <c r="O224" s="18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>
      <c r="A225" s="7"/>
      <c r="B225" s="8" t="s">
        <v>310</v>
      </c>
      <c r="C225" s="9">
        <f t="shared" si="1"/>
        <v>15227</v>
      </c>
      <c r="D225" s="28"/>
      <c r="E225" s="29"/>
      <c r="F225" s="18"/>
      <c r="G225" s="18"/>
      <c r="H225" s="18"/>
      <c r="I225" s="25"/>
      <c r="J225" s="18"/>
      <c r="K225" s="18"/>
      <c r="L225" s="18"/>
      <c r="M225" s="18"/>
      <c r="N225" s="18"/>
      <c r="O225" s="18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>
      <c r="A226" s="7"/>
      <c r="B226" s="8" t="s">
        <v>311</v>
      </c>
      <c r="C226" s="9">
        <f t="shared" si="1"/>
        <v>15228</v>
      </c>
      <c r="D226" s="28"/>
      <c r="E226" s="29"/>
      <c r="F226" s="18"/>
      <c r="G226" s="18"/>
      <c r="H226" s="18"/>
      <c r="I226" s="25"/>
      <c r="J226" s="18"/>
      <c r="K226" s="18"/>
      <c r="L226" s="18"/>
      <c r="M226" s="18"/>
      <c r="N226" s="18"/>
      <c r="O226" s="18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>
      <c r="A227" s="7"/>
      <c r="B227" s="8" t="s">
        <v>312</v>
      </c>
      <c r="C227" s="9">
        <f t="shared" si="1"/>
        <v>15229</v>
      </c>
      <c r="D227" s="28"/>
      <c r="E227" s="29"/>
      <c r="F227" s="18"/>
      <c r="G227" s="18"/>
      <c r="H227" s="18"/>
      <c r="I227" s="25"/>
      <c r="J227" s="18"/>
      <c r="K227" s="18"/>
      <c r="L227" s="18"/>
      <c r="M227" s="18"/>
      <c r="N227" s="18"/>
      <c r="O227" s="18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>
      <c r="A228" s="7"/>
      <c r="B228" s="8" t="s">
        <v>313</v>
      </c>
      <c r="C228" s="9">
        <f t="shared" si="1"/>
        <v>15230</v>
      </c>
      <c r="D228" s="28"/>
      <c r="E228" s="29"/>
      <c r="F228" s="18"/>
      <c r="G228" s="18"/>
      <c r="H228" s="18"/>
      <c r="I228" s="25"/>
      <c r="J228" s="18"/>
      <c r="K228" s="18"/>
      <c r="L228" s="18"/>
      <c r="M228" s="18"/>
      <c r="N228" s="18"/>
      <c r="O228" s="18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>
      <c r="A229" s="7"/>
      <c r="B229" s="8" t="s">
        <v>314</v>
      </c>
      <c r="C229" s="9">
        <f t="shared" si="1"/>
        <v>15231</v>
      </c>
      <c r="D229" s="28"/>
      <c r="E229" s="29"/>
      <c r="F229" s="18"/>
      <c r="G229" s="18"/>
      <c r="H229" s="18"/>
      <c r="I229" s="25"/>
      <c r="J229" s="18"/>
      <c r="K229" s="18"/>
      <c r="L229" s="18"/>
      <c r="M229" s="18"/>
      <c r="N229" s="18"/>
      <c r="O229" s="18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>
      <c r="A230" s="7"/>
      <c r="B230" s="8" t="s">
        <v>315</v>
      </c>
      <c r="C230" s="9">
        <f t="shared" si="1"/>
        <v>15232</v>
      </c>
      <c r="D230" s="28"/>
      <c r="E230" s="29"/>
      <c r="F230" s="18"/>
      <c r="G230" s="18"/>
      <c r="H230" s="18"/>
      <c r="I230" s="25"/>
      <c r="J230" s="18"/>
      <c r="K230" s="18"/>
      <c r="L230" s="18"/>
      <c r="M230" s="18"/>
      <c r="N230" s="18"/>
      <c r="O230" s="18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>
      <c r="A231" s="7"/>
      <c r="B231" s="8" t="s">
        <v>316</v>
      </c>
      <c r="C231" s="9">
        <f t="shared" si="1"/>
        <v>15233</v>
      </c>
      <c r="D231" s="28"/>
      <c r="E231" s="29"/>
      <c r="F231" s="18"/>
      <c r="G231" s="18"/>
      <c r="H231" s="18"/>
      <c r="I231" s="25"/>
      <c r="J231" s="18"/>
      <c r="K231" s="18"/>
      <c r="L231" s="18"/>
      <c r="M231" s="18"/>
      <c r="N231" s="18"/>
      <c r="O231" s="18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>
      <c r="A232" s="7"/>
      <c r="B232" s="8" t="s">
        <v>317</v>
      </c>
      <c r="C232" s="9">
        <f t="shared" si="1"/>
        <v>15234</v>
      </c>
      <c r="D232" s="28"/>
      <c r="E232" s="29"/>
      <c r="F232" s="18"/>
      <c r="G232" s="18"/>
      <c r="H232" s="18"/>
      <c r="I232" s="25"/>
      <c r="J232" s="18"/>
      <c r="K232" s="18"/>
      <c r="L232" s="18"/>
      <c r="M232" s="18"/>
      <c r="N232" s="18"/>
      <c r="O232" s="18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>
      <c r="A233" s="7"/>
      <c r="B233" s="8" t="s">
        <v>318</v>
      </c>
      <c r="C233" s="9">
        <f t="shared" si="1"/>
        <v>15235</v>
      </c>
      <c r="D233" s="28"/>
      <c r="E233" s="29"/>
      <c r="F233" s="18"/>
      <c r="G233" s="18"/>
      <c r="H233" s="18"/>
      <c r="I233" s="25"/>
      <c r="J233" s="18"/>
      <c r="K233" s="18"/>
      <c r="L233" s="18"/>
      <c r="M233" s="18"/>
      <c r="N233" s="18"/>
      <c r="O233" s="18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>
      <c r="A234" s="7"/>
      <c r="B234" s="8" t="s">
        <v>319</v>
      </c>
      <c r="C234" s="9">
        <f t="shared" si="1"/>
        <v>15236</v>
      </c>
      <c r="D234" s="28"/>
      <c r="E234" s="29"/>
      <c r="F234" s="18"/>
      <c r="G234" s="18"/>
      <c r="H234" s="18"/>
      <c r="I234" s="25"/>
      <c r="J234" s="18"/>
      <c r="K234" s="18"/>
      <c r="L234" s="18"/>
      <c r="M234" s="18"/>
      <c r="N234" s="18"/>
      <c r="O234" s="18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>
      <c r="A235" s="7"/>
      <c r="B235" s="8" t="s">
        <v>320</v>
      </c>
      <c r="C235" s="9">
        <f t="shared" si="1"/>
        <v>15237</v>
      </c>
      <c r="D235" s="28"/>
      <c r="E235" s="29"/>
      <c r="F235" s="18"/>
      <c r="G235" s="18"/>
      <c r="H235" s="18"/>
      <c r="I235" s="25"/>
      <c r="J235" s="18"/>
      <c r="K235" s="18"/>
      <c r="L235" s="18"/>
      <c r="M235" s="18"/>
      <c r="N235" s="18"/>
      <c r="O235" s="18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>
      <c r="A236" s="7"/>
      <c r="B236" s="8" t="s">
        <v>321</v>
      </c>
      <c r="C236" s="9">
        <f t="shared" si="1"/>
        <v>15238</v>
      </c>
      <c r="D236" s="28"/>
      <c r="E236" s="29"/>
      <c r="F236" s="18"/>
      <c r="G236" s="18"/>
      <c r="H236" s="18"/>
      <c r="I236" s="25"/>
      <c r="J236" s="18"/>
      <c r="K236" s="18"/>
      <c r="L236" s="18"/>
      <c r="M236" s="18"/>
      <c r="N236" s="18"/>
      <c r="O236" s="18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>
      <c r="A237" s="7"/>
      <c r="B237" s="8" t="s">
        <v>322</v>
      </c>
      <c r="C237" s="9">
        <f t="shared" si="1"/>
        <v>15239</v>
      </c>
      <c r="D237" s="28"/>
      <c r="E237" s="29"/>
      <c r="F237" s="18"/>
      <c r="G237" s="18"/>
      <c r="H237" s="18"/>
      <c r="I237" s="25"/>
      <c r="J237" s="18"/>
      <c r="K237" s="18"/>
      <c r="L237" s="18"/>
      <c r="M237" s="18"/>
      <c r="N237" s="18"/>
      <c r="O237" s="18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>
      <c r="A238" s="7"/>
      <c r="B238" s="8" t="s">
        <v>323</v>
      </c>
      <c r="C238" s="9">
        <f t="shared" si="1"/>
        <v>15240</v>
      </c>
      <c r="D238" s="28"/>
      <c r="E238" s="29"/>
      <c r="F238" s="18"/>
      <c r="G238" s="18"/>
      <c r="H238" s="18"/>
      <c r="I238" s="25"/>
      <c r="J238" s="18"/>
      <c r="K238" s="18"/>
      <c r="L238" s="18"/>
      <c r="M238" s="18"/>
      <c r="N238" s="18"/>
      <c r="O238" s="18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>
      <c r="A239" s="7"/>
      <c r="B239" s="8" t="s">
        <v>324</v>
      </c>
      <c r="C239" s="9">
        <f t="shared" si="1"/>
        <v>15241</v>
      </c>
      <c r="D239" s="28"/>
      <c r="E239" s="29"/>
      <c r="F239" s="18"/>
      <c r="G239" s="18"/>
      <c r="H239" s="18"/>
      <c r="I239" s="25"/>
      <c r="J239" s="18"/>
      <c r="K239" s="18"/>
      <c r="L239" s="18"/>
      <c r="M239" s="18"/>
      <c r="N239" s="18"/>
      <c r="O239" s="18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>
      <c r="A240" s="7"/>
      <c r="B240" s="8" t="s">
        <v>325</v>
      </c>
      <c r="C240" s="9">
        <f t="shared" si="1"/>
        <v>15242</v>
      </c>
      <c r="D240" s="28"/>
      <c r="E240" s="29"/>
      <c r="F240" s="18"/>
      <c r="G240" s="18"/>
      <c r="H240" s="18"/>
      <c r="I240" s="25"/>
      <c r="J240" s="18"/>
      <c r="K240" s="18"/>
      <c r="L240" s="18"/>
      <c r="M240" s="18"/>
      <c r="N240" s="18"/>
      <c r="O240" s="18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>
      <c r="A241" s="7"/>
      <c r="B241" s="8" t="s">
        <v>326</v>
      </c>
      <c r="C241" s="9">
        <f t="shared" si="1"/>
        <v>15243</v>
      </c>
      <c r="D241" s="28"/>
      <c r="E241" s="29"/>
      <c r="F241" s="18"/>
      <c r="G241" s="18"/>
      <c r="H241" s="18"/>
      <c r="I241" s="25"/>
      <c r="J241" s="18"/>
      <c r="K241" s="18"/>
      <c r="L241" s="18"/>
      <c r="M241" s="18"/>
      <c r="N241" s="18"/>
      <c r="O241" s="18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>
      <c r="A242" s="7"/>
      <c r="B242" s="8" t="s">
        <v>327</v>
      </c>
      <c r="C242" s="9">
        <f t="shared" si="1"/>
        <v>15244</v>
      </c>
      <c r="D242" s="28"/>
      <c r="E242" s="29"/>
      <c r="F242" s="18"/>
      <c r="G242" s="18"/>
      <c r="H242" s="18"/>
      <c r="I242" s="25"/>
      <c r="J242" s="18"/>
      <c r="K242" s="18"/>
      <c r="L242" s="18"/>
      <c r="M242" s="18"/>
      <c r="N242" s="18"/>
      <c r="O242" s="18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>
      <c r="A243" s="7"/>
      <c r="B243" s="8" t="s">
        <v>328</v>
      </c>
      <c r="C243" s="9">
        <f t="shared" si="1"/>
        <v>15245</v>
      </c>
      <c r="D243" s="28"/>
      <c r="E243" s="29"/>
      <c r="F243" s="18"/>
      <c r="G243" s="18"/>
      <c r="H243" s="18"/>
      <c r="I243" s="25"/>
      <c r="J243" s="18"/>
      <c r="K243" s="18"/>
      <c r="L243" s="18"/>
      <c r="M243" s="18"/>
      <c r="N243" s="18"/>
      <c r="O243" s="18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>
      <c r="A244" s="7"/>
      <c r="B244" s="8" t="s">
        <v>329</v>
      </c>
      <c r="C244" s="9">
        <f t="shared" si="1"/>
        <v>15246</v>
      </c>
      <c r="D244" s="28"/>
      <c r="E244" s="29"/>
      <c r="F244" s="18"/>
      <c r="G244" s="18"/>
      <c r="H244" s="18"/>
      <c r="I244" s="25"/>
      <c r="J244" s="18"/>
      <c r="K244" s="18"/>
      <c r="L244" s="18"/>
      <c r="M244" s="18"/>
      <c r="N244" s="18"/>
      <c r="O244" s="18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>
      <c r="A245" s="7"/>
      <c r="B245" s="8" t="s">
        <v>330</v>
      </c>
      <c r="C245" s="9">
        <f t="shared" si="1"/>
        <v>15247</v>
      </c>
      <c r="D245" s="28"/>
      <c r="E245" s="29"/>
      <c r="F245" s="18"/>
      <c r="G245" s="18"/>
      <c r="H245" s="18"/>
      <c r="I245" s="25"/>
      <c r="J245" s="18"/>
      <c r="K245" s="18"/>
      <c r="L245" s="18"/>
      <c r="M245" s="18"/>
      <c r="N245" s="18"/>
      <c r="O245" s="18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>
      <c r="A246" s="7"/>
      <c r="B246" s="8" t="s">
        <v>331</v>
      </c>
      <c r="C246" s="9">
        <f t="shared" si="1"/>
        <v>15248</v>
      </c>
      <c r="D246" s="28"/>
      <c r="E246" s="29"/>
      <c r="F246" s="18"/>
      <c r="G246" s="18"/>
      <c r="H246" s="18"/>
      <c r="I246" s="25"/>
      <c r="J246" s="18"/>
      <c r="K246" s="18"/>
      <c r="L246" s="18"/>
      <c r="M246" s="18"/>
      <c r="N246" s="18"/>
      <c r="O246" s="18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>
      <c r="A247" s="7"/>
      <c r="B247" s="8" t="s">
        <v>332</v>
      </c>
      <c r="C247" s="9">
        <f t="shared" si="1"/>
        <v>15249</v>
      </c>
      <c r="D247" s="28"/>
      <c r="E247" s="29"/>
      <c r="F247" s="18"/>
      <c r="G247" s="18"/>
      <c r="H247" s="18"/>
      <c r="I247" s="25"/>
      <c r="J247" s="18"/>
      <c r="K247" s="18"/>
      <c r="L247" s="18"/>
      <c r="M247" s="18"/>
      <c r="N247" s="18"/>
      <c r="O247" s="18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>
      <c r="A248" s="7"/>
      <c r="B248" s="8" t="s">
        <v>333</v>
      </c>
      <c r="C248" s="9">
        <f t="shared" si="1"/>
        <v>15250</v>
      </c>
      <c r="D248" s="28"/>
      <c r="E248" s="29"/>
      <c r="F248" s="18"/>
      <c r="G248" s="18"/>
      <c r="H248" s="18"/>
      <c r="I248" s="25"/>
      <c r="J248" s="18"/>
      <c r="K248" s="18"/>
      <c r="L248" s="18"/>
      <c r="M248" s="18"/>
      <c r="N248" s="18"/>
      <c r="O248" s="18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>
      <c r="A249" s="1"/>
      <c r="B249" s="1"/>
      <c r="C249" s="18"/>
      <c r="D249" s="47"/>
      <c r="E249" s="18"/>
      <c r="F249" s="18"/>
      <c r="G249" s="18"/>
      <c r="H249" s="18"/>
      <c r="I249" s="25"/>
      <c r="J249" s="18"/>
      <c r="K249" s="18"/>
      <c r="L249" s="18"/>
      <c r="M249" s="18"/>
      <c r="N249" s="18"/>
      <c r="O249" s="18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>
      <c r="A250" s="1"/>
      <c r="B250" s="1"/>
      <c r="C250" s="18"/>
      <c r="D250" s="47"/>
      <c r="E250" s="18"/>
      <c r="F250" s="18"/>
      <c r="G250" s="18"/>
      <c r="H250" s="18"/>
      <c r="I250" s="25"/>
      <c r="J250" s="18"/>
      <c r="K250" s="18"/>
      <c r="L250" s="18"/>
      <c r="M250" s="18"/>
      <c r="N250" s="18"/>
      <c r="O250" s="18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>
      <c r="A251" s="1"/>
      <c r="B251" s="1"/>
      <c r="C251" s="18"/>
      <c r="D251" s="47"/>
      <c r="E251" s="18"/>
      <c r="F251" s="18"/>
      <c r="G251" s="18"/>
      <c r="H251" s="18"/>
      <c r="I251" s="25"/>
      <c r="J251" s="18"/>
      <c r="K251" s="18"/>
      <c r="L251" s="18"/>
      <c r="M251" s="18"/>
      <c r="N251" s="18"/>
      <c r="O251" s="18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>
      <c r="A252" s="1"/>
      <c r="B252" s="1"/>
      <c r="C252" s="18"/>
      <c r="D252" s="47"/>
      <c r="E252" s="18"/>
      <c r="F252" s="18"/>
      <c r="G252" s="18"/>
      <c r="H252" s="18"/>
      <c r="I252" s="25"/>
      <c r="J252" s="18"/>
      <c r="K252" s="18"/>
      <c r="L252" s="18"/>
      <c r="M252" s="18"/>
      <c r="N252" s="18"/>
      <c r="O252" s="18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>
      <c r="A253" s="1"/>
      <c r="B253" s="1"/>
      <c r="C253" s="18"/>
      <c r="D253" s="47"/>
      <c r="E253" s="18"/>
      <c r="F253" s="18"/>
      <c r="G253" s="18"/>
      <c r="H253" s="18"/>
      <c r="I253" s="25"/>
      <c r="J253" s="18"/>
      <c r="K253" s="18"/>
      <c r="L253" s="18"/>
      <c r="M253" s="18"/>
      <c r="N253" s="18"/>
      <c r="O253" s="18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>
      <c r="A254" s="1"/>
      <c r="B254" s="1"/>
      <c r="C254" s="18"/>
      <c r="D254" s="47"/>
      <c r="E254" s="18"/>
      <c r="F254" s="18"/>
      <c r="G254" s="18"/>
      <c r="H254" s="18"/>
      <c r="I254" s="25"/>
      <c r="J254" s="18"/>
      <c r="K254" s="18"/>
      <c r="L254" s="18"/>
      <c r="M254" s="18"/>
      <c r="N254" s="18"/>
      <c r="O254" s="18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>
      <c r="A255" s="1"/>
      <c r="B255" s="1"/>
      <c r="C255" s="18"/>
      <c r="D255" s="47"/>
      <c r="E255" s="18"/>
      <c r="F255" s="18"/>
      <c r="G255" s="18"/>
      <c r="H255" s="18"/>
      <c r="I255" s="25"/>
      <c r="J255" s="18"/>
      <c r="K255" s="18"/>
      <c r="L255" s="18"/>
      <c r="M255" s="18"/>
      <c r="N255" s="18"/>
      <c r="O255" s="18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>
      <c r="A256" s="1"/>
      <c r="B256" s="1"/>
      <c r="C256" s="18"/>
      <c r="D256" s="47"/>
      <c r="E256" s="18"/>
      <c r="F256" s="18"/>
      <c r="G256" s="18"/>
      <c r="H256" s="18"/>
      <c r="I256" s="25"/>
      <c r="J256" s="18"/>
      <c r="K256" s="18"/>
      <c r="L256" s="18"/>
      <c r="M256" s="18"/>
      <c r="N256" s="18"/>
      <c r="O256" s="18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>
      <c r="A257" s="1"/>
      <c r="B257" s="1"/>
      <c r="C257" s="18"/>
      <c r="D257" s="47"/>
      <c r="E257" s="18"/>
      <c r="F257" s="18"/>
      <c r="G257" s="18"/>
      <c r="H257" s="18"/>
      <c r="I257" s="25"/>
      <c r="J257" s="18"/>
      <c r="K257" s="18"/>
      <c r="L257" s="18"/>
      <c r="M257" s="18"/>
      <c r="N257" s="18"/>
      <c r="O257" s="18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>
      <c r="A258" s="1"/>
      <c r="B258" s="1"/>
      <c r="C258" s="18"/>
      <c r="D258" s="47"/>
      <c r="E258" s="18"/>
      <c r="F258" s="18"/>
      <c r="G258" s="18"/>
      <c r="H258" s="18"/>
      <c r="I258" s="25"/>
      <c r="J258" s="18"/>
      <c r="K258" s="18"/>
      <c r="L258" s="18"/>
      <c r="M258" s="18"/>
      <c r="N258" s="18"/>
      <c r="O258" s="18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>
      <c r="A259" s="1"/>
      <c r="B259" s="1"/>
      <c r="C259" s="18"/>
      <c r="D259" s="47"/>
      <c r="E259" s="18"/>
      <c r="F259" s="18"/>
      <c r="G259" s="18"/>
      <c r="H259" s="18"/>
      <c r="I259" s="25"/>
      <c r="J259" s="18"/>
      <c r="K259" s="18"/>
      <c r="L259" s="18"/>
      <c r="M259" s="18"/>
      <c r="N259" s="18"/>
      <c r="O259" s="18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>
      <c r="A260" s="1"/>
      <c r="B260" s="1"/>
      <c r="C260" s="18"/>
      <c r="D260" s="47"/>
      <c r="E260" s="18"/>
      <c r="F260" s="18"/>
      <c r="G260" s="18"/>
      <c r="H260" s="18"/>
      <c r="I260" s="25"/>
      <c r="J260" s="18"/>
      <c r="K260" s="18"/>
      <c r="L260" s="18"/>
      <c r="M260" s="18"/>
      <c r="N260" s="18"/>
      <c r="O260" s="18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>
      <c r="A261" s="1"/>
      <c r="B261" s="1"/>
      <c r="C261" s="18"/>
      <c r="D261" s="47"/>
      <c r="E261" s="18"/>
      <c r="F261" s="18"/>
      <c r="G261" s="18"/>
      <c r="H261" s="18"/>
      <c r="I261" s="25"/>
      <c r="J261" s="18"/>
      <c r="K261" s="18"/>
      <c r="L261" s="18"/>
      <c r="M261" s="18"/>
      <c r="N261" s="18"/>
      <c r="O261" s="18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>
      <c r="A262" s="1"/>
      <c r="B262" s="1"/>
      <c r="C262" s="18"/>
      <c r="D262" s="47"/>
      <c r="E262" s="18"/>
      <c r="F262" s="18"/>
      <c r="G262" s="18"/>
      <c r="H262" s="18"/>
      <c r="I262" s="25"/>
      <c r="J262" s="18"/>
      <c r="K262" s="18"/>
      <c r="L262" s="18"/>
      <c r="M262" s="18"/>
      <c r="N262" s="18"/>
      <c r="O262" s="18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>
      <c r="A263" s="1"/>
      <c r="B263" s="1"/>
      <c r="C263" s="18"/>
      <c r="D263" s="47"/>
      <c r="E263" s="18"/>
      <c r="F263" s="18"/>
      <c r="G263" s="18"/>
      <c r="H263" s="18"/>
      <c r="I263" s="25"/>
      <c r="J263" s="18"/>
      <c r="K263" s="18"/>
      <c r="L263" s="18"/>
      <c r="M263" s="18"/>
      <c r="N263" s="18"/>
      <c r="O263" s="18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>
      <c r="A264" s="1"/>
      <c r="B264" s="1"/>
      <c r="C264" s="18"/>
      <c r="D264" s="47"/>
      <c r="E264" s="18"/>
      <c r="F264" s="18"/>
      <c r="G264" s="18"/>
      <c r="H264" s="18"/>
      <c r="I264" s="25"/>
      <c r="J264" s="18"/>
      <c r="K264" s="18"/>
      <c r="L264" s="18"/>
      <c r="M264" s="18"/>
      <c r="N264" s="18"/>
      <c r="O264" s="18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>
      <c r="A265" s="1"/>
      <c r="B265" s="1"/>
      <c r="C265" s="18"/>
      <c r="D265" s="47"/>
      <c r="E265" s="18"/>
      <c r="F265" s="18"/>
      <c r="G265" s="18"/>
      <c r="H265" s="18"/>
      <c r="I265" s="25"/>
      <c r="J265" s="18"/>
      <c r="K265" s="18"/>
      <c r="L265" s="18"/>
      <c r="M265" s="18"/>
      <c r="N265" s="18"/>
      <c r="O265" s="18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>
      <c r="A266" s="1"/>
      <c r="B266" s="1"/>
      <c r="C266" s="18"/>
      <c r="D266" s="47"/>
      <c r="E266" s="18"/>
      <c r="F266" s="18"/>
      <c r="G266" s="18"/>
      <c r="H266" s="18"/>
      <c r="I266" s="25"/>
      <c r="J266" s="18"/>
      <c r="K266" s="18"/>
      <c r="L266" s="18"/>
      <c r="M266" s="18"/>
      <c r="N266" s="18"/>
      <c r="O266" s="18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>
      <c r="A267" s="1"/>
      <c r="B267" s="1"/>
      <c r="C267" s="18"/>
      <c r="D267" s="47"/>
      <c r="E267" s="18"/>
      <c r="F267" s="18"/>
      <c r="G267" s="18"/>
      <c r="H267" s="18"/>
      <c r="I267" s="25"/>
      <c r="J267" s="18"/>
      <c r="K267" s="18"/>
      <c r="L267" s="18"/>
      <c r="M267" s="18"/>
      <c r="N267" s="18"/>
      <c r="O267" s="18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>
      <c r="A268" s="1"/>
      <c r="B268" s="1"/>
      <c r="C268" s="18"/>
      <c r="D268" s="47"/>
      <c r="E268" s="18"/>
      <c r="F268" s="18"/>
      <c r="G268" s="18"/>
      <c r="H268" s="18"/>
      <c r="I268" s="25"/>
      <c r="J268" s="18"/>
      <c r="K268" s="18"/>
      <c r="L268" s="18"/>
      <c r="M268" s="18"/>
      <c r="N268" s="18"/>
      <c r="O268" s="18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>
      <c r="A269" s="1"/>
      <c r="B269" s="1"/>
      <c r="C269" s="18"/>
      <c r="D269" s="47"/>
      <c r="E269" s="18"/>
      <c r="F269" s="18"/>
      <c r="G269" s="18"/>
      <c r="H269" s="18"/>
      <c r="I269" s="25"/>
      <c r="J269" s="18"/>
      <c r="K269" s="18"/>
      <c r="L269" s="18"/>
      <c r="M269" s="18"/>
      <c r="N269" s="18"/>
      <c r="O269" s="18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>
      <c r="A270" s="1"/>
      <c r="B270" s="1"/>
      <c r="C270" s="18"/>
      <c r="D270" s="47"/>
      <c r="E270" s="18"/>
      <c r="F270" s="18"/>
      <c r="G270" s="18"/>
      <c r="H270" s="18"/>
      <c r="I270" s="25"/>
      <c r="J270" s="18"/>
      <c r="K270" s="18"/>
      <c r="L270" s="18"/>
      <c r="M270" s="18"/>
      <c r="N270" s="18"/>
      <c r="O270" s="18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>
      <c r="A271" s="1"/>
      <c r="B271" s="1"/>
      <c r="C271" s="18"/>
      <c r="D271" s="47"/>
      <c r="E271" s="18"/>
      <c r="F271" s="18"/>
      <c r="G271" s="18"/>
      <c r="H271" s="18"/>
      <c r="I271" s="25"/>
      <c r="J271" s="18"/>
      <c r="K271" s="18"/>
      <c r="L271" s="18"/>
      <c r="M271" s="18"/>
      <c r="N271" s="18"/>
      <c r="O271" s="18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>
      <c r="A272" s="1"/>
      <c r="B272" s="1"/>
      <c r="C272" s="18"/>
      <c r="D272" s="47"/>
      <c r="E272" s="18"/>
      <c r="F272" s="18"/>
      <c r="G272" s="18"/>
      <c r="H272" s="18"/>
      <c r="I272" s="25"/>
      <c r="J272" s="18"/>
      <c r="K272" s="18"/>
      <c r="L272" s="18"/>
      <c r="M272" s="18"/>
      <c r="N272" s="18"/>
      <c r="O272" s="18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>
      <c r="A273" s="1"/>
      <c r="B273" s="1"/>
      <c r="C273" s="18"/>
      <c r="D273" s="47"/>
      <c r="E273" s="18"/>
      <c r="F273" s="18"/>
      <c r="G273" s="18"/>
      <c r="H273" s="18"/>
      <c r="I273" s="25"/>
      <c r="J273" s="18"/>
      <c r="K273" s="18"/>
      <c r="L273" s="18"/>
      <c r="M273" s="18"/>
      <c r="N273" s="18"/>
      <c r="O273" s="18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>
      <c r="A274" s="1"/>
      <c r="B274" s="1"/>
      <c r="C274" s="18"/>
      <c r="D274" s="47"/>
      <c r="E274" s="18"/>
      <c r="F274" s="18"/>
      <c r="G274" s="18"/>
      <c r="H274" s="18"/>
      <c r="I274" s="25"/>
      <c r="J274" s="18"/>
      <c r="K274" s="18"/>
      <c r="L274" s="18"/>
      <c r="M274" s="18"/>
      <c r="N274" s="18"/>
      <c r="O274" s="18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>
      <c r="A275" s="1"/>
      <c r="B275" s="1"/>
      <c r="C275" s="18"/>
      <c r="D275" s="47"/>
      <c r="E275" s="18"/>
      <c r="F275" s="18"/>
      <c r="G275" s="18"/>
      <c r="H275" s="18"/>
      <c r="I275" s="25"/>
      <c r="J275" s="18"/>
      <c r="K275" s="18"/>
      <c r="L275" s="18"/>
      <c r="M275" s="18"/>
      <c r="N275" s="18"/>
      <c r="O275" s="18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>
      <c r="A276" s="1"/>
      <c r="B276" s="1"/>
      <c r="C276" s="18"/>
      <c r="D276" s="47"/>
      <c r="E276" s="18"/>
      <c r="F276" s="18"/>
      <c r="G276" s="18"/>
      <c r="H276" s="18"/>
      <c r="I276" s="25"/>
      <c r="J276" s="18"/>
      <c r="K276" s="18"/>
      <c r="L276" s="18"/>
      <c r="M276" s="18"/>
      <c r="N276" s="18"/>
      <c r="O276" s="18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>
      <c r="A277" s="1"/>
      <c r="B277" s="1"/>
      <c r="C277" s="18"/>
      <c r="D277" s="47"/>
      <c r="E277" s="18"/>
      <c r="F277" s="18"/>
      <c r="G277" s="18"/>
      <c r="H277" s="18"/>
      <c r="I277" s="25"/>
      <c r="J277" s="18"/>
      <c r="K277" s="18"/>
      <c r="L277" s="18"/>
      <c r="M277" s="18"/>
      <c r="N277" s="18"/>
      <c r="O277" s="18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>
      <c r="A278" s="1"/>
      <c r="B278" s="1"/>
      <c r="C278" s="18"/>
      <c r="D278" s="47"/>
      <c r="E278" s="18"/>
      <c r="F278" s="18"/>
      <c r="G278" s="18"/>
      <c r="H278" s="18"/>
      <c r="I278" s="25"/>
      <c r="J278" s="18"/>
      <c r="K278" s="18"/>
      <c r="L278" s="18"/>
      <c r="M278" s="18"/>
      <c r="N278" s="18"/>
      <c r="O278" s="18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>
      <c r="A279" s="1"/>
      <c r="B279" s="1"/>
      <c r="C279" s="18"/>
      <c r="D279" s="47"/>
      <c r="E279" s="18"/>
      <c r="F279" s="18"/>
      <c r="G279" s="18"/>
      <c r="H279" s="18"/>
      <c r="I279" s="25"/>
      <c r="J279" s="18"/>
      <c r="K279" s="18"/>
      <c r="L279" s="18"/>
      <c r="M279" s="18"/>
      <c r="N279" s="18"/>
      <c r="O279" s="18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>
      <c r="A280" s="1"/>
      <c r="B280" s="1"/>
      <c r="C280" s="18"/>
      <c r="D280" s="47"/>
      <c r="E280" s="18"/>
      <c r="F280" s="18"/>
      <c r="G280" s="18"/>
      <c r="H280" s="18"/>
      <c r="I280" s="25"/>
      <c r="J280" s="18"/>
      <c r="K280" s="18"/>
      <c r="L280" s="18"/>
      <c r="M280" s="18"/>
      <c r="N280" s="18"/>
      <c r="O280" s="18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>
      <c r="A281" s="1"/>
      <c r="B281" s="1"/>
      <c r="C281" s="18"/>
      <c r="D281" s="47"/>
      <c r="E281" s="18"/>
      <c r="F281" s="18"/>
      <c r="G281" s="18"/>
      <c r="H281" s="18"/>
      <c r="I281" s="25"/>
      <c r="J281" s="18"/>
      <c r="K281" s="18"/>
      <c r="L281" s="18"/>
      <c r="M281" s="18"/>
      <c r="N281" s="18"/>
      <c r="O281" s="18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>
      <c r="A282" s="1"/>
      <c r="B282" s="1"/>
      <c r="C282" s="18"/>
      <c r="D282" s="47"/>
      <c r="E282" s="18"/>
      <c r="F282" s="18"/>
      <c r="G282" s="18"/>
      <c r="H282" s="18"/>
      <c r="I282" s="25"/>
      <c r="J282" s="18"/>
      <c r="K282" s="18"/>
      <c r="L282" s="18"/>
      <c r="M282" s="18"/>
      <c r="N282" s="18"/>
      <c r="O282" s="18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>
      <c r="A283" s="1"/>
      <c r="B283" s="1"/>
      <c r="C283" s="18"/>
      <c r="D283" s="47"/>
      <c r="E283" s="18"/>
      <c r="F283" s="18"/>
      <c r="G283" s="18"/>
      <c r="H283" s="18"/>
      <c r="I283" s="25"/>
      <c r="J283" s="18"/>
      <c r="K283" s="18"/>
      <c r="L283" s="18"/>
      <c r="M283" s="18"/>
      <c r="N283" s="18"/>
      <c r="O283" s="18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>
      <c r="A284" s="1"/>
      <c r="B284" s="1"/>
      <c r="C284" s="18"/>
      <c r="D284" s="47"/>
      <c r="E284" s="18"/>
      <c r="F284" s="18"/>
      <c r="G284" s="18"/>
      <c r="H284" s="18"/>
      <c r="I284" s="25"/>
      <c r="J284" s="18"/>
      <c r="K284" s="18"/>
      <c r="L284" s="18"/>
      <c r="M284" s="18"/>
      <c r="N284" s="18"/>
      <c r="O284" s="18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>
      <c r="A285" s="1"/>
      <c r="B285" s="1"/>
      <c r="C285" s="18"/>
      <c r="D285" s="47"/>
      <c r="E285" s="18"/>
      <c r="F285" s="18"/>
      <c r="G285" s="18"/>
      <c r="H285" s="18"/>
      <c r="I285" s="25"/>
      <c r="J285" s="18"/>
      <c r="K285" s="18"/>
      <c r="L285" s="18"/>
      <c r="M285" s="18"/>
      <c r="N285" s="18"/>
      <c r="O285" s="18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>
      <c r="A286" s="1"/>
      <c r="B286" s="1"/>
      <c r="C286" s="18"/>
      <c r="D286" s="47"/>
      <c r="E286" s="18"/>
      <c r="F286" s="18"/>
      <c r="G286" s="18"/>
      <c r="H286" s="18"/>
      <c r="I286" s="25"/>
      <c r="J286" s="18"/>
      <c r="K286" s="18"/>
      <c r="L286" s="18"/>
      <c r="M286" s="18"/>
      <c r="N286" s="18"/>
      <c r="O286" s="18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>
      <c r="A287" s="1"/>
      <c r="B287" s="1"/>
      <c r="C287" s="18"/>
      <c r="D287" s="47"/>
      <c r="E287" s="18"/>
      <c r="F287" s="18"/>
      <c r="G287" s="18"/>
      <c r="H287" s="18"/>
      <c r="I287" s="25"/>
      <c r="J287" s="18"/>
      <c r="K287" s="18"/>
      <c r="L287" s="18"/>
      <c r="M287" s="18"/>
      <c r="N287" s="18"/>
      <c r="O287" s="18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>
      <c r="A288" s="1"/>
      <c r="B288" s="1"/>
      <c r="C288" s="18"/>
      <c r="D288" s="47"/>
      <c r="E288" s="18"/>
      <c r="F288" s="18"/>
      <c r="G288" s="18"/>
      <c r="H288" s="18"/>
      <c r="I288" s="25"/>
      <c r="J288" s="18"/>
      <c r="K288" s="18"/>
      <c r="L288" s="18"/>
      <c r="M288" s="18"/>
      <c r="N288" s="18"/>
      <c r="O288" s="18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>
      <c r="A289" s="1"/>
      <c r="B289" s="1"/>
      <c r="C289" s="18"/>
      <c r="D289" s="47"/>
      <c r="E289" s="18"/>
      <c r="F289" s="18"/>
      <c r="G289" s="18"/>
      <c r="H289" s="18"/>
      <c r="I289" s="25"/>
      <c r="J289" s="18"/>
      <c r="K289" s="18"/>
      <c r="L289" s="18"/>
      <c r="M289" s="18"/>
      <c r="N289" s="18"/>
      <c r="O289" s="18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>
      <c r="A290" s="1"/>
      <c r="B290" s="1"/>
      <c r="C290" s="18"/>
      <c r="D290" s="47"/>
      <c r="E290" s="18"/>
      <c r="F290" s="18"/>
      <c r="G290" s="18"/>
      <c r="H290" s="18"/>
      <c r="I290" s="25"/>
      <c r="J290" s="18"/>
      <c r="K290" s="18"/>
      <c r="L290" s="18"/>
      <c r="M290" s="18"/>
      <c r="N290" s="18"/>
      <c r="O290" s="18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>
      <c r="A291" s="1"/>
      <c r="B291" s="1"/>
      <c r="C291" s="18"/>
      <c r="D291" s="47"/>
      <c r="E291" s="18"/>
      <c r="F291" s="18"/>
      <c r="G291" s="18"/>
      <c r="H291" s="18"/>
      <c r="I291" s="25"/>
      <c r="J291" s="18"/>
      <c r="K291" s="18"/>
      <c r="L291" s="18"/>
      <c r="M291" s="18"/>
      <c r="N291" s="18"/>
      <c r="O291" s="18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>
      <c r="A292" s="1"/>
      <c r="B292" s="1"/>
      <c r="C292" s="18"/>
      <c r="D292" s="47"/>
      <c r="E292" s="18"/>
      <c r="F292" s="18"/>
      <c r="G292" s="18"/>
      <c r="H292" s="18"/>
      <c r="I292" s="25"/>
      <c r="J292" s="18"/>
      <c r="K292" s="18"/>
      <c r="L292" s="18"/>
      <c r="M292" s="18"/>
      <c r="N292" s="18"/>
      <c r="O292" s="18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>
      <c r="A293" s="1"/>
      <c r="B293" s="1"/>
      <c r="C293" s="18"/>
      <c r="D293" s="47"/>
      <c r="E293" s="18"/>
      <c r="F293" s="18"/>
      <c r="G293" s="18"/>
      <c r="H293" s="18"/>
      <c r="I293" s="25"/>
      <c r="J293" s="18"/>
      <c r="K293" s="18"/>
      <c r="L293" s="18"/>
      <c r="M293" s="18"/>
      <c r="N293" s="18"/>
      <c r="O293" s="18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>
      <c r="A294" s="1"/>
      <c r="B294" s="1"/>
      <c r="C294" s="18"/>
      <c r="D294" s="47"/>
      <c r="E294" s="18"/>
      <c r="F294" s="18"/>
      <c r="G294" s="18"/>
      <c r="H294" s="18"/>
      <c r="I294" s="25"/>
      <c r="J294" s="18"/>
      <c r="K294" s="18"/>
      <c r="L294" s="18"/>
      <c r="M294" s="18"/>
      <c r="N294" s="18"/>
      <c r="O294" s="18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>
      <c r="A295" s="1"/>
      <c r="B295" s="1"/>
      <c r="C295" s="18"/>
      <c r="D295" s="47"/>
      <c r="E295" s="18"/>
      <c r="F295" s="18"/>
      <c r="G295" s="18"/>
      <c r="H295" s="18"/>
      <c r="I295" s="25"/>
      <c r="J295" s="18"/>
      <c r="K295" s="18"/>
      <c r="L295" s="18"/>
      <c r="M295" s="18"/>
      <c r="N295" s="18"/>
      <c r="O295" s="18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>
      <c r="A296" s="1"/>
      <c r="B296" s="1"/>
      <c r="C296" s="18"/>
      <c r="D296" s="47"/>
      <c r="E296" s="18"/>
      <c r="F296" s="18"/>
      <c r="G296" s="18"/>
      <c r="H296" s="18"/>
      <c r="I296" s="25"/>
      <c r="J296" s="18"/>
      <c r="K296" s="18"/>
      <c r="L296" s="18"/>
      <c r="M296" s="18"/>
      <c r="N296" s="18"/>
      <c r="O296" s="18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>
      <c r="A297" s="1"/>
      <c r="B297" s="1"/>
      <c r="C297" s="18"/>
      <c r="D297" s="47"/>
      <c r="E297" s="18"/>
      <c r="F297" s="18"/>
      <c r="G297" s="18"/>
      <c r="H297" s="18"/>
      <c r="I297" s="25"/>
      <c r="J297" s="18"/>
      <c r="K297" s="18"/>
      <c r="L297" s="18"/>
      <c r="M297" s="18"/>
      <c r="N297" s="18"/>
      <c r="O297" s="18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>
      <c r="A298" s="1"/>
      <c r="B298" s="1"/>
      <c r="C298" s="18"/>
      <c r="D298" s="47"/>
      <c r="E298" s="18"/>
      <c r="F298" s="18"/>
      <c r="G298" s="18"/>
      <c r="H298" s="18"/>
      <c r="I298" s="25"/>
      <c r="J298" s="18"/>
      <c r="K298" s="18"/>
      <c r="L298" s="18"/>
      <c r="M298" s="18"/>
      <c r="N298" s="18"/>
      <c r="O298" s="18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>
      <c r="A299" s="1"/>
      <c r="B299" s="1"/>
      <c r="C299" s="18"/>
      <c r="D299" s="47"/>
      <c r="E299" s="18"/>
      <c r="F299" s="18"/>
      <c r="G299" s="18"/>
      <c r="H299" s="18"/>
      <c r="I299" s="25"/>
      <c r="J299" s="18"/>
      <c r="K299" s="18"/>
      <c r="L299" s="18"/>
      <c r="M299" s="18"/>
      <c r="N299" s="18"/>
      <c r="O299" s="18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>
      <c r="A300" s="1"/>
      <c r="B300" s="1"/>
      <c r="C300" s="18"/>
      <c r="D300" s="47"/>
      <c r="E300" s="18"/>
      <c r="F300" s="18"/>
      <c r="G300" s="18"/>
      <c r="H300" s="18"/>
      <c r="I300" s="25"/>
      <c r="J300" s="18"/>
      <c r="K300" s="18"/>
      <c r="L300" s="18"/>
      <c r="M300" s="18"/>
      <c r="N300" s="18"/>
      <c r="O300" s="18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>
      <c r="A301" s="1"/>
      <c r="B301" s="1"/>
      <c r="C301" s="18"/>
      <c r="D301" s="47"/>
      <c r="E301" s="18"/>
      <c r="F301" s="18"/>
      <c r="G301" s="18"/>
      <c r="H301" s="18"/>
      <c r="I301" s="25"/>
      <c r="J301" s="18"/>
      <c r="K301" s="18"/>
      <c r="L301" s="18"/>
      <c r="M301" s="18"/>
      <c r="N301" s="18"/>
      <c r="O301" s="18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>
      <c r="A302" s="1"/>
      <c r="B302" s="1"/>
      <c r="C302" s="18"/>
      <c r="D302" s="47"/>
      <c r="E302" s="18"/>
      <c r="F302" s="18"/>
      <c r="G302" s="18"/>
      <c r="H302" s="18"/>
      <c r="I302" s="25"/>
      <c r="J302" s="18"/>
      <c r="K302" s="18"/>
      <c r="L302" s="18"/>
      <c r="M302" s="18"/>
      <c r="N302" s="18"/>
      <c r="O302" s="18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>
      <c r="A303" s="1"/>
      <c r="B303" s="1"/>
      <c r="C303" s="18"/>
      <c r="D303" s="47"/>
      <c r="E303" s="18"/>
      <c r="F303" s="18"/>
      <c r="G303" s="18"/>
      <c r="H303" s="18"/>
      <c r="I303" s="25"/>
      <c r="J303" s="18"/>
      <c r="K303" s="18"/>
      <c r="L303" s="18"/>
      <c r="M303" s="18"/>
      <c r="N303" s="18"/>
      <c r="O303" s="18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>
      <c r="A304" s="1"/>
      <c r="B304" s="1"/>
      <c r="C304" s="18"/>
      <c r="D304" s="47"/>
      <c r="E304" s="18"/>
      <c r="F304" s="18"/>
      <c r="G304" s="18"/>
      <c r="H304" s="18"/>
      <c r="I304" s="25"/>
      <c r="J304" s="18"/>
      <c r="K304" s="18"/>
      <c r="L304" s="18"/>
      <c r="M304" s="18"/>
      <c r="N304" s="18"/>
      <c r="O304" s="18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>
      <c r="A305" s="1"/>
      <c r="B305" s="1"/>
      <c r="C305" s="18"/>
      <c r="D305" s="47"/>
      <c r="E305" s="18"/>
      <c r="F305" s="18"/>
      <c r="G305" s="18"/>
      <c r="H305" s="18"/>
      <c r="I305" s="25"/>
      <c r="J305" s="18"/>
      <c r="K305" s="18"/>
      <c r="L305" s="18"/>
      <c r="M305" s="18"/>
      <c r="N305" s="18"/>
      <c r="O305" s="18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>
      <c r="A306" s="1"/>
      <c r="B306" s="1"/>
      <c r="C306" s="18"/>
      <c r="D306" s="47"/>
      <c r="E306" s="18"/>
      <c r="F306" s="18"/>
      <c r="G306" s="18"/>
      <c r="H306" s="18"/>
      <c r="I306" s="25"/>
      <c r="J306" s="18"/>
      <c r="K306" s="18"/>
      <c r="L306" s="18"/>
      <c r="M306" s="18"/>
      <c r="N306" s="18"/>
      <c r="O306" s="18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>
      <c r="A307" s="1"/>
      <c r="B307" s="1"/>
      <c r="C307" s="18"/>
      <c r="D307" s="47"/>
      <c r="E307" s="18"/>
      <c r="F307" s="18"/>
      <c r="G307" s="18"/>
      <c r="H307" s="18"/>
      <c r="I307" s="25"/>
      <c r="J307" s="18"/>
      <c r="K307" s="18"/>
      <c r="L307" s="18"/>
      <c r="M307" s="18"/>
      <c r="N307" s="18"/>
      <c r="O307" s="18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>
      <c r="A308" s="1"/>
      <c r="B308" s="1"/>
      <c r="C308" s="18"/>
      <c r="D308" s="47"/>
      <c r="E308" s="18"/>
      <c r="F308" s="18"/>
      <c r="G308" s="18"/>
      <c r="H308" s="18"/>
      <c r="I308" s="25"/>
      <c r="J308" s="18"/>
      <c r="K308" s="18"/>
      <c r="L308" s="18"/>
      <c r="M308" s="18"/>
      <c r="N308" s="18"/>
      <c r="O308" s="18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>
      <c r="A309" s="1"/>
      <c r="B309" s="1"/>
      <c r="C309" s="18"/>
      <c r="D309" s="47"/>
      <c r="E309" s="18"/>
      <c r="F309" s="18"/>
      <c r="G309" s="18"/>
      <c r="H309" s="18"/>
      <c r="I309" s="25"/>
      <c r="J309" s="18"/>
      <c r="K309" s="18"/>
      <c r="L309" s="18"/>
      <c r="M309" s="18"/>
      <c r="N309" s="18"/>
      <c r="O309" s="18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>
      <c r="A310" s="1"/>
      <c r="B310" s="1"/>
      <c r="C310" s="18"/>
      <c r="D310" s="47"/>
      <c r="E310" s="18"/>
      <c r="F310" s="18"/>
      <c r="G310" s="18"/>
      <c r="H310" s="18"/>
      <c r="I310" s="25"/>
      <c r="J310" s="18"/>
      <c r="K310" s="18"/>
      <c r="L310" s="18"/>
      <c r="M310" s="18"/>
      <c r="N310" s="18"/>
      <c r="O310" s="18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>
      <c r="A311" s="1"/>
      <c r="B311" s="1"/>
      <c r="C311" s="18"/>
      <c r="D311" s="47"/>
      <c r="E311" s="18"/>
      <c r="F311" s="18"/>
      <c r="G311" s="18"/>
      <c r="H311" s="18"/>
      <c r="I311" s="25"/>
      <c r="J311" s="18"/>
      <c r="K311" s="18"/>
      <c r="L311" s="18"/>
      <c r="M311" s="18"/>
      <c r="N311" s="18"/>
      <c r="O311" s="18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>
      <c r="A312" s="1"/>
      <c r="B312" s="1"/>
      <c r="C312" s="18"/>
      <c r="D312" s="47"/>
      <c r="E312" s="18"/>
      <c r="F312" s="18"/>
      <c r="G312" s="18"/>
      <c r="H312" s="18"/>
      <c r="I312" s="25"/>
      <c r="J312" s="18"/>
      <c r="K312" s="18"/>
      <c r="L312" s="18"/>
      <c r="M312" s="18"/>
      <c r="N312" s="18"/>
      <c r="O312" s="18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>
      <c r="A313" s="1"/>
      <c r="B313" s="1"/>
      <c r="C313" s="18"/>
      <c r="D313" s="47"/>
      <c r="E313" s="18"/>
      <c r="F313" s="18"/>
      <c r="G313" s="18"/>
      <c r="H313" s="18"/>
      <c r="I313" s="25"/>
      <c r="J313" s="18"/>
      <c r="K313" s="18"/>
      <c r="L313" s="18"/>
      <c r="M313" s="18"/>
      <c r="N313" s="18"/>
      <c r="O313" s="18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>
      <c r="A314" s="1"/>
      <c r="B314" s="1"/>
      <c r="C314" s="18"/>
      <c r="D314" s="47"/>
      <c r="E314" s="18"/>
      <c r="F314" s="18"/>
      <c r="G314" s="18"/>
      <c r="H314" s="18"/>
      <c r="I314" s="25"/>
      <c r="J314" s="18"/>
      <c r="K314" s="18"/>
      <c r="L314" s="18"/>
      <c r="M314" s="18"/>
      <c r="N314" s="18"/>
      <c r="O314" s="18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>
      <c r="A315" s="1"/>
      <c r="B315" s="1"/>
      <c r="C315" s="18"/>
      <c r="D315" s="47"/>
      <c r="E315" s="18"/>
      <c r="F315" s="18"/>
      <c r="G315" s="18"/>
      <c r="H315" s="18"/>
      <c r="I315" s="25"/>
      <c r="J315" s="18"/>
      <c r="K315" s="18"/>
      <c r="L315" s="18"/>
      <c r="M315" s="18"/>
      <c r="N315" s="18"/>
      <c r="O315" s="18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>
      <c r="A316" s="1"/>
      <c r="B316" s="1"/>
      <c r="C316" s="18"/>
      <c r="D316" s="47"/>
      <c r="E316" s="18"/>
      <c r="F316" s="18"/>
      <c r="G316" s="18"/>
      <c r="H316" s="18"/>
      <c r="I316" s="25"/>
      <c r="J316" s="18"/>
      <c r="K316" s="18"/>
      <c r="L316" s="18"/>
      <c r="M316" s="18"/>
      <c r="N316" s="18"/>
      <c r="O316" s="18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>
      <c r="A317" s="1"/>
      <c r="B317" s="1"/>
      <c r="C317" s="18"/>
      <c r="D317" s="47"/>
      <c r="E317" s="18"/>
      <c r="F317" s="18"/>
      <c r="G317" s="18"/>
      <c r="H317" s="18"/>
      <c r="I317" s="25"/>
      <c r="J317" s="18"/>
      <c r="K317" s="18"/>
      <c r="L317" s="18"/>
      <c r="M317" s="18"/>
      <c r="N317" s="18"/>
      <c r="O317" s="18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>
      <c r="A318" s="1"/>
      <c r="B318" s="1"/>
      <c r="C318" s="18"/>
      <c r="D318" s="47"/>
      <c r="E318" s="18"/>
      <c r="F318" s="18"/>
      <c r="G318" s="18"/>
      <c r="H318" s="18"/>
      <c r="I318" s="25"/>
      <c r="J318" s="18"/>
      <c r="K318" s="18"/>
      <c r="L318" s="18"/>
      <c r="M318" s="18"/>
      <c r="N318" s="18"/>
      <c r="O318" s="18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>
      <c r="A319" s="1"/>
      <c r="B319" s="1"/>
      <c r="C319" s="18"/>
      <c r="D319" s="47"/>
      <c r="E319" s="18"/>
      <c r="F319" s="18"/>
      <c r="G319" s="18"/>
      <c r="H319" s="18"/>
      <c r="I319" s="25"/>
      <c r="J319" s="18"/>
      <c r="K319" s="18"/>
      <c r="L319" s="18"/>
      <c r="M319" s="18"/>
      <c r="N319" s="18"/>
      <c r="O319" s="18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>
      <c r="A320" s="1"/>
      <c r="B320" s="1"/>
      <c r="C320" s="18"/>
      <c r="D320" s="47"/>
      <c r="E320" s="18"/>
      <c r="F320" s="18"/>
      <c r="G320" s="18"/>
      <c r="H320" s="18"/>
      <c r="I320" s="25"/>
      <c r="J320" s="18"/>
      <c r="K320" s="18"/>
      <c r="L320" s="18"/>
      <c r="M320" s="18"/>
      <c r="N320" s="18"/>
      <c r="O320" s="18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>
      <c r="A321" s="1"/>
      <c r="B321" s="1"/>
      <c r="C321" s="18"/>
      <c r="D321" s="47"/>
      <c r="E321" s="18"/>
      <c r="F321" s="18"/>
      <c r="G321" s="18"/>
      <c r="H321" s="18"/>
      <c r="I321" s="25"/>
      <c r="J321" s="18"/>
      <c r="K321" s="18"/>
      <c r="L321" s="18"/>
      <c r="M321" s="18"/>
      <c r="N321" s="18"/>
      <c r="O321" s="18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>
      <c r="A322" s="1"/>
      <c r="B322" s="1"/>
      <c r="C322" s="18"/>
      <c r="D322" s="47"/>
      <c r="E322" s="18"/>
      <c r="F322" s="18"/>
      <c r="G322" s="18"/>
      <c r="H322" s="18"/>
      <c r="I322" s="25"/>
      <c r="J322" s="18"/>
      <c r="K322" s="18"/>
      <c r="L322" s="18"/>
      <c r="M322" s="18"/>
      <c r="N322" s="18"/>
      <c r="O322" s="18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>
      <c r="A323" s="1"/>
      <c r="B323" s="1"/>
      <c r="C323" s="18"/>
      <c r="D323" s="47"/>
      <c r="E323" s="18"/>
      <c r="F323" s="18"/>
      <c r="G323" s="18"/>
      <c r="H323" s="18"/>
      <c r="I323" s="25"/>
      <c r="J323" s="18"/>
      <c r="K323" s="18"/>
      <c r="L323" s="18"/>
      <c r="M323" s="18"/>
      <c r="N323" s="18"/>
      <c r="O323" s="18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>
      <c r="A324" s="1"/>
      <c r="B324" s="1"/>
      <c r="C324" s="18"/>
      <c r="D324" s="47"/>
      <c r="E324" s="18"/>
      <c r="F324" s="18"/>
      <c r="G324" s="18"/>
      <c r="H324" s="18"/>
      <c r="I324" s="25"/>
      <c r="J324" s="18"/>
      <c r="K324" s="18"/>
      <c r="L324" s="18"/>
      <c r="M324" s="18"/>
      <c r="N324" s="18"/>
      <c r="O324" s="18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>
      <c r="A325" s="1"/>
      <c r="B325" s="1"/>
      <c r="C325" s="18"/>
      <c r="D325" s="47"/>
      <c r="E325" s="18"/>
      <c r="F325" s="18"/>
      <c r="G325" s="18"/>
      <c r="H325" s="18"/>
      <c r="I325" s="25"/>
      <c r="J325" s="18"/>
      <c r="K325" s="18"/>
      <c r="L325" s="18"/>
      <c r="M325" s="18"/>
      <c r="N325" s="18"/>
      <c r="O325" s="18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>
      <c r="A326" s="1"/>
      <c r="B326" s="1"/>
      <c r="C326" s="18"/>
      <c r="D326" s="47"/>
      <c r="E326" s="18"/>
      <c r="F326" s="18"/>
      <c r="G326" s="18"/>
      <c r="H326" s="18"/>
      <c r="I326" s="25"/>
      <c r="J326" s="18"/>
      <c r="K326" s="18"/>
      <c r="L326" s="18"/>
      <c r="M326" s="18"/>
      <c r="N326" s="18"/>
      <c r="O326" s="18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>
      <c r="A327" s="1"/>
      <c r="B327" s="1"/>
      <c r="C327" s="18"/>
      <c r="D327" s="47"/>
      <c r="E327" s="18"/>
      <c r="F327" s="18"/>
      <c r="G327" s="18"/>
      <c r="H327" s="18"/>
      <c r="I327" s="25"/>
      <c r="J327" s="18"/>
      <c r="K327" s="18"/>
      <c r="L327" s="18"/>
      <c r="M327" s="18"/>
      <c r="N327" s="18"/>
      <c r="O327" s="18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>
      <c r="A328" s="1"/>
      <c r="B328" s="1"/>
      <c r="C328" s="18"/>
      <c r="D328" s="47"/>
      <c r="E328" s="18"/>
      <c r="F328" s="18"/>
      <c r="G328" s="18"/>
      <c r="H328" s="18"/>
      <c r="I328" s="25"/>
      <c r="J328" s="18"/>
      <c r="K328" s="18"/>
      <c r="L328" s="18"/>
      <c r="M328" s="18"/>
      <c r="N328" s="18"/>
      <c r="O328" s="18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>
      <c r="A329" s="1"/>
      <c r="B329" s="1"/>
      <c r="C329" s="18"/>
      <c r="D329" s="47"/>
      <c r="E329" s="18"/>
      <c r="F329" s="18"/>
      <c r="G329" s="18"/>
      <c r="H329" s="18"/>
      <c r="I329" s="25"/>
      <c r="J329" s="18"/>
      <c r="K329" s="18"/>
      <c r="L329" s="18"/>
      <c r="M329" s="18"/>
      <c r="N329" s="18"/>
      <c r="O329" s="18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>
      <c r="A330" s="1"/>
      <c r="B330" s="1"/>
      <c r="C330" s="18"/>
      <c r="D330" s="47"/>
      <c r="E330" s="18"/>
      <c r="F330" s="18"/>
      <c r="G330" s="18"/>
      <c r="H330" s="18"/>
      <c r="I330" s="25"/>
      <c r="J330" s="18"/>
      <c r="K330" s="18"/>
      <c r="L330" s="18"/>
      <c r="M330" s="18"/>
      <c r="N330" s="18"/>
      <c r="O330" s="18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>
      <c r="A331" s="1"/>
      <c r="B331" s="1"/>
      <c r="C331" s="18"/>
      <c r="D331" s="47"/>
      <c r="E331" s="18"/>
      <c r="F331" s="18"/>
      <c r="G331" s="18"/>
      <c r="H331" s="18"/>
      <c r="I331" s="25"/>
      <c r="J331" s="18"/>
      <c r="K331" s="18"/>
      <c r="L331" s="18"/>
      <c r="M331" s="18"/>
      <c r="N331" s="18"/>
      <c r="O331" s="18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>
      <c r="A332" s="1"/>
      <c r="B332" s="1"/>
      <c r="C332" s="18"/>
      <c r="D332" s="47"/>
      <c r="E332" s="18"/>
      <c r="F332" s="18"/>
      <c r="G332" s="18"/>
      <c r="H332" s="18"/>
      <c r="I332" s="25"/>
      <c r="J332" s="18"/>
      <c r="K332" s="18"/>
      <c r="L332" s="18"/>
      <c r="M332" s="18"/>
      <c r="N332" s="18"/>
      <c r="O332" s="18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>
      <c r="A333" s="1"/>
      <c r="B333" s="1"/>
      <c r="C333" s="18"/>
      <c r="D333" s="47"/>
      <c r="E333" s="18"/>
      <c r="F333" s="18"/>
      <c r="G333" s="18"/>
      <c r="H333" s="18"/>
      <c r="I333" s="25"/>
      <c r="J333" s="18"/>
      <c r="K333" s="18"/>
      <c r="L333" s="18"/>
      <c r="M333" s="18"/>
      <c r="N333" s="18"/>
      <c r="O333" s="18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>
      <c r="A334" s="1"/>
      <c r="B334" s="1"/>
      <c r="C334" s="18"/>
      <c r="D334" s="47"/>
      <c r="E334" s="18"/>
      <c r="F334" s="18"/>
      <c r="G334" s="18"/>
      <c r="H334" s="18"/>
      <c r="I334" s="25"/>
      <c r="J334" s="18"/>
      <c r="K334" s="18"/>
      <c r="L334" s="18"/>
      <c r="M334" s="18"/>
      <c r="N334" s="18"/>
      <c r="O334" s="18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>
      <c r="A335" s="1"/>
      <c r="B335" s="1"/>
      <c r="C335" s="18"/>
      <c r="D335" s="47"/>
      <c r="E335" s="18"/>
      <c r="F335" s="18"/>
      <c r="G335" s="18"/>
      <c r="H335" s="18"/>
      <c r="I335" s="25"/>
      <c r="J335" s="18"/>
      <c r="K335" s="18"/>
      <c r="L335" s="18"/>
      <c r="M335" s="18"/>
      <c r="N335" s="18"/>
      <c r="O335" s="18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>
      <c r="A336" s="1"/>
      <c r="B336" s="1"/>
      <c r="C336" s="18"/>
      <c r="D336" s="47"/>
      <c r="E336" s="18"/>
      <c r="F336" s="18"/>
      <c r="G336" s="18"/>
      <c r="H336" s="18"/>
      <c r="I336" s="25"/>
      <c r="J336" s="18"/>
      <c r="K336" s="18"/>
      <c r="L336" s="18"/>
      <c r="M336" s="18"/>
      <c r="N336" s="18"/>
      <c r="O336" s="18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>
      <c r="A337" s="1"/>
      <c r="B337" s="1"/>
      <c r="C337" s="18"/>
      <c r="D337" s="47"/>
      <c r="E337" s="18"/>
      <c r="F337" s="18"/>
      <c r="G337" s="18"/>
      <c r="H337" s="18"/>
      <c r="I337" s="25"/>
      <c r="J337" s="18"/>
      <c r="K337" s="18"/>
      <c r="L337" s="18"/>
      <c r="M337" s="18"/>
      <c r="N337" s="18"/>
      <c r="O337" s="18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>
      <c r="A338" s="1"/>
      <c r="B338" s="1"/>
      <c r="C338" s="18"/>
      <c r="D338" s="47"/>
      <c r="E338" s="18"/>
      <c r="F338" s="18"/>
      <c r="G338" s="18"/>
      <c r="H338" s="18"/>
      <c r="I338" s="25"/>
      <c r="J338" s="18"/>
      <c r="K338" s="18"/>
      <c r="L338" s="18"/>
      <c r="M338" s="18"/>
      <c r="N338" s="18"/>
      <c r="O338" s="18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>
      <c r="A339" s="1"/>
      <c r="B339" s="1"/>
      <c r="C339" s="18"/>
      <c r="D339" s="47"/>
      <c r="E339" s="18"/>
      <c r="F339" s="18"/>
      <c r="G339" s="18"/>
      <c r="H339" s="18"/>
      <c r="I339" s="25"/>
      <c r="J339" s="18"/>
      <c r="K339" s="18"/>
      <c r="L339" s="18"/>
      <c r="M339" s="18"/>
      <c r="N339" s="18"/>
      <c r="O339" s="18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>
      <c r="A340" s="1"/>
      <c r="B340" s="1"/>
      <c r="C340" s="18"/>
      <c r="D340" s="47"/>
      <c r="E340" s="18"/>
      <c r="F340" s="18"/>
      <c r="G340" s="18"/>
      <c r="H340" s="18"/>
      <c r="I340" s="25"/>
      <c r="J340" s="18"/>
      <c r="K340" s="18"/>
      <c r="L340" s="18"/>
      <c r="M340" s="18"/>
      <c r="N340" s="18"/>
      <c r="O340" s="18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>
      <c r="A341" s="1"/>
      <c r="B341" s="1"/>
      <c r="C341" s="18"/>
      <c r="D341" s="47"/>
      <c r="E341" s="18"/>
      <c r="F341" s="18"/>
      <c r="G341" s="18"/>
      <c r="H341" s="18"/>
      <c r="I341" s="25"/>
      <c r="J341" s="18"/>
      <c r="K341" s="18"/>
      <c r="L341" s="18"/>
      <c r="M341" s="18"/>
      <c r="N341" s="18"/>
      <c r="O341" s="18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>
      <c r="A342" s="1"/>
      <c r="B342" s="1"/>
      <c r="C342" s="18"/>
      <c r="D342" s="47"/>
      <c r="E342" s="18"/>
      <c r="F342" s="18"/>
      <c r="G342" s="18"/>
      <c r="H342" s="18"/>
      <c r="I342" s="25"/>
      <c r="J342" s="18"/>
      <c r="K342" s="18"/>
      <c r="L342" s="18"/>
      <c r="M342" s="18"/>
      <c r="N342" s="18"/>
      <c r="O342" s="18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>
      <c r="A343" s="1"/>
      <c r="B343" s="1"/>
      <c r="C343" s="18"/>
      <c r="D343" s="47"/>
      <c r="E343" s="18"/>
      <c r="F343" s="18"/>
      <c r="G343" s="18"/>
      <c r="H343" s="18"/>
      <c r="I343" s="25"/>
      <c r="J343" s="18"/>
      <c r="K343" s="18"/>
      <c r="L343" s="18"/>
      <c r="M343" s="18"/>
      <c r="N343" s="18"/>
      <c r="O343" s="18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>
      <c r="A344" s="1"/>
      <c r="B344" s="1"/>
      <c r="C344" s="18"/>
      <c r="D344" s="47"/>
      <c r="E344" s="18"/>
      <c r="F344" s="18"/>
      <c r="G344" s="18"/>
      <c r="H344" s="18"/>
      <c r="I344" s="25"/>
      <c r="J344" s="18"/>
      <c r="K344" s="18"/>
      <c r="L344" s="18"/>
      <c r="M344" s="18"/>
      <c r="N344" s="18"/>
      <c r="O344" s="18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>
      <c r="A345" s="1"/>
      <c r="B345" s="1"/>
      <c r="C345" s="18"/>
      <c r="D345" s="47"/>
      <c r="E345" s="18"/>
      <c r="F345" s="18"/>
      <c r="G345" s="18"/>
      <c r="H345" s="18"/>
      <c r="I345" s="25"/>
      <c r="J345" s="18"/>
      <c r="K345" s="18"/>
      <c r="L345" s="18"/>
      <c r="M345" s="18"/>
      <c r="N345" s="18"/>
      <c r="O345" s="18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>
      <c r="A346" s="1"/>
      <c r="B346" s="1"/>
      <c r="C346" s="18"/>
      <c r="D346" s="47"/>
      <c r="E346" s="18"/>
      <c r="F346" s="18"/>
      <c r="G346" s="18"/>
      <c r="H346" s="18"/>
      <c r="I346" s="25"/>
      <c r="J346" s="18"/>
      <c r="K346" s="18"/>
      <c r="L346" s="18"/>
      <c r="M346" s="18"/>
      <c r="N346" s="18"/>
      <c r="O346" s="18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>
      <c r="A347" s="1"/>
      <c r="B347" s="1"/>
      <c r="C347" s="18"/>
      <c r="D347" s="47"/>
      <c r="E347" s="18"/>
      <c r="F347" s="18"/>
      <c r="G347" s="18"/>
      <c r="H347" s="18"/>
      <c r="I347" s="25"/>
      <c r="J347" s="18"/>
      <c r="K347" s="18"/>
      <c r="L347" s="18"/>
      <c r="M347" s="18"/>
      <c r="N347" s="18"/>
      <c r="O347" s="18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>
      <c r="A348" s="1"/>
      <c r="B348" s="1"/>
      <c r="C348" s="18"/>
      <c r="D348" s="47"/>
      <c r="E348" s="18"/>
      <c r="F348" s="18"/>
      <c r="G348" s="18"/>
      <c r="H348" s="18"/>
      <c r="I348" s="25"/>
      <c r="J348" s="18"/>
      <c r="K348" s="18"/>
      <c r="L348" s="18"/>
      <c r="M348" s="18"/>
      <c r="N348" s="18"/>
      <c r="O348" s="18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>
      <c r="A349" s="1"/>
      <c r="B349" s="1"/>
      <c r="C349" s="18"/>
      <c r="D349" s="47"/>
      <c r="E349" s="18"/>
      <c r="F349" s="18"/>
      <c r="G349" s="18"/>
      <c r="H349" s="18"/>
      <c r="I349" s="25"/>
      <c r="J349" s="18"/>
      <c r="K349" s="18"/>
      <c r="L349" s="18"/>
      <c r="M349" s="18"/>
      <c r="N349" s="18"/>
      <c r="O349" s="18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>
      <c r="A350" s="1"/>
      <c r="B350" s="1"/>
      <c r="C350" s="18"/>
      <c r="D350" s="47"/>
      <c r="E350" s="18"/>
      <c r="F350" s="18"/>
      <c r="G350" s="18"/>
      <c r="H350" s="18"/>
      <c r="I350" s="25"/>
      <c r="J350" s="18"/>
      <c r="K350" s="18"/>
      <c r="L350" s="18"/>
      <c r="M350" s="18"/>
      <c r="N350" s="18"/>
      <c r="O350" s="18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>
      <c r="A351" s="1"/>
      <c r="B351" s="1"/>
      <c r="C351" s="18"/>
      <c r="D351" s="47"/>
      <c r="E351" s="18"/>
      <c r="F351" s="18"/>
      <c r="G351" s="18"/>
      <c r="H351" s="18"/>
      <c r="I351" s="25"/>
      <c r="J351" s="18"/>
      <c r="K351" s="18"/>
      <c r="L351" s="18"/>
      <c r="M351" s="18"/>
      <c r="N351" s="18"/>
      <c r="O351" s="18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>
      <c r="A352" s="1"/>
      <c r="B352" s="1"/>
      <c r="C352" s="18"/>
      <c r="D352" s="47"/>
      <c r="E352" s="18"/>
      <c r="F352" s="18"/>
      <c r="G352" s="18"/>
      <c r="H352" s="18"/>
      <c r="I352" s="25"/>
      <c r="J352" s="18"/>
      <c r="K352" s="18"/>
      <c r="L352" s="18"/>
      <c r="M352" s="18"/>
      <c r="N352" s="18"/>
      <c r="O352" s="18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>
      <c r="A353" s="1"/>
      <c r="B353" s="1"/>
      <c r="C353" s="18"/>
      <c r="D353" s="47"/>
      <c r="E353" s="18"/>
      <c r="F353" s="18"/>
      <c r="G353" s="18"/>
      <c r="H353" s="18"/>
      <c r="I353" s="25"/>
      <c r="J353" s="18"/>
      <c r="K353" s="18"/>
      <c r="L353" s="18"/>
      <c r="M353" s="18"/>
      <c r="N353" s="18"/>
      <c r="O353" s="18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>
      <c r="A354" s="1"/>
      <c r="B354" s="1"/>
      <c r="C354" s="18"/>
      <c r="D354" s="47"/>
      <c r="E354" s="18"/>
      <c r="F354" s="18"/>
      <c r="G354" s="18"/>
      <c r="H354" s="18"/>
      <c r="I354" s="25"/>
      <c r="J354" s="18"/>
      <c r="K354" s="18"/>
      <c r="L354" s="18"/>
      <c r="M354" s="18"/>
      <c r="N354" s="18"/>
      <c r="O354" s="18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>
      <c r="A355" s="1"/>
      <c r="B355" s="1"/>
      <c r="C355" s="18"/>
      <c r="D355" s="47"/>
      <c r="E355" s="18"/>
      <c r="F355" s="18"/>
      <c r="G355" s="18"/>
      <c r="H355" s="18"/>
      <c r="I355" s="25"/>
      <c r="J355" s="18"/>
      <c r="K355" s="18"/>
      <c r="L355" s="18"/>
      <c r="M355" s="18"/>
      <c r="N355" s="18"/>
      <c r="O355" s="18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>
      <c r="A356" s="1"/>
      <c r="B356" s="1"/>
      <c r="C356" s="18"/>
      <c r="D356" s="47"/>
      <c r="E356" s="18"/>
      <c r="F356" s="18"/>
      <c r="G356" s="18"/>
      <c r="H356" s="18"/>
      <c r="I356" s="25"/>
      <c r="J356" s="18"/>
      <c r="K356" s="18"/>
      <c r="L356" s="18"/>
      <c r="M356" s="18"/>
      <c r="N356" s="18"/>
      <c r="O356" s="18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>
      <c r="A357" s="1"/>
      <c r="B357" s="1"/>
      <c r="C357" s="18"/>
      <c r="D357" s="47"/>
      <c r="E357" s="18"/>
      <c r="F357" s="18"/>
      <c r="G357" s="18"/>
      <c r="H357" s="18"/>
      <c r="I357" s="25"/>
      <c r="J357" s="18"/>
      <c r="K357" s="18"/>
      <c r="L357" s="18"/>
      <c r="M357" s="18"/>
      <c r="N357" s="18"/>
      <c r="O357" s="18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>
      <c r="A358" s="1"/>
      <c r="B358" s="1"/>
      <c r="C358" s="18"/>
      <c r="D358" s="47"/>
      <c r="E358" s="18"/>
      <c r="F358" s="18"/>
      <c r="G358" s="18"/>
      <c r="H358" s="18"/>
      <c r="I358" s="25"/>
      <c r="J358" s="18"/>
      <c r="K358" s="18"/>
      <c r="L358" s="18"/>
      <c r="M358" s="18"/>
      <c r="N358" s="18"/>
      <c r="O358" s="18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>
      <c r="A359" s="1"/>
      <c r="B359" s="1"/>
      <c r="C359" s="18"/>
      <c r="D359" s="47"/>
      <c r="E359" s="18"/>
      <c r="F359" s="18"/>
      <c r="G359" s="18"/>
      <c r="H359" s="18"/>
      <c r="I359" s="25"/>
      <c r="J359" s="18"/>
      <c r="K359" s="18"/>
      <c r="L359" s="18"/>
      <c r="M359" s="18"/>
      <c r="N359" s="18"/>
      <c r="O359" s="18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>
      <c r="A360" s="1"/>
      <c r="B360" s="1"/>
      <c r="C360" s="18"/>
      <c r="D360" s="47"/>
      <c r="E360" s="18"/>
      <c r="F360" s="18"/>
      <c r="G360" s="18"/>
      <c r="H360" s="18"/>
      <c r="I360" s="25"/>
      <c r="J360" s="18"/>
      <c r="K360" s="18"/>
      <c r="L360" s="18"/>
      <c r="M360" s="18"/>
      <c r="N360" s="18"/>
      <c r="O360" s="18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>
      <c r="A361" s="1"/>
      <c r="B361" s="1"/>
      <c r="C361" s="18"/>
      <c r="D361" s="47"/>
      <c r="E361" s="18"/>
      <c r="F361" s="18"/>
      <c r="G361" s="18"/>
      <c r="H361" s="18"/>
      <c r="I361" s="25"/>
      <c r="J361" s="18"/>
      <c r="K361" s="18"/>
      <c r="L361" s="18"/>
      <c r="M361" s="18"/>
      <c r="N361" s="18"/>
      <c r="O361" s="18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>
      <c r="A362" s="1"/>
      <c r="B362" s="1"/>
      <c r="C362" s="18"/>
      <c r="D362" s="47"/>
      <c r="E362" s="18"/>
      <c r="F362" s="18"/>
      <c r="G362" s="18"/>
      <c r="H362" s="18"/>
      <c r="I362" s="25"/>
      <c r="J362" s="18"/>
      <c r="K362" s="18"/>
      <c r="L362" s="18"/>
      <c r="M362" s="18"/>
      <c r="N362" s="18"/>
      <c r="O362" s="18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>
      <c r="A363" s="1"/>
      <c r="B363" s="1"/>
      <c r="C363" s="18"/>
      <c r="D363" s="47"/>
      <c r="E363" s="18"/>
      <c r="F363" s="18"/>
      <c r="G363" s="18"/>
      <c r="H363" s="18"/>
      <c r="I363" s="25"/>
      <c r="J363" s="18"/>
      <c r="K363" s="18"/>
      <c r="L363" s="18"/>
      <c r="M363" s="18"/>
      <c r="N363" s="18"/>
      <c r="O363" s="18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>
      <c r="A364" s="1"/>
      <c r="B364" s="1"/>
      <c r="C364" s="18"/>
      <c r="D364" s="47"/>
      <c r="E364" s="18"/>
      <c r="F364" s="18"/>
      <c r="G364" s="18"/>
      <c r="H364" s="18"/>
      <c r="I364" s="25"/>
      <c r="J364" s="18"/>
      <c r="K364" s="18"/>
      <c r="L364" s="18"/>
      <c r="M364" s="18"/>
      <c r="N364" s="18"/>
      <c r="O364" s="18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>
      <c r="A365" s="1"/>
      <c r="B365" s="1"/>
      <c r="C365" s="18"/>
      <c r="D365" s="47"/>
      <c r="E365" s="18"/>
      <c r="F365" s="18"/>
      <c r="G365" s="18"/>
      <c r="H365" s="18"/>
      <c r="I365" s="25"/>
      <c r="J365" s="18"/>
      <c r="K365" s="18"/>
      <c r="L365" s="18"/>
      <c r="M365" s="18"/>
      <c r="N365" s="18"/>
      <c r="O365" s="18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>
      <c r="A366" s="1"/>
      <c r="B366" s="1"/>
      <c r="C366" s="18"/>
      <c r="D366" s="47"/>
      <c r="E366" s="18"/>
      <c r="F366" s="18"/>
      <c r="G366" s="18"/>
      <c r="H366" s="18"/>
      <c r="I366" s="25"/>
      <c r="J366" s="18"/>
      <c r="K366" s="18"/>
      <c r="L366" s="18"/>
      <c r="M366" s="18"/>
      <c r="N366" s="18"/>
      <c r="O366" s="18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>
      <c r="A367" s="1"/>
      <c r="B367" s="1"/>
      <c r="C367" s="18"/>
      <c r="D367" s="47"/>
      <c r="E367" s="18"/>
      <c r="F367" s="18"/>
      <c r="G367" s="18"/>
      <c r="H367" s="18"/>
      <c r="I367" s="25"/>
      <c r="J367" s="18"/>
      <c r="K367" s="18"/>
      <c r="L367" s="18"/>
      <c r="M367" s="18"/>
      <c r="N367" s="18"/>
      <c r="O367" s="18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>
      <c r="A368" s="1"/>
      <c r="B368" s="1"/>
      <c r="C368" s="18"/>
      <c r="D368" s="47"/>
      <c r="E368" s="18"/>
      <c r="F368" s="18"/>
      <c r="G368" s="18"/>
      <c r="H368" s="18"/>
      <c r="I368" s="25"/>
      <c r="J368" s="18"/>
      <c r="K368" s="18"/>
      <c r="L368" s="18"/>
      <c r="M368" s="18"/>
      <c r="N368" s="18"/>
      <c r="O368" s="18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>
      <c r="A369" s="1"/>
      <c r="B369" s="1"/>
      <c r="C369" s="18"/>
      <c r="D369" s="47"/>
      <c r="E369" s="18"/>
      <c r="F369" s="18"/>
      <c r="G369" s="18"/>
      <c r="H369" s="18"/>
      <c r="I369" s="25"/>
      <c r="J369" s="18"/>
      <c r="K369" s="18"/>
      <c r="L369" s="18"/>
      <c r="M369" s="18"/>
      <c r="N369" s="18"/>
      <c r="O369" s="18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>
      <c r="A370" s="1"/>
      <c r="B370" s="1"/>
      <c r="C370" s="18"/>
      <c r="D370" s="47"/>
      <c r="E370" s="18"/>
      <c r="F370" s="18"/>
      <c r="G370" s="18"/>
      <c r="H370" s="18"/>
      <c r="I370" s="25"/>
      <c r="J370" s="18"/>
      <c r="K370" s="18"/>
      <c r="L370" s="18"/>
      <c r="M370" s="18"/>
      <c r="N370" s="18"/>
      <c r="O370" s="18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>
      <c r="A371" s="1"/>
      <c r="B371" s="1"/>
      <c r="C371" s="18"/>
      <c r="D371" s="47"/>
      <c r="E371" s="18"/>
      <c r="F371" s="18"/>
      <c r="G371" s="18"/>
      <c r="H371" s="18"/>
      <c r="I371" s="25"/>
      <c r="J371" s="18"/>
      <c r="K371" s="18"/>
      <c r="L371" s="18"/>
      <c r="M371" s="18"/>
      <c r="N371" s="18"/>
      <c r="O371" s="18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>
      <c r="A372" s="1"/>
      <c r="B372" s="1"/>
      <c r="C372" s="18"/>
      <c r="D372" s="47"/>
      <c r="E372" s="18"/>
      <c r="F372" s="18"/>
      <c r="G372" s="18"/>
      <c r="H372" s="18"/>
      <c r="I372" s="25"/>
      <c r="J372" s="18"/>
      <c r="K372" s="18"/>
      <c r="L372" s="18"/>
      <c r="M372" s="18"/>
      <c r="N372" s="18"/>
      <c r="O372" s="18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>
      <c r="A373" s="1"/>
      <c r="B373" s="1"/>
      <c r="C373" s="18"/>
      <c r="D373" s="47"/>
      <c r="E373" s="18"/>
      <c r="F373" s="18"/>
      <c r="G373" s="18"/>
      <c r="H373" s="18"/>
      <c r="I373" s="25"/>
      <c r="J373" s="18"/>
      <c r="K373" s="18"/>
      <c r="L373" s="18"/>
      <c r="M373" s="18"/>
      <c r="N373" s="18"/>
      <c r="O373" s="18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>
      <c r="A374" s="1"/>
      <c r="B374" s="1"/>
      <c r="C374" s="18"/>
      <c r="D374" s="47"/>
      <c r="E374" s="18"/>
      <c r="F374" s="18"/>
      <c r="G374" s="18"/>
      <c r="H374" s="18"/>
      <c r="I374" s="25"/>
      <c r="J374" s="18"/>
      <c r="K374" s="18"/>
      <c r="L374" s="18"/>
      <c r="M374" s="18"/>
      <c r="N374" s="18"/>
      <c r="O374" s="18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>
      <c r="A375" s="1"/>
      <c r="B375" s="1"/>
      <c r="C375" s="18"/>
      <c r="D375" s="47"/>
      <c r="E375" s="18"/>
      <c r="F375" s="18"/>
      <c r="G375" s="18"/>
      <c r="H375" s="18"/>
      <c r="I375" s="25"/>
      <c r="J375" s="18"/>
      <c r="K375" s="18"/>
      <c r="L375" s="18"/>
      <c r="M375" s="18"/>
      <c r="N375" s="18"/>
      <c r="O375" s="18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>
      <c r="A376" s="1"/>
      <c r="B376" s="1"/>
      <c r="C376" s="18"/>
      <c r="D376" s="47"/>
      <c r="E376" s="18"/>
      <c r="F376" s="18"/>
      <c r="G376" s="18"/>
      <c r="H376" s="18"/>
      <c r="I376" s="25"/>
      <c r="J376" s="18"/>
      <c r="K376" s="18"/>
      <c r="L376" s="18"/>
      <c r="M376" s="18"/>
      <c r="N376" s="18"/>
      <c r="O376" s="18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>
      <c r="A377" s="1"/>
      <c r="B377" s="1"/>
      <c r="C377" s="18"/>
      <c r="D377" s="47"/>
      <c r="E377" s="18"/>
      <c r="F377" s="18"/>
      <c r="G377" s="18"/>
      <c r="H377" s="18"/>
      <c r="I377" s="25"/>
      <c r="J377" s="18"/>
      <c r="K377" s="18"/>
      <c r="L377" s="18"/>
      <c r="M377" s="18"/>
      <c r="N377" s="18"/>
      <c r="O377" s="18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>
      <c r="A378" s="1"/>
      <c r="B378" s="1"/>
      <c r="C378" s="18"/>
      <c r="D378" s="47"/>
      <c r="E378" s="18"/>
      <c r="F378" s="18"/>
      <c r="G378" s="18"/>
      <c r="H378" s="18"/>
      <c r="I378" s="25"/>
      <c r="J378" s="18"/>
      <c r="K378" s="18"/>
      <c r="L378" s="18"/>
      <c r="M378" s="18"/>
      <c r="N378" s="18"/>
      <c r="O378" s="18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>
      <c r="A379" s="1"/>
      <c r="B379" s="1"/>
      <c r="C379" s="18"/>
      <c r="D379" s="47"/>
      <c r="E379" s="18"/>
      <c r="F379" s="18"/>
      <c r="G379" s="18"/>
      <c r="H379" s="18"/>
      <c r="I379" s="25"/>
      <c r="J379" s="18"/>
      <c r="K379" s="18"/>
      <c r="L379" s="18"/>
      <c r="M379" s="18"/>
      <c r="N379" s="18"/>
      <c r="O379" s="18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>
      <c r="A380" s="1"/>
      <c r="B380" s="1"/>
      <c r="C380" s="18"/>
      <c r="D380" s="47"/>
      <c r="E380" s="18"/>
      <c r="F380" s="18"/>
      <c r="G380" s="18"/>
      <c r="H380" s="18"/>
      <c r="I380" s="25"/>
      <c r="J380" s="18"/>
      <c r="K380" s="18"/>
      <c r="L380" s="18"/>
      <c r="M380" s="18"/>
      <c r="N380" s="18"/>
      <c r="O380" s="18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>
      <c r="A381" s="1"/>
      <c r="B381" s="1"/>
      <c r="C381" s="18"/>
      <c r="D381" s="47"/>
      <c r="E381" s="18"/>
      <c r="F381" s="18"/>
      <c r="G381" s="18"/>
      <c r="H381" s="18"/>
      <c r="I381" s="25"/>
      <c r="J381" s="18"/>
      <c r="K381" s="18"/>
      <c r="L381" s="18"/>
      <c r="M381" s="18"/>
      <c r="N381" s="18"/>
      <c r="O381" s="18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>
      <c r="A382" s="1"/>
      <c r="B382" s="1"/>
      <c r="C382" s="18"/>
      <c r="D382" s="47"/>
      <c r="E382" s="18"/>
      <c r="F382" s="18"/>
      <c r="G382" s="18"/>
      <c r="H382" s="18"/>
      <c r="I382" s="25"/>
      <c r="J382" s="18"/>
      <c r="K382" s="18"/>
      <c r="L382" s="18"/>
      <c r="M382" s="18"/>
      <c r="N382" s="18"/>
      <c r="O382" s="18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>
      <c r="A383" s="1"/>
      <c r="B383" s="1"/>
      <c r="C383" s="18"/>
      <c r="D383" s="47"/>
      <c r="E383" s="18"/>
      <c r="F383" s="18"/>
      <c r="G383" s="18"/>
      <c r="H383" s="18"/>
      <c r="I383" s="25"/>
      <c r="J383" s="18"/>
      <c r="K383" s="18"/>
      <c r="L383" s="18"/>
      <c r="M383" s="18"/>
      <c r="N383" s="18"/>
      <c r="O383" s="18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>
      <c r="A384" s="1"/>
      <c r="B384" s="1"/>
      <c r="C384" s="18"/>
      <c r="D384" s="47"/>
      <c r="E384" s="18"/>
      <c r="F384" s="18"/>
      <c r="G384" s="18"/>
      <c r="H384" s="18"/>
      <c r="I384" s="25"/>
      <c r="J384" s="18"/>
      <c r="K384" s="18"/>
      <c r="L384" s="18"/>
      <c r="M384" s="18"/>
      <c r="N384" s="18"/>
      <c r="O384" s="18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>
      <c r="A385" s="1"/>
      <c r="B385" s="1"/>
      <c r="C385" s="18"/>
      <c r="D385" s="47"/>
      <c r="E385" s="18"/>
      <c r="F385" s="18"/>
      <c r="G385" s="18"/>
      <c r="H385" s="18"/>
      <c r="I385" s="25"/>
      <c r="J385" s="18"/>
      <c r="K385" s="18"/>
      <c r="L385" s="18"/>
      <c r="M385" s="18"/>
      <c r="N385" s="18"/>
      <c r="O385" s="18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>
      <c r="A386" s="1"/>
      <c r="B386" s="1"/>
      <c r="C386" s="18"/>
      <c r="D386" s="47"/>
      <c r="E386" s="18"/>
      <c r="F386" s="18"/>
      <c r="G386" s="18"/>
      <c r="H386" s="18"/>
      <c r="I386" s="25"/>
      <c r="J386" s="18"/>
      <c r="K386" s="18"/>
      <c r="L386" s="18"/>
      <c r="M386" s="18"/>
      <c r="N386" s="18"/>
      <c r="O386" s="18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>
      <c r="A387" s="1"/>
      <c r="B387" s="1"/>
      <c r="C387" s="18"/>
      <c r="D387" s="47"/>
      <c r="E387" s="18"/>
      <c r="F387" s="18"/>
      <c r="G387" s="18"/>
      <c r="H387" s="18"/>
      <c r="I387" s="25"/>
      <c r="J387" s="18"/>
      <c r="K387" s="18"/>
      <c r="L387" s="18"/>
      <c r="M387" s="18"/>
      <c r="N387" s="18"/>
      <c r="O387" s="18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>
      <c r="A388" s="1"/>
      <c r="B388" s="1"/>
      <c r="C388" s="18"/>
      <c r="D388" s="47"/>
      <c r="E388" s="18"/>
      <c r="F388" s="18"/>
      <c r="G388" s="18"/>
      <c r="H388" s="18"/>
      <c r="I388" s="25"/>
      <c r="J388" s="18"/>
      <c r="K388" s="18"/>
      <c r="L388" s="18"/>
      <c r="M388" s="18"/>
      <c r="N388" s="18"/>
      <c r="O388" s="18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>
      <c r="A389" s="1"/>
      <c r="B389" s="1"/>
      <c r="C389" s="18"/>
      <c r="D389" s="47"/>
      <c r="E389" s="18"/>
      <c r="F389" s="18"/>
      <c r="G389" s="18"/>
      <c r="H389" s="18"/>
      <c r="I389" s="25"/>
      <c r="J389" s="18"/>
      <c r="K389" s="18"/>
      <c r="L389" s="18"/>
      <c r="M389" s="18"/>
      <c r="N389" s="18"/>
      <c r="O389" s="18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>
      <c r="A390" s="1"/>
      <c r="B390" s="1"/>
      <c r="C390" s="18"/>
      <c r="D390" s="47"/>
      <c r="E390" s="18"/>
      <c r="F390" s="18"/>
      <c r="G390" s="18"/>
      <c r="H390" s="18"/>
      <c r="I390" s="25"/>
      <c r="J390" s="18"/>
      <c r="K390" s="18"/>
      <c r="L390" s="18"/>
      <c r="M390" s="18"/>
      <c r="N390" s="18"/>
      <c r="O390" s="18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>
      <c r="A391" s="1"/>
      <c r="B391" s="1"/>
      <c r="C391" s="18"/>
      <c r="D391" s="47"/>
      <c r="E391" s="18"/>
      <c r="F391" s="18"/>
      <c r="G391" s="18"/>
      <c r="H391" s="18"/>
      <c r="I391" s="25"/>
      <c r="J391" s="18"/>
      <c r="K391" s="18"/>
      <c r="L391" s="18"/>
      <c r="M391" s="18"/>
      <c r="N391" s="18"/>
      <c r="O391" s="18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>
      <c r="A392" s="1"/>
      <c r="B392" s="1"/>
      <c r="C392" s="18"/>
      <c r="D392" s="47"/>
      <c r="E392" s="18"/>
      <c r="F392" s="18"/>
      <c r="G392" s="18"/>
      <c r="H392" s="18"/>
      <c r="I392" s="25"/>
      <c r="J392" s="18"/>
      <c r="K392" s="18"/>
      <c r="L392" s="18"/>
      <c r="M392" s="18"/>
      <c r="N392" s="18"/>
      <c r="O392" s="18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>
      <c r="A393" s="1"/>
      <c r="B393" s="1"/>
      <c r="C393" s="18"/>
      <c r="D393" s="47"/>
      <c r="E393" s="18"/>
      <c r="F393" s="18"/>
      <c r="G393" s="18"/>
      <c r="H393" s="18"/>
      <c r="I393" s="25"/>
      <c r="J393" s="18"/>
      <c r="K393" s="18"/>
      <c r="L393" s="18"/>
      <c r="M393" s="18"/>
      <c r="N393" s="18"/>
      <c r="O393" s="18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>
      <c r="A394" s="1"/>
      <c r="B394" s="1"/>
      <c r="C394" s="18"/>
      <c r="D394" s="47"/>
      <c r="E394" s="18"/>
      <c r="F394" s="18"/>
      <c r="G394" s="18"/>
      <c r="H394" s="18"/>
      <c r="I394" s="25"/>
      <c r="J394" s="18"/>
      <c r="K394" s="18"/>
      <c r="L394" s="18"/>
      <c r="M394" s="18"/>
      <c r="N394" s="18"/>
      <c r="O394" s="18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>
      <c r="A395" s="1"/>
      <c r="B395" s="1"/>
      <c r="C395" s="18"/>
      <c r="D395" s="47"/>
      <c r="E395" s="18"/>
      <c r="F395" s="18"/>
      <c r="G395" s="18"/>
      <c r="H395" s="18"/>
      <c r="I395" s="25"/>
      <c r="J395" s="18"/>
      <c r="K395" s="18"/>
      <c r="L395" s="18"/>
      <c r="M395" s="18"/>
      <c r="N395" s="18"/>
      <c r="O395" s="18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>
      <c r="A396" s="1"/>
      <c r="B396" s="1"/>
      <c r="C396" s="18"/>
      <c r="D396" s="47"/>
      <c r="E396" s="18"/>
      <c r="F396" s="18"/>
      <c r="G396" s="18"/>
      <c r="H396" s="18"/>
      <c r="I396" s="25"/>
      <c r="J396" s="18"/>
      <c r="K396" s="18"/>
      <c r="L396" s="18"/>
      <c r="M396" s="18"/>
      <c r="N396" s="18"/>
      <c r="O396" s="18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>
      <c r="A397" s="1"/>
      <c r="B397" s="1"/>
      <c r="C397" s="18"/>
      <c r="D397" s="47"/>
      <c r="E397" s="18"/>
      <c r="F397" s="18"/>
      <c r="G397" s="18"/>
      <c r="H397" s="18"/>
      <c r="I397" s="25"/>
      <c r="J397" s="18"/>
      <c r="K397" s="18"/>
      <c r="L397" s="18"/>
      <c r="M397" s="18"/>
      <c r="N397" s="18"/>
      <c r="O397" s="18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>
      <c r="A398" s="1"/>
      <c r="B398" s="1"/>
      <c r="C398" s="18"/>
      <c r="D398" s="47"/>
      <c r="E398" s="18"/>
      <c r="F398" s="18"/>
      <c r="G398" s="18"/>
      <c r="H398" s="18"/>
      <c r="I398" s="25"/>
      <c r="J398" s="18"/>
      <c r="K398" s="18"/>
      <c r="L398" s="18"/>
      <c r="M398" s="18"/>
      <c r="N398" s="18"/>
      <c r="O398" s="18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>
      <c r="A399" s="1"/>
      <c r="B399" s="1"/>
      <c r="C399" s="18"/>
      <c r="D399" s="47"/>
      <c r="E399" s="18"/>
      <c r="F399" s="18"/>
      <c r="G399" s="18"/>
      <c r="H399" s="18"/>
      <c r="I399" s="25"/>
      <c r="J399" s="18"/>
      <c r="K399" s="18"/>
      <c r="L399" s="18"/>
      <c r="M399" s="18"/>
      <c r="N399" s="18"/>
      <c r="O399" s="18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>
      <c r="A400" s="1"/>
      <c r="B400" s="1"/>
      <c r="C400" s="18"/>
      <c r="D400" s="47"/>
      <c r="E400" s="18"/>
      <c r="F400" s="18"/>
      <c r="G400" s="18"/>
      <c r="H400" s="18"/>
      <c r="I400" s="25"/>
      <c r="J400" s="18"/>
      <c r="K400" s="18"/>
      <c r="L400" s="18"/>
      <c r="M400" s="18"/>
      <c r="N400" s="18"/>
      <c r="O400" s="18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>
      <c r="A401" s="1"/>
      <c r="B401" s="1"/>
      <c r="C401" s="18"/>
      <c r="D401" s="47"/>
      <c r="E401" s="18"/>
      <c r="F401" s="18"/>
      <c r="G401" s="18"/>
      <c r="H401" s="18"/>
      <c r="I401" s="25"/>
      <c r="J401" s="18"/>
      <c r="K401" s="18"/>
      <c r="L401" s="18"/>
      <c r="M401" s="18"/>
      <c r="N401" s="18"/>
      <c r="O401" s="18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>
      <c r="A402" s="1"/>
      <c r="B402" s="1"/>
      <c r="C402" s="18"/>
      <c r="D402" s="47"/>
      <c r="E402" s="18"/>
      <c r="F402" s="18"/>
      <c r="G402" s="18"/>
      <c r="H402" s="18"/>
      <c r="I402" s="25"/>
      <c r="J402" s="18"/>
      <c r="K402" s="18"/>
      <c r="L402" s="18"/>
      <c r="M402" s="18"/>
      <c r="N402" s="18"/>
      <c r="O402" s="18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>
      <c r="A403" s="1"/>
      <c r="B403" s="1"/>
      <c r="C403" s="18"/>
      <c r="D403" s="47"/>
      <c r="E403" s="18"/>
      <c r="F403" s="18"/>
      <c r="G403" s="18"/>
      <c r="H403" s="18"/>
      <c r="I403" s="25"/>
      <c r="J403" s="18"/>
      <c r="K403" s="18"/>
      <c r="L403" s="18"/>
      <c r="M403" s="18"/>
      <c r="N403" s="18"/>
      <c r="O403" s="18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>
      <c r="A404" s="1"/>
      <c r="B404" s="1"/>
      <c r="C404" s="18"/>
      <c r="D404" s="47"/>
      <c r="E404" s="18"/>
      <c r="F404" s="18"/>
      <c r="G404" s="18"/>
      <c r="H404" s="18"/>
      <c r="I404" s="25"/>
      <c r="J404" s="18"/>
      <c r="K404" s="18"/>
      <c r="L404" s="18"/>
      <c r="M404" s="18"/>
      <c r="N404" s="18"/>
      <c r="O404" s="18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>
      <c r="A405" s="1"/>
      <c r="B405" s="1"/>
      <c r="C405" s="18"/>
      <c r="D405" s="47"/>
      <c r="E405" s="18"/>
      <c r="F405" s="18"/>
      <c r="G405" s="18"/>
      <c r="H405" s="18"/>
      <c r="I405" s="25"/>
      <c r="J405" s="18"/>
      <c r="K405" s="18"/>
      <c r="L405" s="18"/>
      <c r="M405" s="18"/>
      <c r="N405" s="18"/>
      <c r="O405" s="18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>
      <c r="A406" s="1"/>
      <c r="B406" s="1"/>
      <c r="C406" s="18"/>
      <c r="D406" s="47"/>
      <c r="E406" s="18"/>
      <c r="F406" s="18"/>
      <c r="G406" s="18"/>
      <c r="H406" s="18"/>
      <c r="I406" s="25"/>
      <c r="J406" s="18"/>
      <c r="K406" s="18"/>
      <c r="L406" s="18"/>
      <c r="M406" s="18"/>
      <c r="N406" s="18"/>
      <c r="O406" s="18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>
      <c r="A407" s="1"/>
      <c r="B407" s="1"/>
      <c r="C407" s="18"/>
      <c r="D407" s="47"/>
      <c r="E407" s="18"/>
      <c r="F407" s="18"/>
      <c r="G407" s="18"/>
      <c r="H407" s="18"/>
      <c r="I407" s="25"/>
      <c r="J407" s="18"/>
      <c r="K407" s="18"/>
      <c r="L407" s="18"/>
      <c r="M407" s="18"/>
      <c r="N407" s="18"/>
      <c r="O407" s="18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>
      <c r="A408" s="1"/>
      <c r="B408" s="1"/>
      <c r="C408" s="18"/>
      <c r="D408" s="47"/>
      <c r="E408" s="18"/>
      <c r="F408" s="18"/>
      <c r="G408" s="18"/>
      <c r="H408" s="18"/>
      <c r="I408" s="25"/>
      <c r="J408" s="18"/>
      <c r="K408" s="18"/>
      <c r="L408" s="18"/>
      <c r="M408" s="18"/>
      <c r="N408" s="18"/>
      <c r="O408" s="18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>
      <c r="A409" s="1"/>
      <c r="B409" s="1"/>
      <c r="C409" s="18"/>
      <c r="D409" s="47"/>
      <c r="E409" s="18"/>
      <c r="F409" s="18"/>
      <c r="G409" s="18"/>
      <c r="H409" s="18"/>
      <c r="I409" s="25"/>
      <c r="J409" s="18"/>
      <c r="K409" s="18"/>
      <c r="L409" s="18"/>
      <c r="M409" s="18"/>
      <c r="N409" s="18"/>
      <c r="O409" s="18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>
      <c r="A410" s="1"/>
      <c r="B410" s="1"/>
      <c r="C410" s="18"/>
      <c r="D410" s="47"/>
      <c r="E410" s="18"/>
      <c r="F410" s="18"/>
      <c r="G410" s="18"/>
      <c r="H410" s="18"/>
      <c r="I410" s="25"/>
      <c r="J410" s="18"/>
      <c r="K410" s="18"/>
      <c r="L410" s="18"/>
      <c r="M410" s="18"/>
      <c r="N410" s="18"/>
      <c r="O410" s="18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>
      <c r="A411" s="1"/>
      <c r="B411" s="1"/>
      <c r="C411" s="18"/>
      <c r="D411" s="47"/>
      <c r="E411" s="18"/>
      <c r="F411" s="18"/>
      <c r="G411" s="18"/>
      <c r="H411" s="18"/>
      <c r="I411" s="25"/>
      <c r="J411" s="18"/>
      <c r="K411" s="18"/>
      <c r="L411" s="18"/>
      <c r="M411" s="18"/>
      <c r="N411" s="18"/>
      <c r="O411" s="18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>
      <c r="A412" s="1"/>
      <c r="B412" s="1"/>
      <c r="C412" s="18"/>
      <c r="D412" s="47"/>
      <c r="E412" s="18"/>
      <c r="F412" s="18"/>
      <c r="G412" s="18"/>
      <c r="H412" s="18"/>
      <c r="I412" s="25"/>
      <c r="J412" s="18"/>
      <c r="K412" s="18"/>
      <c r="L412" s="18"/>
      <c r="M412" s="18"/>
      <c r="N412" s="18"/>
      <c r="O412" s="18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>
      <c r="A413" s="1"/>
      <c r="B413" s="1"/>
      <c r="C413" s="18"/>
      <c r="D413" s="47"/>
      <c r="E413" s="18"/>
      <c r="F413" s="18"/>
      <c r="G413" s="18"/>
      <c r="H413" s="18"/>
      <c r="I413" s="25"/>
      <c r="J413" s="18"/>
      <c r="K413" s="18"/>
      <c r="L413" s="18"/>
      <c r="M413" s="18"/>
      <c r="N413" s="18"/>
      <c r="O413" s="18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>
      <c r="A414" s="1"/>
      <c r="B414" s="1"/>
      <c r="C414" s="18"/>
      <c r="D414" s="47"/>
      <c r="E414" s="18"/>
      <c r="F414" s="18"/>
      <c r="G414" s="18"/>
      <c r="H414" s="18"/>
      <c r="I414" s="25"/>
      <c r="J414" s="18"/>
      <c r="K414" s="18"/>
      <c r="L414" s="18"/>
      <c r="M414" s="18"/>
      <c r="N414" s="18"/>
      <c r="O414" s="18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>
      <c r="A415" s="1"/>
      <c r="B415" s="1"/>
      <c r="C415" s="18"/>
      <c r="D415" s="47"/>
      <c r="E415" s="18"/>
      <c r="F415" s="18"/>
      <c r="G415" s="18"/>
      <c r="H415" s="18"/>
      <c r="I415" s="25"/>
      <c r="J415" s="18"/>
      <c r="K415" s="18"/>
      <c r="L415" s="18"/>
      <c r="M415" s="18"/>
      <c r="N415" s="18"/>
      <c r="O415" s="18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>
      <c r="A416" s="1"/>
      <c r="B416" s="1"/>
      <c r="C416" s="18"/>
      <c r="D416" s="47"/>
      <c r="E416" s="18"/>
      <c r="F416" s="18"/>
      <c r="G416" s="18"/>
      <c r="H416" s="18"/>
      <c r="I416" s="25"/>
      <c r="J416" s="18"/>
      <c r="K416" s="18"/>
      <c r="L416" s="18"/>
      <c r="M416" s="18"/>
      <c r="N416" s="18"/>
      <c r="O416" s="18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>
      <c r="A417" s="1"/>
      <c r="B417" s="1"/>
      <c r="C417" s="18"/>
      <c r="D417" s="47"/>
      <c r="E417" s="18"/>
      <c r="F417" s="18"/>
      <c r="G417" s="18"/>
      <c r="H417" s="18"/>
      <c r="I417" s="25"/>
      <c r="J417" s="18"/>
      <c r="K417" s="18"/>
      <c r="L417" s="18"/>
      <c r="M417" s="18"/>
      <c r="N417" s="18"/>
      <c r="O417" s="18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>
      <c r="A418" s="1"/>
      <c r="B418" s="1"/>
      <c r="C418" s="18"/>
      <c r="D418" s="47"/>
      <c r="E418" s="18"/>
      <c r="F418" s="18"/>
      <c r="G418" s="18"/>
      <c r="H418" s="18"/>
      <c r="I418" s="25"/>
      <c r="J418" s="18"/>
      <c r="K418" s="18"/>
      <c r="L418" s="18"/>
      <c r="M418" s="18"/>
      <c r="N418" s="18"/>
      <c r="O418" s="18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>
      <c r="A419" s="1"/>
      <c r="B419" s="1"/>
      <c r="C419" s="18"/>
      <c r="D419" s="47"/>
      <c r="E419" s="18"/>
      <c r="F419" s="18"/>
      <c r="G419" s="18"/>
      <c r="H419" s="18"/>
      <c r="I419" s="25"/>
      <c r="J419" s="18"/>
      <c r="K419" s="18"/>
      <c r="L419" s="18"/>
      <c r="M419" s="18"/>
      <c r="N419" s="18"/>
      <c r="O419" s="18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>
      <c r="A420" s="1"/>
      <c r="B420" s="1"/>
      <c r="C420" s="18"/>
      <c r="D420" s="47"/>
      <c r="E420" s="18"/>
      <c r="F420" s="18"/>
      <c r="G420" s="18"/>
      <c r="H420" s="18"/>
      <c r="I420" s="25"/>
      <c r="J420" s="18"/>
      <c r="K420" s="18"/>
      <c r="L420" s="18"/>
      <c r="M420" s="18"/>
      <c r="N420" s="18"/>
      <c r="O420" s="18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>
      <c r="A421" s="1"/>
      <c r="B421" s="1"/>
      <c r="C421" s="18"/>
      <c r="D421" s="47"/>
      <c r="E421" s="18"/>
      <c r="F421" s="18"/>
      <c r="G421" s="18"/>
      <c r="H421" s="18"/>
      <c r="I421" s="25"/>
      <c r="J421" s="18"/>
      <c r="K421" s="18"/>
      <c r="L421" s="18"/>
      <c r="M421" s="18"/>
      <c r="N421" s="18"/>
      <c r="O421" s="18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>
      <c r="A422" s="1"/>
      <c r="B422" s="1"/>
      <c r="C422" s="18"/>
      <c r="D422" s="47"/>
      <c r="E422" s="18"/>
      <c r="F422" s="18"/>
      <c r="G422" s="18"/>
      <c r="H422" s="18"/>
      <c r="I422" s="25"/>
      <c r="J422" s="18"/>
      <c r="K422" s="18"/>
      <c r="L422" s="18"/>
      <c r="M422" s="18"/>
      <c r="N422" s="18"/>
      <c r="O422" s="18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>
      <c r="A423" s="1"/>
      <c r="B423" s="1"/>
      <c r="C423" s="18"/>
      <c r="D423" s="47"/>
      <c r="E423" s="18"/>
      <c r="F423" s="18"/>
      <c r="G423" s="18"/>
      <c r="H423" s="18"/>
      <c r="I423" s="25"/>
      <c r="J423" s="18"/>
      <c r="K423" s="18"/>
      <c r="L423" s="18"/>
      <c r="M423" s="18"/>
      <c r="N423" s="18"/>
      <c r="O423" s="18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>
      <c r="A424" s="1"/>
      <c r="B424" s="1"/>
      <c r="C424" s="18"/>
      <c r="D424" s="47"/>
      <c r="E424" s="18"/>
      <c r="F424" s="18"/>
      <c r="G424" s="18"/>
      <c r="H424" s="18"/>
      <c r="I424" s="25"/>
      <c r="J424" s="18"/>
      <c r="K424" s="18"/>
      <c r="L424" s="18"/>
      <c r="M424" s="18"/>
      <c r="N424" s="18"/>
      <c r="O424" s="18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>
      <c r="A425" s="1"/>
      <c r="B425" s="1"/>
      <c r="C425" s="18"/>
      <c r="D425" s="47"/>
      <c r="E425" s="18"/>
      <c r="F425" s="18"/>
      <c r="G425" s="18"/>
      <c r="H425" s="18"/>
      <c r="I425" s="25"/>
      <c r="J425" s="18"/>
      <c r="K425" s="18"/>
      <c r="L425" s="18"/>
      <c r="M425" s="18"/>
      <c r="N425" s="18"/>
      <c r="O425" s="18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>
      <c r="A426" s="1"/>
      <c r="B426" s="1"/>
      <c r="C426" s="18"/>
      <c r="D426" s="47"/>
      <c r="E426" s="18"/>
      <c r="F426" s="18"/>
      <c r="G426" s="18"/>
      <c r="H426" s="18"/>
      <c r="I426" s="25"/>
      <c r="J426" s="18"/>
      <c r="K426" s="18"/>
      <c r="L426" s="18"/>
      <c r="M426" s="18"/>
      <c r="N426" s="18"/>
      <c r="O426" s="18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>
      <c r="A427" s="1"/>
      <c r="B427" s="1"/>
      <c r="C427" s="18"/>
      <c r="D427" s="47"/>
      <c r="E427" s="18"/>
      <c r="F427" s="18"/>
      <c r="G427" s="18"/>
      <c r="H427" s="18"/>
      <c r="I427" s="25"/>
      <c r="J427" s="18"/>
      <c r="K427" s="18"/>
      <c r="L427" s="18"/>
      <c r="M427" s="18"/>
      <c r="N427" s="18"/>
      <c r="O427" s="18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>
      <c r="A428" s="1"/>
      <c r="B428" s="1"/>
      <c r="C428" s="18"/>
      <c r="D428" s="47"/>
      <c r="E428" s="18"/>
      <c r="F428" s="18"/>
      <c r="G428" s="18"/>
      <c r="H428" s="18"/>
      <c r="I428" s="25"/>
      <c r="J428" s="18"/>
      <c r="K428" s="18"/>
      <c r="L428" s="18"/>
      <c r="M428" s="18"/>
      <c r="N428" s="18"/>
      <c r="O428" s="18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>
      <c r="A429" s="1"/>
      <c r="B429" s="1"/>
      <c r="C429" s="18"/>
      <c r="D429" s="47"/>
      <c r="E429" s="18"/>
      <c r="F429" s="18"/>
      <c r="G429" s="18"/>
      <c r="H429" s="18"/>
      <c r="I429" s="25"/>
      <c r="J429" s="18"/>
      <c r="K429" s="18"/>
      <c r="L429" s="18"/>
      <c r="M429" s="18"/>
      <c r="N429" s="18"/>
      <c r="O429" s="18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>
      <c r="A430" s="1"/>
      <c r="B430" s="1"/>
      <c r="C430" s="18"/>
      <c r="D430" s="47"/>
      <c r="E430" s="18"/>
      <c r="F430" s="18"/>
      <c r="G430" s="18"/>
      <c r="H430" s="18"/>
      <c r="I430" s="25"/>
      <c r="J430" s="18"/>
      <c r="K430" s="18"/>
      <c r="L430" s="18"/>
      <c r="M430" s="18"/>
      <c r="N430" s="18"/>
      <c r="O430" s="18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>
      <c r="A431" s="1"/>
      <c r="B431" s="1"/>
      <c r="C431" s="18"/>
      <c r="D431" s="47"/>
      <c r="E431" s="18"/>
      <c r="F431" s="18"/>
      <c r="G431" s="18"/>
      <c r="H431" s="18"/>
      <c r="I431" s="25"/>
      <c r="J431" s="18"/>
      <c r="K431" s="18"/>
      <c r="L431" s="18"/>
      <c r="M431" s="18"/>
      <c r="N431" s="18"/>
      <c r="O431" s="18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>
      <c r="A432" s="1"/>
      <c r="B432" s="1"/>
      <c r="C432" s="18"/>
      <c r="D432" s="47"/>
      <c r="E432" s="18"/>
      <c r="F432" s="18"/>
      <c r="G432" s="18"/>
      <c r="H432" s="18"/>
      <c r="I432" s="25"/>
      <c r="J432" s="18"/>
      <c r="K432" s="18"/>
      <c r="L432" s="18"/>
      <c r="M432" s="18"/>
      <c r="N432" s="18"/>
      <c r="O432" s="18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>
      <c r="A433" s="1"/>
      <c r="B433" s="1"/>
      <c r="C433" s="18"/>
      <c r="D433" s="47"/>
      <c r="E433" s="18"/>
      <c r="F433" s="18"/>
      <c r="G433" s="18"/>
      <c r="H433" s="18"/>
      <c r="I433" s="25"/>
      <c r="J433" s="18"/>
      <c r="K433" s="18"/>
      <c r="L433" s="18"/>
      <c r="M433" s="18"/>
      <c r="N433" s="18"/>
      <c r="O433" s="18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>
      <c r="A434" s="1"/>
      <c r="B434" s="1"/>
      <c r="C434" s="18"/>
      <c r="D434" s="47"/>
      <c r="E434" s="18"/>
      <c r="F434" s="18"/>
      <c r="G434" s="18"/>
      <c r="H434" s="18"/>
      <c r="I434" s="25"/>
      <c r="J434" s="18"/>
      <c r="K434" s="18"/>
      <c r="L434" s="18"/>
      <c r="M434" s="18"/>
      <c r="N434" s="18"/>
      <c r="O434" s="18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>
      <c r="A435" s="1"/>
      <c r="B435" s="1"/>
      <c r="C435" s="18"/>
      <c r="D435" s="47"/>
      <c r="E435" s="18"/>
      <c r="F435" s="18"/>
      <c r="G435" s="18"/>
      <c r="H435" s="18"/>
      <c r="I435" s="25"/>
      <c r="J435" s="18"/>
      <c r="K435" s="18"/>
      <c r="L435" s="18"/>
      <c r="M435" s="18"/>
      <c r="N435" s="18"/>
      <c r="O435" s="18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>
      <c r="A436" s="1"/>
      <c r="B436" s="1"/>
      <c r="C436" s="18"/>
      <c r="D436" s="47"/>
      <c r="E436" s="18"/>
      <c r="F436" s="18"/>
      <c r="G436" s="18"/>
      <c r="H436" s="18"/>
      <c r="I436" s="25"/>
      <c r="J436" s="18"/>
      <c r="K436" s="18"/>
      <c r="L436" s="18"/>
      <c r="M436" s="18"/>
      <c r="N436" s="18"/>
      <c r="O436" s="18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>
      <c r="A437" s="1"/>
      <c r="B437" s="1"/>
      <c r="C437" s="18"/>
      <c r="D437" s="47"/>
      <c r="E437" s="18"/>
      <c r="F437" s="18"/>
      <c r="G437" s="18"/>
      <c r="H437" s="18"/>
      <c r="I437" s="25"/>
      <c r="J437" s="18"/>
      <c r="K437" s="18"/>
      <c r="L437" s="18"/>
      <c r="M437" s="18"/>
      <c r="N437" s="18"/>
      <c r="O437" s="18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>
      <c r="A438" s="1"/>
      <c r="B438" s="1"/>
      <c r="C438" s="18"/>
      <c r="D438" s="47"/>
      <c r="E438" s="18"/>
      <c r="F438" s="18"/>
      <c r="G438" s="18"/>
      <c r="H438" s="18"/>
      <c r="I438" s="25"/>
      <c r="J438" s="18"/>
      <c r="K438" s="18"/>
      <c r="L438" s="18"/>
      <c r="M438" s="18"/>
      <c r="N438" s="18"/>
      <c r="O438" s="18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>
      <c r="A439" s="1"/>
      <c r="B439" s="1"/>
      <c r="C439" s="18"/>
      <c r="D439" s="47"/>
      <c r="E439" s="18"/>
      <c r="F439" s="18"/>
      <c r="G439" s="18"/>
      <c r="H439" s="18"/>
      <c r="I439" s="25"/>
      <c r="J439" s="18"/>
      <c r="K439" s="18"/>
      <c r="L439" s="18"/>
      <c r="M439" s="18"/>
      <c r="N439" s="18"/>
      <c r="O439" s="18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>
      <c r="A440" s="1"/>
      <c r="B440" s="1"/>
      <c r="C440" s="18"/>
      <c r="D440" s="47"/>
      <c r="E440" s="18"/>
      <c r="F440" s="18"/>
      <c r="G440" s="18"/>
      <c r="H440" s="18"/>
      <c r="I440" s="25"/>
      <c r="J440" s="18"/>
      <c r="K440" s="18"/>
      <c r="L440" s="18"/>
      <c r="M440" s="18"/>
      <c r="N440" s="18"/>
      <c r="O440" s="18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>
      <c r="A441" s="1"/>
      <c r="B441" s="1"/>
      <c r="C441" s="18"/>
      <c r="D441" s="47"/>
      <c r="E441" s="18"/>
      <c r="F441" s="18"/>
      <c r="G441" s="18"/>
      <c r="H441" s="18"/>
      <c r="I441" s="25"/>
      <c r="J441" s="18"/>
      <c r="K441" s="18"/>
      <c r="L441" s="18"/>
      <c r="M441" s="18"/>
      <c r="N441" s="18"/>
      <c r="O441" s="18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>
      <c r="A442" s="1"/>
      <c r="B442" s="1"/>
      <c r="C442" s="18"/>
      <c r="D442" s="47"/>
      <c r="E442" s="18"/>
      <c r="F442" s="18"/>
      <c r="G442" s="18"/>
      <c r="H442" s="18"/>
      <c r="I442" s="25"/>
      <c r="J442" s="18"/>
      <c r="K442" s="18"/>
      <c r="L442" s="18"/>
      <c r="M442" s="18"/>
      <c r="N442" s="18"/>
      <c r="O442" s="18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>
      <c r="A443" s="1"/>
      <c r="B443" s="1"/>
      <c r="C443" s="18"/>
      <c r="D443" s="47"/>
      <c r="E443" s="18"/>
      <c r="F443" s="18"/>
      <c r="G443" s="18"/>
      <c r="H443" s="18"/>
      <c r="I443" s="25"/>
      <c r="J443" s="18"/>
      <c r="K443" s="18"/>
      <c r="L443" s="18"/>
      <c r="M443" s="18"/>
      <c r="N443" s="18"/>
      <c r="O443" s="18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>
      <c r="A444" s="1"/>
      <c r="B444" s="1"/>
      <c r="C444" s="18"/>
      <c r="D444" s="47"/>
      <c r="E444" s="18"/>
      <c r="F444" s="18"/>
      <c r="G444" s="18"/>
      <c r="H444" s="18"/>
      <c r="I444" s="25"/>
      <c r="J444" s="18"/>
      <c r="K444" s="18"/>
      <c r="L444" s="18"/>
      <c r="M444" s="18"/>
      <c r="N444" s="18"/>
      <c r="O444" s="18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>
      <c r="A445" s="1"/>
      <c r="B445" s="1"/>
      <c r="C445" s="18"/>
      <c r="D445" s="47"/>
      <c r="E445" s="18"/>
      <c r="F445" s="18"/>
      <c r="G445" s="18"/>
      <c r="H445" s="18"/>
      <c r="I445" s="25"/>
      <c r="J445" s="18"/>
      <c r="K445" s="18"/>
      <c r="L445" s="18"/>
      <c r="M445" s="18"/>
      <c r="N445" s="18"/>
      <c r="O445" s="18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>
      <c r="A446" s="1"/>
      <c r="B446" s="1"/>
      <c r="C446" s="18"/>
      <c r="D446" s="47"/>
      <c r="E446" s="18"/>
      <c r="F446" s="18"/>
      <c r="G446" s="18"/>
      <c r="H446" s="18"/>
      <c r="I446" s="25"/>
      <c r="J446" s="18"/>
      <c r="K446" s="18"/>
      <c r="L446" s="18"/>
      <c r="M446" s="18"/>
      <c r="N446" s="18"/>
      <c r="O446" s="18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>
      <c r="A447" s="1"/>
      <c r="B447" s="1"/>
      <c r="C447" s="18"/>
      <c r="D447" s="47"/>
      <c r="E447" s="18"/>
      <c r="F447" s="18"/>
      <c r="G447" s="18"/>
      <c r="H447" s="18"/>
      <c r="I447" s="25"/>
      <c r="J447" s="18"/>
      <c r="K447" s="18"/>
      <c r="L447" s="18"/>
      <c r="M447" s="18"/>
      <c r="N447" s="18"/>
      <c r="O447" s="18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>
      <c r="A448" s="1"/>
      <c r="B448" s="1"/>
      <c r="C448" s="18"/>
      <c r="D448" s="47"/>
      <c r="E448" s="18"/>
      <c r="F448" s="18"/>
      <c r="G448" s="18"/>
      <c r="H448" s="18"/>
      <c r="I448" s="25"/>
      <c r="J448" s="18"/>
      <c r="K448" s="18"/>
      <c r="L448" s="18"/>
      <c r="M448" s="18"/>
      <c r="N448" s="18"/>
      <c r="O448" s="18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>
      <c r="A449" s="1"/>
      <c r="B449" s="1"/>
      <c r="C449" s="18"/>
      <c r="D449" s="47"/>
      <c r="E449" s="18"/>
      <c r="F449" s="18"/>
      <c r="G449" s="18"/>
      <c r="H449" s="18"/>
      <c r="I449" s="25"/>
      <c r="J449" s="18"/>
      <c r="K449" s="18"/>
      <c r="L449" s="18"/>
      <c r="M449" s="18"/>
      <c r="N449" s="18"/>
      <c r="O449" s="18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>
      <c r="A450" s="1"/>
      <c r="B450" s="1"/>
      <c r="C450" s="18"/>
      <c r="D450" s="47"/>
      <c r="E450" s="18"/>
      <c r="F450" s="18"/>
      <c r="G450" s="18"/>
      <c r="H450" s="18"/>
      <c r="I450" s="25"/>
      <c r="J450" s="18"/>
      <c r="K450" s="18"/>
      <c r="L450" s="18"/>
      <c r="M450" s="18"/>
      <c r="N450" s="18"/>
      <c r="O450" s="18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>
      <c r="A451" s="1"/>
      <c r="B451" s="1"/>
      <c r="C451" s="18"/>
      <c r="D451" s="47"/>
      <c r="E451" s="18"/>
      <c r="F451" s="18"/>
      <c r="G451" s="18"/>
      <c r="H451" s="18"/>
      <c r="I451" s="25"/>
      <c r="J451" s="18"/>
      <c r="K451" s="18"/>
      <c r="L451" s="18"/>
      <c r="M451" s="18"/>
      <c r="N451" s="18"/>
      <c r="O451" s="18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>
      <c r="A452" s="1"/>
      <c r="B452" s="1"/>
      <c r="C452" s="18"/>
      <c r="D452" s="47"/>
      <c r="E452" s="18"/>
      <c r="F452" s="18"/>
      <c r="G452" s="18"/>
      <c r="H452" s="18"/>
      <c r="I452" s="25"/>
      <c r="J452" s="18"/>
      <c r="K452" s="18"/>
      <c r="L452" s="18"/>
      <c r="M452" s="18"/>
      <c r="N452" s="18"/>
      <c r="O452" s="18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>
      <c r="A453" s="1"/>
      <c r="B453" s="1"/>
      <c r="C453" s="18"/>
      <c r="D453" s="47"/>
      <c r="E453" s="18"/>
      <c r="F453" s="18"/>
      <c r="G453" s="18"/>
      <c r="H453" s="18"/>
      <c r="I453" s="25"/>
      <c r="J453" s="18"/>
      <c r="K453" s="18"/>
      <c r="L453" s="18"/>
      <c r="M453" s="18"/>
      <c r="N453" s="18"/>
      <c r="O453" s="18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>
      <c r="A454" s="1"/>
      <c r="B454" s="1"/>
      <c r="C454" s="18"/>
      <c r="D454" s="47"/>
      <c r="E454" s="18"/>
      <c r="F454" s="18"/>
      <c r="G454" s="18"/>
      <c r="H454" s="18"/>
      <c r="I454" s="25"/>
      <c r="J454" s="18"/>
      <c r="K454" s="18"/>
      <c r="L454" s="18"/>
      <c r="M454" s="18"/>
      <c r="N454" s="18"/>
      <c r="O454" s="18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>
      <c r="A455" s="1"/>
      <c r="B455" s="1"/>
      <c r="C455" s="18"/>
      <c r="D455" s="47"/>
      <c r="E455" s="18"/>
      <c r="F455" s="18"/>
      <c r="G455" s="18"/>
      <c r="H455" s="18"/>
      <c r="I455" s="25"/>
      <c r="J455" s="18"/>
      <c r="K455" s="18"/>
      <c r="L455" s="18"/>
      <c r="M455" s="18"/>
      <c r="N455" s="18"/>
      <c r="O455" s="18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>
      <c r="A456" s="1"/>
      <c r="B456" s="1"/>
      <c r="C456" s="18"/>
      <c r="D456" s="47"/>
      <c r="E456" s="18"/>
      <c r="F456" s="18"/>
      <c r="G456" s="18"/>
      <c r="H456" s="18"/>
      <c r="I456" s="25"/>
      <c r="J456" s="18"/>
      <c r="K456" s="18"/>
      <c r="L456" s="18"/>
      <c r="M456" s="18"/>
      <c r="N456" s="18"/>
      <c r="O456" s="18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>
      <c r="A457" s="1"/>
      <c r="B457" s="1"/>
      <c r="C457" s="18"/>
      <c r="D457" s="47"/>
      <c r="E457" s="18"/>
      <c r="F457" s="18"/>
      <c r="G457" s="18"/>
      <c r="H457" s="18"/>
      <c r="I457" s="25"/>
      <c r="J457" s="18"/>
      <c r="K457" s="18"/>
      <c r="L457" s="18"/>
      <c r="M457" s="18"/>
      <c r="N457" s="18"/>
      <c r="O457" s="18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>
      <c r="A458" s="1"/>
      <c r="B458" s="1"/>
      <c r="C458" s="18"/>
      <c r="D458" s="47"/>
      <c r="E458" s="18"/>
      <c r="F458" s="18"/>
      <c r="G458" s="18"/>
      <c r="H458" s="18"/>
      <c r="I458" s="25"/>
      <c r="J458" s="18"/>
      <c r="K458" s="18"/>
      <c r="L458" s="18"/>
      <c r="M458" s="18"/>
      <c r="N458" s="18"/>
      <c r="O458" s="18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>
      <c r="A459" s="1"/>
      <c r="B459" s="1"/>
      <c r="C459" s="18"/>
      <c r="D459" s="47"/>
      <c r="E459" s="18"/>
      <c r="F459" s="18"/>
      <c r="G459" s="18"/>
      <c r="H459" s="18"/>
      <c r="I459" s="25"/>
      <c r="J459" s="18"/>
      <c r="K459" s="18"/>
      <c r="L459" s="18"/>
      <c r="M459" s="18"/>
      <c r="N459" s="18"/>
      <c r="O459" s="18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>
      <c r="A460" s="1"/>
      <c r="B460" s="1"/>
      <c r="C460" s="18"/>
      <c r="D460" s="47"/>
      <c r="E460" s="18"/>
      <c r="F460" s="18"/>
      <c r="G460" s="18"/>
      <c r="H460" s="18"/>
      <c r="I460" s="25"/>
      <c r="J460" s="18"/>
      <c r="K460" s="18"/>
      <c r="L460" s="18"/>
      <c r="M460" s="18"/>
      <c r="N460" s="18"/>
      <c r="O460" s="18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>
      <c r="A461" s="1"/>
      <c r="B461" s="1"/>
      <c r="C461" s="18"/>
      <c r="D461" s="47"/>
      <c r="E461" s="18"/>
      <c r="F461" s="18"/>
      <c r="G461" s="18"/>
      <c r="H461" s="18"/>
      <c r="I461" s="25"/>
      <c r="J461" s="18"/>
      <c r="K461" s="18"/>
      <c r="L461" s="18"/>
      <c r="M461" s="18"/>
      <c r="N461" s="18"/>
      <c r="O461" s="18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>
      <c r="A462" s="1"/>
      <c r="B462" s="1"/>
      <c r="C462" s="18"/>
      <c r="D462" s="47"/>
      <c r="E462" s="18"/>
      <c r="F462" s="18"/>
      <c r="G462" s="18"/>
      <c r="H462" s="18"/>
      <c r="I462" s="25"/>
      <c r="J462" s="18"/>
      <c r="K462" s="18"/>
      <c r="L462" s="18"/>
      <c r="M462" s="18"/>
      <c r="N462" s="18"/>
      <c r="O462" s="18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>
      <c r="A463" s="1"/>
      <c r="B463" s="1"/>
      <c r="C463" s="18"/>
      <c r="D463" s="47"/>
      <c r="E463" s="18"/>
      <c r="F463" s="18"/>
      <c r="G463" s="18"/>
      <c r="H463" s="18"/>
      <c r="I463" s="25"/>
      <c r="J463" s="18"/>
      <c r="K463" s="18"/>
      <c r="L463" s="18"/>
      <c r="M463" s="18"/>
      <c r="N463" s="18"/>
      <c r="O463" s="18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>
      <c r="A464" s="1"/>
      <c r="B464" s="1"/>
      <c r="C464" s="18"/>
      <c r="D464" s="47"/>
      <c r="E464" s="18"/>
      <c r="F464" s="18"/>
      <c r="G464" s="18"/>
      <c r="H464" s="18"/>
      <c r="I464" s="25"/>
      <c r="J464" s="18"/>
      <c r="K464" s="18"/>
      <c r="L464" s="18"/>
      <c r="M464" s="18"/>
      <c r="N464" s="18"/>
      <c r="O464" s="18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>
      <c r="A465" s="1"/>
      <c r="B465" s="1"/>
      <c r="C465" s="18"/>
      <c r="D465" s="47"/>
      <c r="E465" s="18"/>
      <c r="F465" s="18"/>
      <c r="G465" s="18"/>
      <c r="H465" s="18"/>
      <c r="I465" s="25"/>
      <c r="J465" s="18"/>
      <c r="K465" s="18"/>
      <c r="L465" s="18"/>
      <c r="M465" s="18"/>
      <c r="N465" s="18"/>
      <c r="O465" s="18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>
      <c r="A466" s="1"/>
      <c r="B466" s="1"/>
      <c r="C466" s="18"/>
      <c r="D466" s="47"/>
      <c r="E466" s="18"/>
      <c r="F466" s="18"/>
      <c r="G466" s="18"/>
      <c r="H466" s="18"/>
      <c r="I466" s="25"/>
      <c r="J466" s="18"/>
      <c r="K466" s="18"/>
      <c r="L466" s="18"/>
      <c r="M466" s="18"/>
      <c r="N466" s="18"/>
      <c r="O466" s="18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>
      <c r="A467" s="1"/>
      <c r="B467" s="1"/>
      <c r="C467" s="18"/>
      <c r="D467" s="47"/>
      <c r="E467" s="18"/>
      <c r="F467" s="18"/>
      <c r="G467" s="18"/>
      <c r="H467" s="18"/>
      <c r="I467" s="25"/>
      <c r="J467" s="18"/>
      <c r="K467" s="18"/>
      <c r="L467" s="18"/>
      <c r="M467" s="18"/>
      <c r="N467" s="18"/>
      <c r="O467" s="18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>
      <c r="A468" s="1"/>
      <c r="B468" s="1"/>
      <c r="C468" s="18"/>
      <c r="D468" s="47"/>
      <c r="E468" s="18"/>
      <c r="F468" s="18"/>
      <c r="G468" s="18"/>
      <c r="H468" s="18"/>
      <c r="I468" s="25"/>
      <c r="J468" s="18"/>
      <c r="K468" s="18"/>
      <c r="L468" s="18"/>
      <c r="M468" s="18"/>
      <c r="N468" s="18"/>
      <c r="O468" s="18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>
      <c r="A469" s="1"/>
      <c r="B469" s="1"/>
      <c r="C469" s="18"/>
      <c r="D469" s="47"/>
      <c r="E469" s="18"/>
      <c r="F469" s="18"/>
      <c r="G469" s="18"/>
      <c r="H469" s="18"/>
      <c r="I469" s="25"/>
      <c r="J469" s="18"/>
      <c r="K469" s="18"/>
      <c r="L469" s="18"/>
      <c r="M469" s="18"/>
      <c r="N469" s="18"/>
      <c r="O469" s="18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>
      <c r="A470" s="1"/>
      <c r="B470" s="1"/>
      <c r="C470" s="18"/>
      <c r="D470" s="47"/>
      <c r="E470" s="18"/>
      <c r="F470" s="18"/>
      <c r="G470" s="18"/>
      <c r="H470" s="18"/>
      <c r="I470" s="25"/>
      <c r="J470" s="18"/>
      <c r="K470" s="18"/>
      <c r="L470" s="18"/>
      <c r="M470" s="18"/>
      <c r="N470" s="18"/>
      <c r="O470" s="18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>
      <c r="A471" s="1"/>
      <c r="B471" s="1"/>
      <c r="C471" s="18"/>
      <c r="D471" s="47"/>
      <c r="E471" s="18"/>
      <c r="F471" s="18"/>
      <c r="G471" s="18"/>
      <c r="H471" s="18"/>
      <c r="I471" s="25"/>
      <c r="J471" s="18"/>
      <c r="K471" s="18"/>
      <c r="L471" s="18"/>
      <c r="M471" s="18"/>
      <c r="N471" s="18"/>
      <c r="O471" s="18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>
      <c r="A472" s="1"/>
      <c r="B472" s="1"/>
      <c r="C472" s="18"/>
      <c r="D472" s="47"/>
      <c r="E472" s="18"/>
      <c r="F472" s="18"/>
      <c r="G472" s="18"/>
      <c r="H472" s="18"/>
      <c r="I472" s="25"/>
      <c r="J472" s="18"/>
      <c r="K472" s="18"/>
      <c r="L472" s="18"/>
      <c r="M472" s="18"/>
      <c r="N472" s="18"/>
      <c r="O472" s="18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>
      <c r="A473" s="1"/>
      <c r="B473" s="1"/>
      <c r="C473" s="18"/>
      <c r="D473" s="47"/>
      <c r="E473" s="18"/>
      <c r="F473" s="18"/>
      <c r="G473" s="18"/>
      <c r="H473" s="18"/>
      <c r="I473" s="25"/>
      <c r="J473" s="18"/>
      <c r="K473" s="18"/>
      <c r="L473" s="18"/>
      <c r="M473" s="18"/>
      <c r="N473" s="18"/>
      <c r="O473" s="18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>
      <c r="A474" s="1"/>
      <c r="B474" s="1"/>
      <c r="C474" s="18"/>
      <c r="D474" s="47"/>
      <c r="E474" s="18"/>
      <c r="F474" s="18"/>
      <c r="G474" s="18"/>
      <c r="H474" s="18"/>
      <c r="I474" s="25"/>
      <c r="J474" s="18"/>
      <c r="K474" s="18"/>
      <c r="L474" s="18"/>
      <c r="M474" s="18"/>
      <c r="N474" s="18"/>
      <c r="O474" s="18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>
      <c r="A475" s="1"/>
      <c r="B475" s="1"/>
      <c r="C475" s="18"/>
      <c r="D475" s="47"/>
      <c r="E475" s="18"/>
      <c r="F475" s="18"/>
      <c r="G475" s="18"/>
      <c r="H475" s="18"/>
      <c r="I475" s="25"/>
      <c r="J475" s="18"/>
      <c r="K475" s="18"/>
      <c r="L475" s="18"/>
      <c r="M475" s="18"/>
      <c r="N475" s="18"/>
      <c r="O475" s="18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>
      <c r="A476" s="1"/>
      <c r="B476" s="1"/>
      <c r="C476" s="18"/>
      <c r="D476" s="47"/>
      <c r="E476" s="18"/>
      <c r="F476" s="18"/>
      <c r="G476" s="18"/>
      <c r="H476" s="18"/>
      <c r="I476" s="25"/>
      <c r="J476" s="18"/>
      <c r="K476" s="18"/>
      <c r="L476" s="18"/>
      <c r="M476" s="18"/>
      <c r="N476" s="18"/>
      <c r="O476" s="18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>
      <c r="A477" s="1"/>
      <c r="B477" s="1"/>
      <c r="C477" s="18"/>
      <c r="D477" s="47"/>
      <c r="E477" s="18"/>
      <c r="F477" s="18"/>
      <c r="G477" s="18"/>
      <c r="H477" s="18"/>
      <c r="I477" s="25"/>
      <c r="J477" s="18"/>
      <c r="K477" s="18"/>
      <c r="L477" s="18"/>
      <c r="M477" s="18"/>
      <c r="N477" s="18"/>
      <c r="O477" s="18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>
      <c r="A478" s="1"/>
      <c r="B478" s="1"/>
      <c r="C478" s="18"/>
      <c r="D478" s="47"/>
      <c r="E478" s="18"/>
      <c r="F478" s="18"/>
      <c r="G478" s="18"/>
      <c r="H478" s="18"/>
      <c r="I478" s="25"/>
      <c r="J478" s="18"/>
      <c r="K478" s="18"/>
      <c r="L478" s="18"/>
      <c r="M478" s="18"/>
      <c r="N478" s="18"/>
      <c r="O478" s="18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>
      <c r="A479" s="1"/>
      <c r="B479" s="1"/>
      <c r="C479" s="18"/>
      <c r="D479" s="47"/>
      <c r="E479" s="18"/>
      <c r="F479" s="18"/>
      <c r="G479" s="18"/>
      <c r="H479" s="18"/>
      <c r="I479" s="25"/>
      <c r="J479" s="18"/>
      <c r="K479" s="18"/>
      <c r="L479" s="18"/>
      <c r="M479" s="18"/>
      <c r="N479" s="18"/>
      <c r="O479" s="18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>
      <c r="A480" s="1"/>
      <c r="B480" s="1"/>
      <c r="C480" s="18"/>
      <c r="D480" s="47"/>
      <c r="E480" s="18"/>
      <c r="F480" s="18"/>
      <c r="G480" s="18"/>
      <c r="H480" s="18"/>
      <c r="I480" s="25"/>
      <c r="J480" s="18"/>
      <c r="K480" s="18"/>
      <c r="L480" s="18"/>
      <c r="M480" s="18"/>
      <c r="N480" s="18"/>
      <c r="O480" s="18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>
      <c r="A481" s="1"/>
      <c r="B481" s="1"/>
      <c r="C481" s="18"/>
      <c r="D481" s="47"/>
      <c r="E481" s="18"/>
      <c r="F481" s="18"/>
      <c r="G481" s="18"/>
      <c r="H481" s="18"/>
      <c r="I481" s="25"/>
      <c r="J481" s="18"/>
      <c r="K481" s="18"/>
      <c r="L481" s="18"/>
      <c r="M481" s="18"/>
      <c r="N481" s="18"/>
      <c r="O481" s="18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>
      <c r="A482" s="1"/>
      <c r="B482" s="1"/>
      <c r="C482" s="18"/>
      <c r="D482" s="47"/>
      <c r="E482" s="18"/>
      <c r="F482" s="18"/>
      <c r="G482" s="18"/>
      <c r="H482" s="18"/>
      <c r="I482" s="25"/>
      <c r="J482" s="18"/>
      <c r="K482" s="18"/>
      <c r="L482" s="18"/>
      <c r="M482" s="18"/>
      <c r="N482" s="18"/>
      <c r="O482" s="18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>
      <c r="A483" s="1"/>
      <c r="B483" s="1"/>
      <c r="C483" s="18"/>
      <c r="D483" s="47"/>
      <c r="E483" s="18"/>
      <c r="F483" s="18"/>
      <c r="G483" s="18"/>
      <c r="H483" s="18"/>
      <c r="I483" s="25"/>
      <c r="J483" s="18"/>
      <c r="K483" s="18"/>
      <c r="L483" s="18"/>
      <c r="M483" s="18"/>
      <c r="N483" s="18"/>
      <c r="O483" s="18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>
      <c r="A484" s="1"/>
      <c r="B484" s="1"/>
      <c r="C484" s="18"/>
      <c r="D484" s="47"/>
      <c r="E484" s="18"/>
      <c r="F484" s="18"/>
      <c r="G484" s="18"/>
      <c r="H484" s="18"/>
      <c r="I484" s="25"/>
      <c r="J484" s="18"/>
      <c r="K484" s="18"/>
      <c r="L484" s="18"/>
      <c r="M484" s="18"/>
      <c r="N484" s="18"/>
      <c r="O484" s="18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>
      <c r="A485" s="1"/>
      <c r="B485" s="1"/>
      <c r="C485" s="18"/>
      <c r="D485" s="47"/>
      <c r="E485" s="18"/>
      <c r="F485" s="18"/>
      <c r="G485" s="18"/>
      <c r="H485" s="18"/>
      <c r="I485" s="25"/>
      <c r="J485" s="18"/>
      <c r="K485" s="18"/>
      <c r="L485" s="18"/>
      <c r="M485" s="18"/>
      <c r="N485" s="18"/>
      <c r="O485" s="18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>
      <c r="A486" s="1"/>
      <c r="B486" s="1"/>
      <c r="C486" s="18"/>
      <c r="D486" s="47"/>
      <c r="E486" s="18"/>
      <c r="F486" s="18"/>
      <c r="G486" s="18"/>
      <c r="H486" s="18"/>
      <c r="I486" s="25"/>
      <c r="J486" s="18"/>
      <c r="K486" s="18"/>
      <c r="L486" s="18"/>
      <c r="M486" s="18"/>
      <c r="N486" s="18"/>
      <c r="O486" s="18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>
      <c r="A487" s="1"/>
      <c r="B487" s="1"/>
      <c r="C487" s="18"/>
      <c r="D487" s="47"/>
      <c r="E487" s="18"/>
      <c r="F487" s="18"/>
      <c r="G487" s="18"/>
      <c r="H487" s="18"/>
      <c r="I487" s="25"/>
      <c r="J487" s="18"/>
      <c r="K487" s="18"/>
      <c r="L487" s="18"/>
      <c r="M487" s="18"/>
      <c r="N487" s="18"/>
      <c r="O487" s="18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>
      <c r="A488" s="1"/>
      <c r="B488" s="1"/>
      <c r="C488" s="18"/>
      <c r="D488" s="47"/>
      <c r="E488" s="18"/>
      <c r="F488" s="18"/>
      <c r="G488" s="18"/>
      <c r="H488" s="18"/>
      <c r="I488" s="25"/>
      <c r="J488" s="18"/>
      <c r="K488" s="18"/>
      <c r="L488" s="18"/>
      <c r="M488" s="18"/>
      <c r="N488" s="18"/>
      <c r="O488" s="18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>
      <c r="A489" s="1"/>
      <c r="B489" s="1"/>
      <c r="C489" s="18"/>
      <c r="D489" s="47"/>
      <c r="E489" s="18"/>
      <c r="F489" s="18"/>
      <c r="G489" s="18"/>
      <c r="H489" s="18"/>
      <c r="I489" s="25"/>
      <c r="J489" s="18"/>
      <c r="K489" s="18"/>
      <c r="L489" s="18"/>
      <c r="M489" s="18"/>
      <c r="N489" s="18"/>
      <c r="O489" s="18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>
      <c r="A490" s="1"/>
      <c r="B490" s="1"/>
      <c r="C490" s="18"/>
      <c r="D490" s="47"/>
      <c r="E490" s="18"/>
      <c r="F490" s="18"/>
      <c r="G490" s="18"/>
      <c r="H490" s="18"/>
      <c r="I490" s="25"/>
      <c r="J490" s="18"/>
      <c r="K490" s="18"/>
      <c r="L490" s="18"/>
      <c r="M490" s="18"/>
      <c r="N490" s="18"/>
      <c r="O490" s="18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>
      <c r="A491" s="1"/>
      <c r="B491" s="1"/>
      <c r="C491" s="18"/>
      <c r="D491" s="47"/>
      <c r="E491" s="18"/>
      <c r="F491" s="18"/>
      <c r="G491" s="18"/>
      <c r="H491" s="18"/>
      <c r="I491" s="25"/>
      <c r="J491" s="18"/>
      <c r="K491" s="18"/>
      <c r="L491" s="18"/>
      <c r="M491" s="18"/>
      <c r="N491" s="18"/>
      <c r="O491" s="18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>
      <c r="A492" s="1"/>
      <c r="B492" s="1"/>
      <c r="C492" s="18"/>
      <c r="D492" s="47"/>
      <c r="E492" s="18"/>
      <c r="F492" s="18"/>
      <c r="G492" s="18"/>
      <c r="H492" s="18"/>
      <c r="I492" s="25"/>
      <c r="J492" s="18"/>
      <c r="K492" s="18"/>
      <c r="L492" s="18"/>
      <c r="M492" s="18"/>
      <c r="N492" s="18"/>
      <c r="O492" s="18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>
      <c r="A493" s="1"/>
      <c r="B493" s="1"/>
      <c r="C493" s="18"/>
      <c r="D493" s="47"/>
      <c r="E493" s="18"/>
      <c r="F493" s="18"/>
      <c r="G493" s="18"/>
      <c r="H493" s="18"/>
      <c r="I493" s="25"/>
      <c r="J493" s="18"/>
      <c r="K493" s="18"/>
      <c r="L493" s="18"/>
      <c r="M493" s="18"/>
      <c r="N493" s="18"/>
      <c r="O493" s="18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>
      <c r="A494" s="1"/>
      <c r="B494" s="1"/>
      <c r="C494" s="18"/>
      <c r="D494" s="47"/>
      <c r="E494" s="18"/>
      <c r="F494" s="18"/>
      <c r="G494" s="18"/>
      <c r="H494" s="18"/>
      <c r="I494" s="25"/>
      <c r="J494" s="18"/>
      <c r="K494" s="18"/>
      <c r="L494" s="18"/>
      <c r="M494" s="18"/>
      <c r="N494" s="18"/>
      <c r="O494" s="18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>
      <c r="A495" s="1"/>
      <c r="B495" s="1"/>
      <c r="C495" s="18"/>
      <c r="D495" s="47"/>
      <c r="E495" s="18"/>
      <c r="F495" s="18"/>
      <c r="G495" s="18"/>
      <c r="H495" s="18"/>
      <c r="I495" s="25"/>
      <c r="J495" s="18"/>
      <c r="K495" s="18"/>
      <c r="L495" s="18"/>
      <c r="M495" s="18"/>
      <c r="N495" s="18"/>
      <c r="O495" s="18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>
      <c r="A496" s="1"/>
      <c r="B496" s="1"/>
      <c r="C496" s="18"/>
      <c r="D496" s="47"/>
      <c r="E496" s="18"/>
      <c r="F496" s="18"/>
      <c r="G496" s="18"/>
      <c r="H496" s="18"/>
      <c r="I496" s="25"/>
      <c r="J496" s="18"/>
      <c r="K496" s="18"/>
      <c r="L496" s="18"/>
      <c r="M496" s="18"/>
      <c r="N496" s="18"/>
      <c r="O496" s="18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>
      <c r="A497" s="1"/>
      <c r="B497" s="1"/>
      <c r="C497" s="18"/>
      <c r="D497" s="47"/>
      <c r="E497" s="18"/>
      <c r="F497" s="18"/>
      <c r="G497" s="18"/>
      <c r="H497" s="18"/>
      <c r="I497" s="25"/>
      <c r="J497" s="18"/>
      <c r="K497" s="18"/>
      <c r="L497" s="18"/>
      <c r="M497" s="18"/>
      <c r="N497" s="18"/>
      <c r="O497" s="18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>
      <c r="A498" s="1"/>
      <c r="B498" s="1"/>
      <c r="C498" s="18"/>
      <c r="D498" s="47"/>
      <c r="E498" s="18"/>
      <c r="F498" s="18"/>
      <c r="G498" s="18"/>
      <c r="H498" s="18"/>
      <c r="I498" s="25"/>
      <c r="J498" s="18"/>
      <c r="K498" s="18"/>
      <c r="L498" s="18"/>
      <c r="M498" s="18"/>
      <c r="N498" s="18"/>
      <c r="O498" s="18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>
      <c r="A499" s="1"/>
      <c r="B499" s="1"/>
      <c r="C499" s="18"/>
      <c r="D499" s="47"/>
      <c r="E499" s="18"/>
      <c r="F499" s="18"/>
      <c r="G499" s="18"/>
      <c r="H499" s="18"/>
      <c r="I499" s="25"/>
      <c r="J499" s="18"/>
      <c r="K499" s="18"/>
      <c r="L499" s="18"/>
      <c r="M499" s="18"/>
      <c r="N499" s="18"/>
      <c r="O499" s="18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>
      <c r="A500" s="1"/>
      <c r="B500" s="1"/>
      <c r="C500" s="18"/>
      <c r="D500" s="47"/>
      <c r="E500" s="18"/>
      <c r="F500" s="18"/>
      <c r="G500" s="18"/>
      <c r="H500" s="18"/>
      <c r="I500" s="25"/>
      <c r="J500" s="18"/>
      <c r="K500" s="18"/>
      <c r="L500" s="18"/>
      <c r="M500" s="18"/>
      <c r="N500" s="18"/>
      <c r="O500" s="18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>
      <c r="A501" s="1"/>
      <c r="B501" s="1"/>
      <c r="C501" s="18"/>
      <c r="D501" s="47"/>
      <c r="E501" s="18"/>
      <c r="F501" s="18"/>
      <c r="G501" s="18"/>
      <c r="H501" s="18"/>
      <c r="I501" s="25"/>
      <c r="J501" s="18"/>
      <c r="K501" s="18"/>
      <c r="L501" s="18"/>
      <c r="M501" s="18"/>
      <c r="N501" s="18"/>
      <c r="O501" s="18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>
      <c r="A502" s="1"/>
      <c r="B502" s="1"/>
      <c r="C502" s="18"/>
      <c r="D502" s="47"/>
      <c r="E502" s="18"/>
      <c r="F502" s="18"/>
      <c r="G502" s="18"/>
      <c r="H502" s="18"/>
      <c r="I502" s="25"/>
      <c r="J502" s="18"/>
      <c r="K502" s="18"/>
      <c r="L502" s="18"/>
      <c r="M502" s="18"/>
      <c r="N502" s="18"/>
      <c r="O502" s="18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>
      <c r="A503" s="1"/>
      <c r="B503" s="1"/>
      <c r="C503" s="18"/>
      <c r="D503" s="47"/>
      <c r="E503" s="18"/>
      <c r="F503" s="18"/>
      <c r="G503" s="18"/>
      <c r="H503" s="18"/>
      <c r="I503" s="25"/>
      <c r="J503" s="18"/>
      <c r="K503" s="18"/>
      <c r="L503" s="18"/>
      <c r="M503" s="18"/>
      <c r="N503" s="18"/>
      <c r="O503" s="18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>
      <c r="A504" s="1"/>
      <c r="B504" s="1"/>
      <c r="C504" s="18"/>
      <c r="D504" s="47"/>
      <c r="E504" s="18"/>
      <c r="F504" s="18"/>
      <c r="G504" s="18"/>
      <c r="H504" s="18"/>
      <c r="I504" s="25"/>
      <c r="J504" s="18"/>
      <c r="K504" s="18"/>
      <c r="L504" s="18"/>
      <c r="M504" s="18"/>
      <c r="N504" s="18"/>
      <c r="O504" s="18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>
      <c r="A505" s="1"/>
      <c r="B505" s="1"/>
      <c r="C505" s="18"/>
      <c r="D505" s="47"/>
      <c r="E505" s="18"/>
      <c r="F505" s="18"/>
      <c r="G505" s="18"/>
      <c r="H505" s="18"/>
      <c r="I505" s="25"/>
      <c r="J505" s="18"/>
      <c r="K505" s="18"/>
      <c r="L505" s="18"/>
      <c r="M505" s="18"/>
      <c r="N505" s="18"/>
      <c r="O505" s="18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>
      <c r="A506" s="1"/>
      <c r="B506" s="1"/>
      <c r="C506" s="18"/>
      <c r="D506" s="47"/>
      <c r="E506" s="18"/>
      <c r="F506" s="18"/>
      <c r="G506" s="18"/>
      <c r="H506" s="18"/>
      <c r="I506" s="25"/>
      <c r="J506" s="18"/>
      <c r="K506" s="18"/>
      <c r="L506" s="18"/>
      <c r="M506" s="18"/>
      <c r="N506" s="18"/>
      <c r="O506" s="18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>
      <c r="A507" s="1"/>
      <c r="B507" s="1"/>
      <c r="C507" s="18"/>
      <c r="D507" s="47"/>
      <c r="E507" s="18"/>
      <c r="F507" s="18"/>
      <c r="G507" s="18"/>
      <c r="H507" s="18"/>
      <c r="I507" s="25"/>
      <c r="J507" s="18"/>
      <c r="K507" s="18"/>
      <c r="L507" s="18"/>
      <c r="M507" s="18"/>
      <c r="N507" s="18"/>
      <c r="O507" s="18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>
      <c r="A508" s="1"/>
      <c r="B508" s="1"/>
      <c r="C508" s="18"/>
      <c r="D508" s="47"/>
      <c r="E508" s="18"/>
      <c r="F508" s="18"/>
      <c r="G508" s="18"/>
      <c r="H508" s="18"/>
      <c r="I508" s="25"/>
      <c r="J508" s="18"/>
      <c r="K508" s="18"/>
      <c r="L508" s="18"/>
      <c r="M508" s="18"/>
      <c r="N508" s="18"/>
      <c r="O508" s="18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>
      <c r="A509" s="1"/>
      <c r="B509" s="1"/>
      <c r="C509" s="18"/>
      <c r="D509" s="47"/>
      <c r="E509" s="18"/>
      <c r="F509" s="18"/>
      <c r="G509" s="18"/>
      <c r="H509" s="18"/>
      <c r="I509" s="25"/>
      <c r="J509" s="18"/>
      <c r="K509" s="18"/>
      <c r="L509" s="18"/>
      <c r="M509" s="18"/>
      <c r="N509" s="18"/>
      <c r="O509" s="18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>
      <c r="A510" s="1"/>
      <c r="B510" s="1"/>
      <c r="C510" s="18"/>
      <c r="D510" s="47"/>
      <c r="E510" s="18"/>
      <c r="F510" s="18"/>
      <c r="G510" s="18"/>
      <c r="H510" s="18"/>
      <c r="I510" s="25"/>
      <c r="J510" s="18"/>
      <c r="K510" s="18"/>
      <c r="L510" s="18"/>
      <c r="M510" s="18"/>
      <c r="N510" s="18"/>
      <c r="O510" s="18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>
      <c r="A511" s="1"/>
      <c r="B511" s="1"/>
      <c r="C511" s="18"/>
      <c r="D511" s="47"/>
      <c r="E511" s="18"/>
      <c r="F511" s="18"/>
      <c r="G511" s="18"/>
      <c r="H511" s="18"/>
      <c r="I511" s="25"/>
      <c r="J511" s="18"/>
      <c r="K511" s="18"/>
      <c r="L511" s="18"/>
      <c r="M511" s="18"/>
      <c r="N511" s="18"/>
      <c r="O511" s="18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>
      <c r="A512" s="1"/>
      <c r="B512" s="1"/>
      <c r="C512" s="18"/>
      <c r="D512" s="47"/>
      <c r="E512" s="18"/>
      <c r="F512" s="18"/>
      <c r="G512" s="18"/>
      <c r="H512" s="18"/>
      <c r="I512" s="25"/>
      <c r="J512" s="18"/>
      <c r="K512" s="18"/>
      <c r="L512" s="18"/>
      <c r="M512" s="18"/>
      <c r="N512" s="18"/>
      <c r="O512" s="18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>
      <c r="A513" s="1"/>
      <c r="B513" s="1"/>
      <c r="C513" s="18"/>
      <c r="D513" s="47"/>
      <c r="E513" s="18"/>
      <c r="F513" s="18"/>
      <c r="G513" s="18"/>
      <c r="H513" s="18"/>
      <c r="I513" s="25"/>
      <c r="J513" s="18"/>
      <c r="K513" s="18"/>
      <c r="L513" s="18"/>
      <c r="M513" s="18"/>
      <c r="N513" s="18"/>
      <c r="O513" s="18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>
      <c r="A514" s="1"/>
      <c r="B514" s="1"/>
      <c r="C514" s="18"/>
      <c r="D514" s="47"/>
      <c r="E514" s="18"/>
      <c r="F514" s="18"/>
      <c r="G514" s="18"/>
      <c r="H514" s="18"/>
      <c r="I514" s="25"/>
      <c r="J514" s="18"/>
      <c r="K514" s="18"/>
      <c r="L514" s="18"/>
      <c r="M514" s="18"/>
      <c r="N514" s="18"/>
      <c r="O514" s="18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>
      <c r="A515" s="1"/>
      <c r="B515" s="1"/>
      <c r="C515" s="18"/>
      <c r="D515" s="47"/>
      <c r="E515" s="18"/>
      <c r="F515" s="18"/>
      <c r="G515" s="18"/>
      <c r="H515" s="18"/>
      <c r="I515" s="25"/>
      <c r="J515" s="18"/>
      <c r="K515" s="18"/>
      <c r="L515" s="18"/>
      <c r="M515" s="18"/>
      <c r="N515" s="18"/>
      <c r="O515" s="18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>
      <c r="A516" s="1"/>
      <c r="B516" s="1"/>
      <c r="C516" s="18"/>
      <c r="D516" s="47"/>
      <c r="E516" s="18"/>
      <c r="F516" s="18"/>
      <c r="G516" s="18"/>
      <c r="H516" s="18"/>
      <c r="I516" s="25"/>
      <c r="J516" s="18"/>
      <c r="K516" s="18"/>
      <c r="L516" s="18"/>
      <c r="M516" s="18"/>
      <c r="N516" s="18"/>
      <c r="O516" s="18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>
      <c r="A517" s="1"/>
      <c r="B517" s="1"/>
      <c r="C517" s="18"/>
      <c r="D517" s="47"/>
      <c r="E517" s="18"/>
      <c r="F517" s="18"/>
      <c r="G517" s="18"/>
      <c r="H517" s="18"/>
      <c r="I517" s="25"/>
      <c r="J517" s="18"/>
      <c r="K517" s="18"/>
      <c r="L517" s="18"/>
      <c r="M517" s="18"/>
      <c r="N517" s="18"/>
      <c r="O517" s="18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>
      <c r="A518" s="1"/>
      <c r="B518" s="1"/>
      <c r="C518" s="18"/>
      <c r="D518" s="47"/>
      <c r="E518" s="18"/>
      <c r="F518" s="18"/>
      <c r="G518" s="18"/>
      <c r="H518" s="18"/>
      <c r="I518" s="25"/>
      <c r="J518" s="18"/>
      <c r="K518" s="18"/>
      <c r="L518" s="18"/>
      <c r="M518" s="18"/>
      <c r="N518" s="18"/>
      <c r="O518" s="18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>
      <c r="A519" s="1"/>
      <c r="B519" s="1"/>
      <c r="C519" s="18"/>
      <c r="D519" s="47"/>
      <c r="E519" s="18"/>
      <c r="F519" s="18"/>
      <c r="G519" s="18"/>
      <c r="H519" s="18"/>
      <c r="I519" s="25"/>
      <c r="J519" s="18"/>
      <c r="K519" s="18"/>
      <c r="L519" s="18"/>
      <c r="M519" s="18"/>
      <c r="N519" s="18"/>
      <c r="O519" s="18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>
      <c r="A520" s="1"/>
      <c r="B520" s="1"/>
      <c r="C520" s="18"/>
      <c r="D520" s="47"/>
      <c r="E520" s="18"/>
      <c r="F520" s="18"/>
      <c r="G520" s="18"/>
      <c r="H520" s="18"/>
      <c r="I520" s="25"/>
      <c r="J520" s="18"/>
      <c r="K520" s="18"/>
      <c r="L520" s="18"/>
      <c r="M520" s="18"/>
      <c r="N520" s="18"/>
      <c r="O520" s="18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>
      <c r="A521" s="1"/>
      <c r="B521" s="1"/>
      <c r="C521" s="18"/>
      <c r="D521" s="47"/>
      <c r="E521" s="18"/>
      <c r="F521" s="18"/>
      <c r="G521" s="18"/>
      <c r="H521" s="18"/>
      <c r="I521" s="25"/>
      <c r="J521" s="18"/>
      <c r="K521" s="18"/>
      <c r="L521" s="18"/>
      <c r="M521" s="18"/>
      <c r="N521" s="18"/>
      <c r="O521" s="18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>
      <c r="A522" s="1"/>
      <c r="B522" s="1"/>
      <c r="C522" s="18"/>
      <c r="D522" s="47"/>
      <c r="E522" s="18"/>
      <c r="F522" s="18"/>
      <c r="G522" s="18"/>
      <c r="H522" s="18"/>
      <c r="I522" s="25"/>
      <c r="J522" s="18"/>
      <c r="K522" s="18"/>
      <c r="L522" s="18"/>
      <c r="M522" s="18"/>
      <c r="N522" s="18"/>
      <c r="O522" s="18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>
      <c r="A523" s="1"/>
      <c r="B523" s="1"/>
      <c r="C523" s="18"/>
      <c r="D523" s="47"/>
      <c r="E523" s="18"/>
      <c r="F523" s="18"/>
      <c r="G523" s="18"/>
      <c r="H523" s="18"/>
      <c r="I523" s="25"/>
      <c r="J523" s="18"/>
      <c r="K523" s="18"/>
      <c r="L523" s="18"/>
      <c r="M523" s="18"/>
      <c r="N523" s="18"/>
      <c r="O523" s="18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>
      <c r="A524" s="1"/>
      <c r="B524" s="1"/>
      <c r="C524" s="18"/>
      <c r="D524" s="47"/>
      <c r="E524" s="18"/>
      <c r="F524" s="18"/>
      <c r="G524" s="18"/>
      <c r="H524" s="18"/>
      <c r="I524" s="25"/>
      <c r="J524" s="18"/>
      <c r="K524" s="18"/>
      <c r="L524" s="18"/>
      <c r="M524" s="18"/>
      <c r="N524" s="18"/>
      <c r="O524" s="18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>
      <c r="A525" s="1"/>
      <c r="B525" s="1"/>
      <c r="C525" s="18"/>
      <c r="D525" s="47"/>
      <c r="E525" s="18"/>
      <c r="F525" s="18"/>
      <c r="G525" s="18"/>
      <c r="H525" s="18"/>
      <c r="I525" s="25"/>
      <c r="J525" s="18"/>
      <c r="K525" s="18"/>
      <c r="L525" s="18"/>
      <c r="M525" s="18"/>
      <c r="N525" s="18"/>
      <c r="O525" s="18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>
      <c r="A526" s="1"/>
      <c r="B526" s="1"/>
      <c r="C526" s="18"/>
      <c r="D526" s="47"/>
      <c r="E526" s="18"/>
      <c r="F526" s="18"/>
      <c r="G526" s="18"/>
      <c r="H526" s="18"/>
      <c r="I526" s="25"/>
      <c r="J526" s="18"/>
      <c r="K526" s="18"/>
      <c r="L526" s="18"/>
      <c r="M526" s="18"/>
      <c r="N526" s="18"/>
      <c r="O526" s="18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>
      <c r="A527" s="1"/>
      <c r="B527" s="1"/>
      <c r="C527" s="18"/>
      <c r="D527" s="47"/>
      <c r="E527" s="18"/>
      <c r="F527" s="18"/>
      <c r="G527" s="18"/>
      <c r="H527" s="18"/>
      <c r="I527" s="25"/>
      <c r="J527" s="18"/>
      <c r="K527" s="18"/>
      <c r="L527" s="18"/>
      <c r="M527" s="18"/>
      <c r="N527" s="18"/>
      <c r="O527" s="18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>
      <c r="A528" s="1"/>
      <c r="B528" s="1"/>
      <c r="C528" s="18"/>
      <c r="D528" s="47"/>
      <c r="E528" s="18"/>
      <c r="F528" s="18"/>
      <c r="G528" s="18"/>
      <c r="H528" s="18"/>
      <c r="I528" s="25"/>
      <c r="J528" s="18"/>
      <c r="K528" s="18"/>
      <c r="L528" s="18"/>
      <c r="M528" s="18"/>
      <c r="N528" s="18"/>
      <c r="O528" s="18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>
      <c r="A529" s="1"/>
      <c r="B529" s="1"/>
      <c r="C529" s="18"/>
      <c r="D529" s="47"/>
      <c r="E529" s="18"/>
      <c r="F529" s="18"/>
      <c r="G529" s="18"/>
      <c r="H529" s="18"/>
      <c r="I529" s="25"/>
      <c r="J529" s="18"/>
      <c r="K529" s="18"/>
      <c r="L529" s="18"/>
      <c r="M529" s="18"/>
      <c r="N529" s="18"/>
      <c r="O529" s="18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>
      <c r="A530" s="1"/>
      <c r="B530" s="1"/>
      <c r="C530" s="18"/>
      <c r="D530" s="47"/>
      <c r="E530" s="18"/>
      <c r="F530" s="18"/>
      <c r="G530" s="18"/>
      <c r="H530" s="18"/>
      <c r="I530" s="25"/>
      <c r="J530" s="18"/>
      <c r="K530" s="18"/>
      <c r="L530" s="18"/>
      <c r="M530" s="18"/>
      <c r="N530" s="18"/>
      <c r="O530" s="18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>
      <c r="A531" s="1"/>
      <c r="B531" s="1"/>
      <c r="C531" s="18"/>
      <c r="D531" s="47"/>
      <c r="E531" s="18"/>
      <c r="F531" s="18"/>
      <c r="G531" s="18"/>
      <c r="H531" s="18"/>
      <c r="I531" s="25"/>
      <c r="J531" s="18"/>
      <c r="K531" s="18"/>
      <c r="L531" s="18"/>
      <c r="M531" s="18"/>
      <c r="N531" s="18"/>
      <c r="O531" s="18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>
      <c r="A532" s="1"/>
      <c r="B532" s="1"/>
      <c r="C532" s="18"/>
      <c r="D532" s="47"/>
      <c r="E532" s="18"/>
      <c r="F532" s="18"/>
      <c r="G532" s="18"/>
      <c r="H532" s="18"/>
      <c r="I532" s="25"/>
      <c r="J532" s="18"/>
      <c r="K532" s="18"/>
      <c r="L532" s="18"/>
      <c r="M532" s="18"/>
      <c r="N532" s="18"/>
      <c r="O532" s="18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>
      <c r="A533" s="1"/>
      <c r="B533" s="1"/>
      <c r="C533" s="18"/>
      <c r="D533" s="47"/>
      <c r="E533" s="18"/>
      <c r="F533" s="18"/>
      <c r="G533" s="18"/>
      <c r="H533" s="18"/>
      <c r="I533" s="25"/>
      <c r="J533" s="18"/>
      <c r="K533" s="18"/>
      <c r="L533" s="18"/>
      <c r="M533" s="18"/>
      <c r="N533" s="18"/>
      <c r="O533" s="18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>
      <c r="A534" s="1"/>
      <c r="B534" s="1"/>
      <c r="C534" s="18"/>
      <c r="D534" s="47"/>
      <c r="E534" s="18"/>
      <c r="F534" s="18"/>
      <c r="G534" s="18"/>
      <c r="H534" s="18"/>
      <c r="I534" s="25"/>
      <c r="J534" s="18"/>
      <c r="K534" s="18"/>
      <c r="L534" s="18"/>
      <c r="M534" s="18"/>
      <c r="N534" s="18"/>
      <c r="O534" s="18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>
      <c r="A535" s="1"/>
      <c r="B535" s="1"/>
      <c r="C535" s="18"/>
      <c r="D535" s="47"/>
      <c r="E535" s="18"/>
      <c r="F535" s="18"/>
      <c r="G535" s="18"/>
      <c r="H535" s="18"/>
      <c r="I535" s="25"/>
      <c r="J535" s="18"/>
      <c r="K535" s="18"/>
      <c r="L535" s="18"/>
      <c r="M535" s="18"/>
      <c r="N535" s="18"/>
      <c r="O535" s="18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>
      <c r="A536" s="1"/>
      <c r="B536" s="1"/>
      <c r="C536" s="18"/>
      <c r="D536" s="47"/>
      <c r="E536" s="18"/>
      <c r="F536" s="18"/>
      <c r="G536" s="18"/>
      <c r="H536" s="18"/>
      <c r="I536" s="25"/>
      <c r="J536" s="18"/>
      <c r="K536" s="18"/>
      <c r="L536" s="18"/>
      <c r="M536" s="18"/>
      <c r="N536" s="18"/>
      <c r="O536" s="18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>
      <c r="A537" s="1"/>
      <c r="B537" s="1"/>
      <c r="C537" s="18"/>
      <c r="D537" s="47"/>
      <c r="E537" s="18"/>
      <c r="F537" s="18"/>
      <c r="G537" s="18"/>
      <c r="H537" s="18"/>
      <c r="I537" s="25"/>
      <c r="J537" s="18"/>
      <c r="K537" s="18"/>
      <c r="L537" s="18"/>
      <c r="M537" s="18"/>
      <c r="N537" s="18"/>
      <c r="O537" s="18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>
      <c r="A538" s="1"/>
      <c r="B538" s="1"/>
      <c r="C538" s="18"/>
      <c r="D538" s="47"/>
      <c r="E538" s="18"/>
      <c r="F538" s="18"/>
      <c r="G538" s="18"/>
      <c r="H538" s="18"/>
      <c r="I538" s="25"/>
      <c r="J538" s="18"/>
      <c r="K538" s="18"/>
      <c r="L538" s="18"/>
      <c r="M538" s="18"/>
      <c r="N538" s="18"/>
      <c r="O538" s="18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>
      <c r="A539" s="1"/>
      <c r="B539" s="1"/>
      <c r="C539" s="18"/>
      <c r="D539" s="47"/>
      <c r="E539" s="18"/>
      <c r="F539" s="18"/>
      <c r="G539" s="18"/>
      <c r="H539" s="18"/>
      <c r="I539" s="25"/>
      <c r="J539" s="18"/>
      <c r="K539" s="18"/>
      <c r="L539" s="18"/>
      <c r="M539" s="18"/>
      <c r="N539" s="18"/>
      <c r="O539" s="18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>
      <c r="A540" s="1"/>
      <c r="B540" s="1"/>
      <c r="C540" s="18"/>
      <c r="D540" s="47"/>
      <c r="E540" s="18"/>
      <c r="F540" s="18"/>
      <c r="G540" s="18"/>
      <c r="H540" s="18"/>
      <c r="I540" s="25"/>
      <c r="J540" s="18"/>
      <c r="K540" s="18"/>
      <c r="L540" s="18"/>
      <c r="M540" s="18"/>
      <c r="N540" s="18"/>
      <c r="O540" s="18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>
      <c r="A541" s="1"/>
      <c r="B541" s="1"/>
      <c r="C541" s="18"/>
      <c r="D541" s="47"/>
      <c r="E541" s="18"/>
      <c r="F541" s="18"/>
      <c r="G541" s="18"/>
      <c r="H541" s="18"/>
      <c r="I541" s="25"/>
      <c r="J541" s="18"/>
      <c r="K541" s="18"/>
      <c r="L541" s="18"/>
      <c r="M541" s="18"/>
      <c r="N541" s="18"/>
      <c r="O541" s="18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>
      <c r="A542" s="1"/>
      <c r="B542" s="1"/>
      <c r="C542" s="18"/>
      <c r="D542" s="47"/>
      <c r="E542" s="18"/>
      <c r="F542" s="18"/>
      <c r="G542" s="18"/>
      <c r="H542" s="18"/>
      <c r="I542" s="25"/>
      <c r="J542" s="18"/>
      <c r="K542" s="18"/>
      <c r="L542" s="18"/>
      <c r="M542" s="18"/>
      <c r="N542" s="18"/>
      <c r="O542" s="18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>
      <c r="A543" s="1"/>
      <c r="B543" s="1"/>
      <c r="C543" s="18"/>
      <c r="D543" s="47"/>
      <c r="E543" s="18"/>
      <c r="F543" s="18"/>
      <c r="G543" s="18"/>
      <c r="H543" s="18"/>
      <c r="I543" s="25"/>
      <c r="J543" s="18"/>
      <c r="K543" s="18"/>
      <c r="L543" s="18"/>
      <c r="M543" s="18"/>
      <c r="N543" s="18"/>
      <c r="O543" s="18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>
      <c r="A544" s="1"/>
      <c r="B544" s="1"/>
      <c r="C544" s="18"/>
      <c r="D544" s="47"/>
      <c r="E544" s="18"/>
      <c r="F544" s="18"/>
      <c r="G544" s="18"/>
      <c r="H544" s="18"/>
      <c r="I544" s="25"/>
      <c r="J544" s="18"/>
      <c r="K544" s="18"/>
      <c r="L544" s="18"/>
      <c r="M544" s="18"/>
      <c r="N544" s="18"/>
      <c r="O544" s="18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>
      <c r="A545" s="1"/>
      <c r="B545" s="1"/>
      <c r="C545" s="18"/>
      <c r="D545" s="47"/>
      <c r="E545" s="18"/>
      <c r="F545" s="18"/>
      <c r="G545" s="18"/>
      <c r="H545" s="18"/>
      <c r="I545" s="25"/>
      <c r="J545" s="18"/>
      <c r="K545" s="18"/>
      <c r="L545" s="18"/>
      <c r="M545" s="18"/>
      <c r="N545" s="18"/>
      <c r="O545" s="18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>
      <c r="A546" s="1"/>
      <c r="B546" s="1"/>
      <c r="C546" s="18"/>
      <c r="D546" s="47"/>
      <c r="E546" s="18"/>
      <c r="F546" s="18"/>
      <c r="G546" s="18"/>
      <c r="H546" s="18"/>
      <c r="I546" s="25"/>
      <c r="J546" s="18"/>
      <c r="K546" s="18"/>
      <c r="L546" s="18"/>
      <c r="M546" s="18"/>
      <c r="N546" s="18"/>
      <c r="O546" s="18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>
      <c r="A547" s="1"/>
      <c r="B547" s="1"/>
      <c r="C547" s="18"/>
      <c r="D547" s="47"/>
      <c r="E547" s="18"/>
      <c r="F547" s="18"/>
      <c r="G547" s="18"/>
      <c r="H547" s="18"/>
      <c r="I547" s="25"/>
      <c r="J547" s="18"/>
      <c r="K547" s="18"/>
      <c r="L547" s="18"/>
      <c r="M547" s="18"/>
      <c r="N547" s="18"/>
      <c r="O547" s="18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>
      <c r="A548" s="1"/>
      <c r="B548" s="1"/>
      <c r="C548" s="18"/>
      <c r="D548" s="47"/>
      <c r="E548" s="18"/>
      <c r="F548" s="18"/>
      <c r="G548" s="18"/>
      <c r="H548" s="18"/>
      <c r="I548" s="25"/>
      <c r="J548" s="18"/>
      <c r="K548" s="18"/>
      <c r="L548" s="18"/>
      <c r="M548" s="18"/>
      <c r="N548" s="18"/>
      <c r="O548" s="18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>
      <c r="A549" s="1"/>
      <c r="B549" s="1"/>
      <c r="C549" s="18"/>
      <c r="D549" s="47"/>
      <c r="E549" s="18"/>
      <c r="F549" s="18"/>
      <c r="G549" s="18"/>
      <c r="H549" s="18"/>
      <c r="I549" s="25"/>
      <c r="J549" s="18"/>
      <c r="K549" s="18"/>
      <c r="L549" s="18"/>
      <c r="M549" s="18"/>
      <c r="N549" s="18"/>
      <c r="O549" s="18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>
      <c r="A550" s="1"/>
      <c r="B550" s="1"/>
      <c r="C550" s="18"/>
      <c r="D550" s="47"/>
      <c r="E550" s="18"/>
      <c r="F550" s="18"/>
      <c r="G550" s="18"/>
      <c r="H550" s="18"/>
      <c r="I550" s="25"/>
      <c r="J550" s="18"/>
      <c r="K550" s="18"/>
      <c r="L550" s="18"/>
      <c r="M550" s="18"/>
      <c r="N550" s="18"/>
      <c r="O550" s="18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>
      <c r="A551" s="1"/>
      <c r="B551" s="1"/>
      <c r="C551" s="18"/>
      <c r="D551" s="47"/>
      <c r="E551" s="18"/>
      <c r="F551" s="18"/>
      <c r="G551" s="18"/>
      <c r="H551" s="18"/>
      <c r="I551" s="25"/>
      <c r="J551" s="18"/>
      <c r="K551" s="18"/>
      <c r="L551" s="18"/>
      <c r="M551" s="18"/>
      <c r="N551" s="18"/>
      <c r="O551" s="18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>
      <c r="A552" s="1"/>
      <c r="B552" s="1"/>
      <c r="C552" s="18"/>
      <c r="D552" s="47"/>
      <c r="E552" s="18"/>
      <c r="F552" s="18"/>
      <c r="G552" s="18"/>
      <c r="H552" s="18"/>
      <c r="I552" s="25"/>
      <c r="J552" s="18"/>
      <c r="K552" s="18"/>
      <c r="L552" s="18"/>
      <c r="M552" s="18"/>
      <c r="N552" s="18"/>
      <c r="O552" s="18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>
      <c r="A553" s="1"/>
      <c r="B553" s="1"/>
      <c r="C553" s="18"/>
      <c r="D553" s="47"/>
      <c r="E553" s="18"/>
      <c r="F553" s="18"/>
      <c r="G553" s="18"/>
      <c r="H553" s="18"/>
      <c r="I553" s="25"/>
      <c r="J553" s="18"/>
      <c r="K553" s="18"/>
      <c r="L553" s="18"/>
      <c r="M553" s="18"/>
      <c r="N553" s="18"/>
      <c r="O553" s="18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>
      <c r="A554" s="1"/>
      <c r="B554" s="1"/>
      <c r="C554" s="18"/>
      <c r="D554" s="47"/>
      <c r="E554" s="18"/>
      <c r="F554" s="18"/>
      <c r="G554" s="18"/>
      <c r="H554" s="18"/>
      <c r="I554" s="25"/>
      <c r="J554" s="18"/>
      <c r="K554" s="18"/>
      <c r="L554" s="18"/>
      <c r="M554" s="18"/>
      <c r="N554" s="18"/>
      <c r="O554" s="18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>
      <c r="A555" s="1"/>
      <c r="B555" s="1"/>
      <c r="C555" s="18"/>
      <c r="D555" s="47"/>
      <c r="E555" s="18"/>
      <c r="F555" s="18"/>
      <c r="G555" s="18"/>
      <c r="H555" s="18"/>
      <c r="I555" s="25"/>
      <c r="J555" s="18"/>
      <c r="K555" s="18"/>
      <c r="L555" s="18"/>
      <c r="M555" s="18"/>
      <c r="N555" s="18"/>
      <c r="O555" s="18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>
      <c r="A556" s="1"/>
      <c r="B556" s="1"/>
      <c r="C556" s="18"/>
      <c r="D556" s="47"/>
      <c r="E556" s="18"/>
      <c r="F556" s="18"/>
      <c r="G556" s="18"/>
      <c r="H556" s="18"/>
      <c r="I556" s="25"/>
      <c r="J556" s="18"/>
      <c r="K556" s="18"/>
      <c r="L556" s="18"/>
      <c r="M556" s="18"/>
      <c r="N556" s="18"/>
      <c r="O556" s="18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>
      <c r="A557" s="1"/>
      <c r="B557" s="1"/>
      <c r="C557" s="18"/>
      <c r="D557" s="47"/>
      <c r="E557" s="18"/>
      <c r="F557" s="18"/>
      <c r="G557" s="18"/>
      <c r="H557" s="18"/>
      <c r="I557" s="25"/>
      <c r="J557" s="18"/>
      <c r="K557" s="18"/>
      <c r="L557" s="18"/>
      <c r="M557" s="18"/>
      <c r="N557" s="18"/>
      <c r="O557" s="18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>
      <c r="A558" s="1"/>
      <c r="B558" s="1"/>
      <c r="C558" s="18"/>
      <c r="D558" s="47"/>
      <c r="E558" s="18"/>
      <c r="F558" s="18"/>
      <c r="G558" s="18"/>
      <c r="H558" s="18"/>
      <c r="I558" s="25"/>
      <c r="J558" s="18"/>
      <c r="K558" s="18"/>
      <c r="L558" s="18"/>
      <c r="M558" s="18"/>
      <c r="N558" s="18"/>
      <c r="O558" s="18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>
      <c r="A559" s="1"/>
      <c r="B559" s="1"/>
      <c r="C559" s="18"/>
      <c r="D559" s="47"/>
      <c r="E559" s="18"/>
      <c r="F559" s="18"/>
      <c r="G559" s="18"/>
      <c r="H559" s="18"/>
      <c r="I559" s="25"/>
      <c r="J559" s="18"/>
      <c r="K559" s="18"/>
      <c r="L559" s="18"/>
      <c r="M559" s="18"/>
      <c r="N559" s="18"/>
      <c r="O559" s="18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>
      <c r="A560" s="1"/>
      <c r="B560" s="1"/>
      <c r="C560" s="18"/>
      <c r="D560" s="47"/>
      <c r="E560" s="18"/>
      <c r="F560" s="18"/>
      <c r="G560" s="18"/>
      <c r="H560" s="18"/>
      <c r="I560" s="25"/>
      <c r="J560" s="18"/>
      <c r="K560" s="18"/>
      <c r="L560" s="18"/>
      <c r="M560" s="18"/>
      <c r="N560" s="18"/>
      <c r="O560" s="18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>
      <c r="A561" s="1"/>
      <c r="B561" s="1"/>
      <c r="C561" s="18"/>
      <c r="D561" s="47"/>
      <c r="E561" s="18"/>
      <c r="F561" s="18"/>
      <c r="G561" s="18"/>
      <c r="H561" s="18"/>
      <c r="I561" s="25"/>
      <c r="J561" s="18"/>
      <c r="K561" s="18"/>
      <c r="L561" s="18"/>
      <c r="M561" s="18"/>
      <c r="N561" s="18"/>
      <c r="O561" s="18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>
      <c r="A562" s="1"/>
      <c r="B562" s="1"/>
      <c r="C562" s="18"/>
      <c r="D562" s="47"/>
      <c r="E562" s="18"/>
      <c r="F562" s="18"/>
      <c r="G562" s="18"/>
      <c r="H562" s="18"/>
      <c r="I562" s="25"/>
      <c r="J562" s="18"/>
      <c r="K562" s="18"/>
      <c r="L562" s="18"/>
      <c r="M562" s="18"/>
      <c r="N562" s="18"/>
      <c r="O562" s="18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>
      <c r="A563" s="1"/>
      <c r="B563" s="1"/>
      <c r="C563" s="18"/>
      <c r="D563" s="47"/>
      <c r="E563" s="18"/>
      <c r="F563" s="18"/>
      <c r="G563" s="18"/>
      <c r="H563" s="18"/>
      <c r="I563" s="25"/>
      <c r="J563" s="18"/>
      <c r="K563" s="18"/>
      <c r="L563" s="18"/>
      <c r="M563" s="18"/>
      <c r="N563" s="18"/>
      <c r="O563" s="18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>
      <c r="A564" s="1"/>
      <c r="B564" s="1"/>
      <c r="C564" s="18"/>
      <c r="D564" s="47"/>
      <c r="E564" s="18"/>
      <c r="F564" s="18"/>
      <c r="G564" s="18"/>
      <c r="H564" s="18"/>
      <c r="I564" s="25"/>
      <c r="J564" s="18"/>
      <c r="K564" s="18"/>
      <c r="L564" s="18"/>
      <c r="M564" s="18"/>
      <c r="N564" s="18"/>
      <c r="O564" s="18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>
      <c r="A565" s="1"/>
      <c r="B565" s="1"/>
      <c r="C565" s="18"/>
      <c r="D565" s="47"/>
      <c r="E565" s="18"/>
      <c r="F565" s="18"/>
      <c r="G565" s="18"/>
      <c r="H565" s="18"/>
      <c r="I565" s="25"/>
      <c r="J565" s="18"/>
      <c r="K565" s="18"/>
      <c r="L565" s="18"/>
      <c r="M565" s="18"/>
      <c r="N565" s="18"/>
      <c r="O565" s="18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>
      <c r="A566" s="1"/>
      <c r="B566" s="1"/>
      <c r="C566" s="18"/>
      <c r="D566" s="47"/>
      <c r="E566" s="18"/>
      <c r="F566" s="18"/>
      <c r="G566" s="18"/>
      <c r="H566" s="18"/>
      <c r="I566" s="25"/>
      <c r="J566" s="18"/>
      <c r="K566" s="18"/>
      <c r="L566" s="18"/>
      <c r="M566" s="18"/>
      <c r="N566" s="18"/>
      <c r="O566" s="18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>
      <c r="A567" s="1"/>
      <c r="B567" s="1"/>
      <c r="C567" s="18"/>
      <c r="D567" s="47"/>
      <c r="E567" s="18"/>
      <c r="F567" s="18"/>
      <c r="G567" s="18"/>
      <c r="H567" s="18"/>
      <c r="I567" s="25"/>
      <c r="J567" s="18"/>
      <c r="K567" s="18"/>
      <c r="L567" s="18"/>
      <c r="M567" s="18"/>
      <c r="N567" s="18"/>
      <c r="O567" s="18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>
      <c r="A568" s="1"/>
      <c r="B568" s="1"/>
      <c r="C568" s="18"/>
      <c r="D568" s="47"/>
      <c r="E568" s="18"/>
      <c r="F568" s="18"/>
      <c r="G568" s="18"/>
      <c r="H568" s="18"/>
      <c r="I568" s="25"/>
      <c r="J568" s="18"/>
      <c r="K568" s="18"/>
      <c r="L568" s="18"/>
      <c r="M568" s="18"/>
      <c r="N568" s="18"/>
      <c r="O568" s="18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>
      <c r="A569" s="1"/>
      <c r="B569" s="1"/>
      <c r="C569" s="18"/>
      <c r="D569" s="47"/>
      <c r="E569" s="18"/>
      <c r="F569" s="18"/>
      <c r="G569" s="18"/>
      <c r="H569" s="18"/>
      <c r="I569" s="25"/>
      <c r="J569" s="18"/>
      <c r="K569" s="18"/>
      <c r="L569" s="18"/>
      <c r="M569" s="18"/>
      <c r="N569" s="18"/>
      <c r="O569" s="18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>
      <c r="A570" s="1"/>
      <c r="B570" s="1"/>
      <c r="C570" s="18"/>
      <c r="D570" s="47"/>
      <c r="E570" s="18"/>
      <c r="F570" s="18"/>
      <c r="G570" s="18"/>
      <c r="H570" s="18"/>
      <c r="I570" s="25"/>
      <c r="J570" s="18"/>
      <c r="K570" s="18"/>
      <c r="L570" s="18"/>
      <c r="M570" s="18"/>
      <c r="N570" s="18"/>
      <c r="O570" s="18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>
      <c r="A571" s="1"/>
      <c r="B571" s="1"/>
      <c r="C571" s="18"/>
      <c r="D571" s="47"/>
      <c r="E571" s="18"/>
      <c r="F571" s="18"/>
      <c r="G571" s="18"/>
      <c r="H571" s="18"/>
      <c r="I571" s="25"/>
      <c r="J571" s="18"/>
      <c r="K571" s="18"/>
      <c r="L571" s="18"/>
      <c r="M571" s="18"/>
      <c r="N571" s="18"/>
      <c r="O571" s="18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>
      <c r="A572" s="1"/>
      <c r="B572" s="1"/>
      <c r="C572" s="18"/>
      <c r="D572" s="47"/>
      <c r="E572" s="18"/>
      <c r="F572" s="18"/>
      <c r="G572" s="18"/>
      <c r="H572" s="18"/>
      <c r="I572" s="25"/>
      <c r="J572" s="18"/>
      <c r="K572" s="18"/>
      <c r="L572" s="18"/>
      <c r="M572" s="18"/>
      <c r="N572" s="18"/>
      <c r="O572" s="18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>
      <c r="A573" s="1"/>
      <c r="B573" s="1"/>
      <c r="C573" s="18"/>
      <c r="D573" s="47"/>
      <c r="E573" s="18"/>
      <c r="F573" s="18"/>
      <c r="G573" s="18"/>
      <c r="H573" s="18"/>
      <c r="I573" s="25"/>
      <c r="J573" s="18"/>
      <c r="K573" s="18"/>
      <c r="L573" s="18"/>
      <c r="M573" s="18"/>
      <c r="N573" s="18"/>
      <c r="O573" s="18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>
      <c r="A574" s="1"/>
      <c r="B574" s="1"/>
      <c r="C574" s="18"/>
      <c r="D574" s="47"/>
      <c r="E574" s="18"/>
      <c r="F574" s="18"/>
      <c r="G574" s="18"/>
      <c r="H574" s="18"/>
      <c r="I574" s="25"/>
      <c r="J574" s="18"/>
      <c r="K574" s="18"/>
      <c r="L574" s="18"/>
      <c r="M574" s="18"/>
      <c r="N574" s="18"/>
      <c r="O574" s="18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>
      <c r="A575" s="1"/>
      <c r="B575" s="1"/>
      <c r="C575" s="18"/>
      <c r="D575" s="47"/>
      <c r="E575" s="18"/>
      <c r="F575" s="18"/>
      <c r="G575" s="18"/>
      <c r="H575" s="18"/>
      <c r="I575" s="25"/>
      <c r="J575" s="18"/>
      <c r="K575" s="18"/>
      <c r="L575" s="18"/>
      <c r="M575" s="18"/>
      <c r="N575" s="18"/>
      <c r="O575" s="18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>
      <c r="A576" s="1"/>
      <c r="B576" s="1"/>
      <c r="C576" s="18"/>
      <c r="D576" s="47"/>
      <c r="E576" s="18"/>
      <c r="F576" s="18"/>
      <c r="G576" s="18"/>
      <c r="H576" s="18"/>
      <c r="I576" s="25"/>
      <c r="J576" s="18"/>
      <c r="K576" s="18"/>
      <c r="L576" s="18"/>
      <c r="M576" s="18"/>
      <c r="N576" s="18"/>
      <c r="O576" s="18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>
      <c r="A577" s="1"/>
      <c r="B577" s="1"/>
      <c r="C577" s="18"/>
      <c r="D577" s="47"/>
      <c r="E577" s="18"/>
      <c r="F577" s="18"/>
      <c r="G577" s="18"/>
      <c r="H577" s="18"/>
      <c r="I577" s="25"/>
      <c r="J577" s="18"/>
      <c r="K577" s="18"/>
      <c r="L577" s="18"/>
      <c r="M577" s="18"/>
      <c r="N577" s="18"/>
      <c r="O577" s="18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>
      <c r="A578" s="1"/>
      <c r="B578" s="1"/>
      <c r="C578" s="18"/>
      <c r="D578" s="47"/>
      <c r="E578" s="18"/>
      <c r="F578" s="18"/>
      <c r="G578" s="18"/>
      <c r="H578" s="18"/>
      <c r="I578" s="25"/>
      <c r="J578" s="18"/>
      <c r="K578" s="18"/>
      <c r="L578" s="18"/>
      <c r="M578" s="18"/>
      <c r="N578" s="18"/>
      <c r="O578" s="18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>
      <c r="A579" s="1"/>
      <c r="B579" s="1"/>
      <c r="C579" s="18"/>
      <c r="D579" s="47"/>
      <c r="E579" s="18"/>
      <c r="F579" s="18"/>
      <c r="G579" s="18"/>
      <c r="H579" s="18"/>
      <c r="I579" s="25"/>
      <c r="J579" s="18"/>
      <c r="K579" s="18"/>
      <c r="L579" s="18"/>
      <c r="M579" s="18"/>
      <c r="N579" s="18"/>
      <c r="O579" s="18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>
      <c r="A580" s="1"/>
      <c r="B580" s="1"/>
      <c r="C580" s="18"/>
      <c r="D580" s="47"/>
      <c r="E580" s="18"/>
      <c r="F580" s="18"/>
      <c r="G580" s="18"/>
      <c r="H580" s="18"/>
      <c r="I580" s="25"/>
      <c r="J580" s="18"/>
      <c r="K580" s="18"/>
      <c r="L580" s="18"/>
      <c r="M580" s="18"/>
      <c r="N580" s="18"/>
      <c r="O580" s="18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>
      <c r="A581" s="1"/>
      <c r="B581" s="1"/>
      <c r="C581" s="18"/>
      <c r="D581" s="47"/>
      <c r="E581" s="18"/>
      <c r="F581" s="18"/>
      <c r="G581" s="18"/>
      <c r="H581" s="18"/>
      <c r="I581" s="25"/>
      <c r="J581" s="18"/>
      <c r="K581" s="18"/>
      <c r="L581" s="18"/>
      <c r="M581" s="18"/>
      <c r="N581" s="18"/>
      <c r="O581" s="18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>
      <c r="A582" s="1"/>
      <c r="B582" s="1"/>
      <c r="C582" s="18"/>
      <c r="D582" s="47"/>
      <c r="E582" s="18"/>
      <c r="F582" s="18"/>
      <c r="G582" s="18"/>
      <c r="H582" s="18"/>
      <c r="I582" s="25"/>
      <c r="J582" s="18"/>
      <c r="K582" s="18"/>
      <c r="L582" s="18"/>
      <c r="M582" s="18"/>
      <c r="N582" s="18"/>
      <c r="O582" s="18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>
      <c r="A583" s="1"/>
      <c r="B583" s="1"/>
      <c r="C583" s="18"/>
      <c r="D583" s="47"/>
      <c r="E583" s="18"/>
      <c r="F583" s="18"/>
      <c r="G583" s="18"/>
      <c r="H583" s="18"/>
      <c r="I583" s="25"/>
      <c r="J583" s="18"/>
      <c r="K583" s="18"/>
      <c r="L583" s="18"/>
      <c r="M583" s="18"/>
      <c r="N583" s="18"/>
      <c r="O583" s="18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>
      <c r="A584" s="1"/>
      <c r="B584" s="1"/>
      <c r="C584" s="18"/>
      <c r="D584" s="47"/>
      <c r="E584" s="18"/>
      <c r="F584" s="18"/>
      <c r="G584" s="18"/>
      <c r="H584" s="18"/>
      <c r="I584" s="25"/>
      <c r="J584" s="18"/>
      <c r="K584" s="18"/>
      <c r="L584" s="18"/>
      <c r="M584" s="18"/>
      <c r="N584" s="18"/>
      <c r="O584" s="18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>
      <c r="A585" s="1"/>
      <c r="B585" s="1"/>
      <c r="C585" s="18"/>
      <c r="D585" s="47"/>
      <c r="E585" s="18"/>
      <c r="F585" s="18"/>
      <c r="G585" s="18"/>
      <c r="H585" s="18"/>
      <c r="I585" s="25"/>
      <c r="J585" s="18"/>
      <c r="K585" s="18"/>
      <c r="L585" s="18"/>
      <c r="M585" s="18"/>
      <c r="N585" s="18"/>
      <c r="O585" s="18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>
      <c r="A586" s="1"/>
      <c r="B586" s="1"/>
      <c r="C586" s="18"/>
      <c r="D586" s="47"/>
      <c r="E586" s="18"/>
      <c r="F586" s="18"/>
      <c r="G586" s="18"/>
      <c r="H586" s="18"/>
      <c r="I586" s="25"/>
      <c r="J586" s="18"/>
      <c r="K586" s="18"/>
      <c r="L586" s="18"/>
      <c r="M586" s="18"/>
      <c r="N586" s="18"/>
      <c r="O586" s="18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>
      <c r="A587" s="1"/>
      <c r="B587" s="1"/>
      <c r="C587" s="18"/>
      <c r="D587" s="47"/>
      <c r="E587" s="18"/>
      <c r="F587" s="18"/>
      <c r="G587" s="18"/>
      <c r="H587" s="18"/>
      <c r="I587" s="25"/>
      <c r="J587" s="18"/>
      <c r="K587" s="18"/>
      <c r="L587" s="18"/>
      <c r="M587" s="18"/>
      <c r="N587" s="18"/>
      <c r="O587" s="18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>
      <c r="A588" s="1"/>
      <c r="B588" s="1"/>
      <c r="C588" s="18"/>
      <c r="D588" s="47"/>
      <c r="E588" s="18"/>
      <c r="F588" s="18"/>
      <c r="G588" s="18"/>
      <c r="H588" s="18"/>
      <c r="I588" s="25"/>
      <c r="J588" s="18"/>
      <c r="K588" s="18"/>
      <c r="L588" s="18"/>
      <c r="M588" s="18"/>
      <c r="N588" s="18"/>
      <c r="O588" s="18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>
      <c r="A589" s="1"/>
      <c r="B589" s="1"/>
      <c r="C589" s="18"/>
      <c r="D589" s="47"/>
      <c r="E589" s="18"/>
      <c r="F589" s="18"/>
      <c r="G589" s="18"/>
      <c r="H589" s="18"/>
      <c r="I589" s="25"/>
      <c r="J589" s="18"/>
      <c r="K589" s="18"/>
      <c r="L589" s="18"/>
      <c r="M589" s="18"/>
      <c r="N589" s="18"/>
      <c r="O589" s="18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>
      <c r="A590" s="1"/>
      <c r="B590" s="1"/>
      <c r="C590" s="18"/>
      <c r="D590" s="47"/>
      <c r="E590" s="18"/>
      <c r="F590" s="18"/>
      <c r="G590" s="18"/>
      <c r="H590" s="18"/>
      <c r="I590" s="25"/>
      <c r="J590" s="18"/>
      <c r="K590" s="18"/>
      <c r="L590" s="18"/>
      <c r="M590" s="18"/>
      <c r="N590" s="18"/>
      <c r="O590" s="18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>
      <c r="A591" s="1"/>
      <c r="B591" s="1"/>
      <c r="C591" s="18"/>
      <c r="D591" s="47"/>
      <c r="E591" s="18"/>
      <c r="F591" s="18"/>
      <c r="G591" s="18"/>
      <c r="H591" s="18"/>
      <c r="I591" s="25"/>
      <c r="J591" s="18"/>
      <c r="K591" s="18"/>
      <c r="L591" s="18"/>
      <c r="M591" s="18"/>
      <c r="N591" s="18"/>
      <c r="O591" s="18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>
      <c r="A592" s="1"/>
      <c r="B592" s="1"/>
      <c r="C592" s="18"/>
      <c r="D592" s="47"/>
      <c r="E592" s="18"/>
      <c r="F592" s="18"/>
      <c r="G592" s="18"/>
      <c r="H592" s="18"/>
      <c r="I592" s="25"/>
      <c r="J592" s="18"/>
      <c r="K592" s="18"/>
      <c r="L592" s="18"/>
      <c r="M592" s="18"/>
      <c r="N592" s="18"/>
      <c r="O592" s="18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>
      <c r="A593" s="1"/>
      <c r="B593" s="1"/>
      <c r="C593" s="18"/>
      <c r="D593" s="47"/>
      <c r="E593" s="18"/>
      <c r="F593" s="18"/>
      <c r="G593" s="18"/>
      <c r="H593" s="18"/>
      <c r="I593" s="25"/>
      <c r="J593" s="18"/>
      <c r="K593" s="18"/>
      <c r="L593" s="18"/>
      <c r="M593" s="18"/>
      <c r="N593" s="18"/>
      <c r="O593" s="18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>
      <c r="A594" s="1"/>
      <c r="B594" s="1"/>
      <c r="C594" s="18"/>
      <c r="D594" s="47"/>
      <c r="E594" s="18"/>
      <c r="F594" s="18"/>
      <c r="G594" s="18"/>
      <c r="H594" s="18"/>
      <c r="I594" s="25"/>
      <c r="J594" s="18"/>
      <c r="K594" s="18"/>
      <c r="L594" s="18"/>
      <c r="M594" s="18"/>
      <c r="N594" s="18"/>
      <c r="O594" s="18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>
      <c r="A595" s="1"/>
      <c r="B595" s="1"/>
      <c r="C595" s="18"/>
      <c r="D595" s="47"/>
      <c r="E595" s="18"/>
      <c r="F595" s="18"/>
      <c r="G595" s="18"/>
      <c r="H595" s="18"/>
      <c r="I595" s="25"/>
      <c r="J595" s="18"/>
      <c r="K595" s="18"/>
      <c r="L595" s="18"/>
      <c r="M595" s="18"/>
      <c r="N595" s="18"/>
      <c r="O595" s="18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>
      <c r="A596" s="1"/>
      <c r="B596" s="1"/>
      <c r="C596" s="18"/>
      <c r="D596" s="47"/>
      <c r="E596" s="18"/>
      <c r="F596" s="18"/>
      <c r="G596" s="18"/>
      <c r="H596" s="18"/>
      <c r="I596" s="25"/>
      <c r="J596" s="18"/>
      <c r="K596" s="18"/>
      <c r="L596" s="18"/>
      <c r="M596" s="18"/>
      <c r="N596" s="18"/>
      <c r="O596" s="18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>
      <c r="A597" s="1"/>
      <c r="B597" s="1"/>
      <c r="C597" s="18"/>
      <c r="D597" s="47"/>
      <c r="E597" s="18"/>
      <c r="F597" s="18"/>
      <c r="G597" s="18"/>
      <c r="H597" s="18"/>
      <c r="I597" s="25"/>
      <c r="J597" s="18"/>
      <c r="K597" s="18"/>
      <c r="L597" s="18"/>
      <c r="M597" s="18"/>
      <c r="N597" s="18"/>
      <c r="O597" s="18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>
      <c r="A598" s="1"/>
      <c r="B598" s="1"/>
      <c r="C598" s="18"/>
      <c r="D598" s="47"/>
      <c r="E598" s="18"/>
      <c r="F598" s="18"/>
      <c r="G598" s="18"/>
      <c r="H598" s="18"/>
      <c r="I598" s="25"/>
      <c r="J598" s="18"/>
      <c r="K598" s="18"/>
      <c r="L598" s="18"/>
      <c r="M598" s="18"/>
      <c r="N598" s="18"/>
      <c r="O598" s="18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>
      <c r="A599" s="1"/>
      <c r="B599" s="1"/>
      <c r="C599" s="18"/>
      <c r="D599" s="47"/>
      <c r="E599" s="18"/>
      <c r="F599" s="18"/>
      <c r="G599" s="18"/>
      <c r="H599" s="18"/>
      <c r="I599" s="25"/>
      <c r="J599" s="18"/>
      <c r="K599" s="18"/>
      <c r="L599" s="18"/>
      <c r="M599" s="18"/>
      <c r="N599" s="18"/>
      <c r="O599" s="18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>
      <c r="A600" s="1"/>
      <c r="B600" s="1"/>
      <c r="C600" s="18"/>
      <c r="D600" s="47"/>
      <c r="E600" s="18"/>
      <c r="F600" s="18"/>
      <c r="G600" s="18"/>
      <c r="H600" s="18"/>
      <c r="I600" s="25"/>
      <c r="J600" s="18"/>
      <c r="K600" s="18"/>
      <c r="L600" s="18"/>
      <c r="M600" s="18"/>
      <c r="N600" s="18"/>
      <c r="O600" s="18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>
      <c r="A601" s="1"/>
      <c r="B601" s="1"/>
      <c r="C601" s="18"/>
      <c r="D601" s="47"/>
      <c r="E601" s="18"/>
      <c r="F601" s="18"/>
      <c r="G601" s="18"/>
      <c r="H601" s="18"/>
      <c r="I601" s="25"/>
      <c r="J601" s="18"/>
      <c r="K601" s="18"/>
      <c r="L601" s="18"/>
      <c r="M601" s="18"/>
      <c r="N601" s="18"/>
      <c r="O601" s="18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>
      <c r="A602" s="1"/>
      <c r="B602" s="1"/>
      <c r="C602" s="18"/>
      <c r="D602" s="47"/>
      <c r="E602" s="18"/>
      <c r="F602" s="18"/>
      <c r="G602" s="18"/>
      <c r="H602" s="18"/>
      <c r="I602" s="25"/>
      <c r="J602" s="18"/>
      <c r="K602" s="18"/>
      <c r="L602" s="18"/>
      <c r="M602" s="18"/>
      <c r="N602" s="18"/>
      <c r="O602" s="18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>
      <c r="A603" s="1"/>
      <c r="B603" s="1"/>
      <c r="C603" s="18"/>
      <c r="D603" s="47"/>
      <c r="E603" s="18"/>
      <c r="F603" s="18"/>
      <c r="G603" s="18"/>
      <c r="H603" s="18"/>
      <c r="I603" s="25"/>
      <c r="J603" s="18"/>
      <c r="K603" s="18"/>
      <c r="L603" s="18"/>
      <c r="M603" s="18"/>
      <c r="N603" s="18"/>
      <c r="O603" s="18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>
      <c r="A604" s="1"/>
      <c r="B604" s="1"/>
      <c r="C604" s="18"/>
      <c r="D604" s="47"/>
      <c r="E604" s="18"/>
      <c r="F604" s="18"/>
      <c r="G604" s="18"/>
      <c r="H604" s="18"/>
      <c r="I604" s="25"/>
      <c r="J604" s="18"/>
      <c r="K604" s="18"/>
      <c r="L604" s="18"/>
      <c r="M604" s="18"/>
      <c r="N604" s="18"/>
      <c r="O604" s="18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>
      <c r="A605" s="1"/>
      <c r="B605" s="1"/>
      <c r="C605" s="18"/>
      <c r="D605" s="47"/>
      <c r="E605" s="18"/>
      <c r="F605" s="18"/>
      <c r="G605" s="18"/>
      <c r="H605" s="18"/>
      <c r="I605" s="25"/>
      <c r="J605" s="18"/>
      <c r="K605" s="18"/>
      <c r="L605" s="18"/>
      <c r="M605" s="18"/>
      <c r="N605" s="18"/>
      <c r="O605" s="18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>
      <c r="A606" s="1"/>
      <c r="B606" s="1"/>
      <c r="C606" s="18"/>
      <c r="D606" s="47"/>
      <c r="E606" s="18"/>
      <c r="F606" s="18"/>
      <c r="G606" s="18"/>
      <c r="H606" s="18"/>
      <c r="I606" s="25"/>
      <c r="J606" s="18"/>
      <c r="K606" s="18"/>
      <c r="L606" s="18"/>
      <c r="M606" s="18"/>
      <c r="N606" s="18"/>
      <c r="O606" s="18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>
      <c r="A607" s="1"/>
      <c r="B607" s="1"/>
      <c r="C607" s="18"/>
      <c r="D607" s="47"/>
      <c r="E607" s="18"/>
      <c r="F607" s="18"/>
      <c r="G607" s="18"/>
      <c r="H607" s="18"/>
      <c r="I607" s="25"/>
      <c r="J607" s="18"/>
      <c r="K607" s="18"/>
      <c r="L607" s="18"/>
      <c r="M607" s="18"/>
      <c r="N607" s="18"/>
      <c r="O607" s="18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>
      <c r="A608" s="1"/>
      <c r="B608" s="1"/>
      <c r="C608" s="18"/>
      <c r="D608" s="47"/>
      <c r="E608" s="18"/>
      <c r="F608" s="18"/>
      <c r="G608" s="18"/>
      <c r="H608" s="18"/>
      <c r="I608" s="25"/>
      <c r="J608" s="18"/>
      <c r="K608" s="18"/>
      <c r="L608" s="18"/>
      <c r="M608" s="18"/>
      <c r="N608" s="18"/>
      <c r="O608" s="18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>
      <c r="A609" s="1"/>
      <c r="B609" s="1"/>
      <c r="C609" s="18"/>
      <c r="D609" s="47"/>
      <c r="E609" s="18"/>
      <c r="F609" s="18"/>
      <c r="G609" s="18"/>
      <c r="H609" s="18"/>
      <c r="I609" s="25"/>
      <c r="J609" s="18"/>
      <c r="K609" s="18"/>
      <c r="L609" s="18"/>
      <c r="M609" s="18"/>
      <c r="N609" s="18"/>
      <c r="O609" s="18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>
      <c r="A610" s="1"/>
      <c r="B610" s="1"/>
      <c r="C610" s="18"/>
      <c r="D610" s="47"/>
      <c r="E610" s="18"/>
      <c r="F610" s="18"/>
      <c r="G610" s="18"/>
      <c r="H610" s="18"/>
      <c r="I610" s="25"/>
      <c r="J610" s="18"/>
      <c r="K610" s="18"/>
      <c r="L610" s="18"/>
      <c r="M610" s="18"/>
      <c r="N610" s="18"/>
      <c r="O610" s="18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>
      <c r="A611" s="1"/>
      <c r="B611" s="1"/>
      <c r="C611" s="18"/>
      <c r="D611" s="47"/>
      <c r="E611" s="18"/>
      <c r="F611" s="18"/>
      <c r="G611" s="18"/>
      <c r="H611" s="18"/>
      <c r="I611" s="25"/>
      <c r="J611" s="18"/>
      <c r="K611" s="18"/>
      <c r="L611" s="18"/>
      <c r="M611" s="18"/>
      <c r="N611" s="18"/>
      <c r="O611" s="18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>
      <c r="A612" s="1"/>
      <c r="B612" s="1"/>
      <c r="C612" s="18"/>
      <c r="D612" s="47"/>
      <c r="E612" s="18"/>
      <c r="F612" s="18"/>
      <c r="G612" s="18"/>
      <c r="H612" s="18"/>
      <c r="I612" s="25"/>
      <c r="J612" s="18"/>
      <c r="K612" s="18"/>
      <c r="L612" s="18"/>
      <c r="M612" s="18"/>
      <c r="N612" s="18"/>
      <c r="O612" s="18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>
      <c r="A613" s="1"/>
      <c r="B613" s="1"/>
      <c r="C613" s="18"/>
      <c r="D613" s="47"/>
      <c r="E613" s="18"/>
      <c r="F613" s="18"/>
      <c r="G613" s="18"/>
      <c r="H613" s="18"/>
      <c r="I613" s="25"/>
      <c r="J613" s="18"/>
      <c r="K613" s="18"/>
      <c r="L613" s="18"/>
      <c r="M613" s="18"/>
      <c r="N613" s="18"/>
      <c r="O613" s="18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>
      <c r="A614" s="1"/>
      <c r="B614" s="1"/>
      <c r="C614" s="18"/>
      <c r="D614" s="47"/>
      <c r="E614" s="18"/>
      <c r="F614" s="18"/>
      <c r="G614" s="18"/>
      <c r="H614" s="18"/>
      <c r="I614" s="25"/>
      <c r="J614" s="18"/>
      <c r="K614" s="18"/>
      <c r="L614" s="18"/>
      <c r="M614" s="18"/>
      <c r="N614" s="18"/>
      <c r="O614" s="18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>
      <c r="A615" s="1"/>
      <c r="B615" s="1"/>
      <c r="C615" s="18"/>
      <c r="D615" s="47"/>
      <c r="E615" s="18"/>
      <c r="F615" s="18"/>
      <c r="G615" s="18"/>
      <c r="H615" s="18"/>
      <c r="I615" s="25"/>
      <c r="J615" s="18"/>
      <c r="K615" s="18"/>
      <c r="L615" s="18"/>
      <c r="M615" s="18"/>
      <c r="N615" s="18"/>
      <c r="O615" s="18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>
      <c r="A616" s="1"/>
      <c r="B616" s="1"/>
      <c r="C616" s="18"/>
      <c r="D616" s="47"/>
      <c r="E616" s="18"/>
      <c r="F616" s="18"/>
      <c r="G616" s="18"/>
      <c r="H616" s="18"/>
      <c r="I616" s="25"/>
      <c r="J616" s="18"/>
      <c r="K616" s="18"/>
      <c r="L616" s="18"/>
      <c r="M616" s="18"/>
      <c r="N616" s="18"/>
      <c r="O616" s="18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>
      <c r="A617" s="1"/>
      <c r="B617" s="1"/>
      <c r="C617" s="18"/>
      <c r="D617" s="47"/>
      <c r="E617" s="18"/>
      <c r="F617" s="18"/>
      <c r="G617" s="18"/>
      <c r="H617" s="18"/>
      <c r="I617" s="25"/>
      <c r="J617" s="18"/>
      <c r="K617" s="18"/>
      <c r="L617" s="18"/>
      <c r="M617" s="18"/>
      <c r="N617" s="18"/>
      <c r="O617" s="18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>
      <c r="A618" s="1"/>
      <c r="B618" s="1"/>
      <c r="C618" s="18"/>
      <c r="D618" s="47"/>
      <c r="E618" s="18"/>
      <c r="F618" s="18"/>
      <c r="G618" s="18"/>
      <c r="H618" s="18"/>
      <c r="I618" s="25"/>
      <c r="J618" s="18"/>
      <c r="K618" s="18"/>
      <c r="L618" s="18"/>
      <c r="M618" s="18"/>
      <c r="N618" s="18"/>
      <c r="O618" s="18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>
      <c r="A619" s="1"/>
      <c r="B619" s="1"/>
      <c r="C619" s="18"/>
      <c r="D619" s="47"/>
      <c r="E619" s="18"/>
      <c r="F619" s="18"/>
      <c r="G619" s="18"/>
      <c r="H619" s="18"/>
      <c r="I619" s="25"/>
      <c r="J619" s="18"/>
      <c r="K619" s="18"/>
      <c r="L619" s="18"/>
      <c r="M619" s="18"/>
      <c r="N619" s="18"/>
      <c r="O619" s="18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>
      <c r="A620" s="1"/>
      <c r="B620" s="1"/>
      <c r="C620" s="18"/>
      <c r="D620" s="47"/>
      <c r="E620" s="18"/>
      <c r="F620" s="18"/>
      <c r="G620" s="18"/>
      <c r="H620" s="18"/>
      <c r="I620" s="25"/>
      <c r="J620" s="18"/>
      <c r="K620" s="18"/>
      <c r="L620" s="18"/>
      <c r="M620" s="18"/>
      <c r="N620" s="18"/>
      <c r="O620" s="18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>
      <c r="A621" s="1"/>
      <c r="B621" s="1"/>
      <c r="C621" s="18"/>
      <c r="D621" s="47"/>
      <c r="E621" s="18"/>
      <c r="F621" s="18"/>
      <c r="G621" s="18"/>
      <c r="H621" s="18"/>
      <c r="I621" s="25"/>
      <c r="J621" s="18"/>
      <c r="K621" s="18"/>
      <c r="L621" s="18"/>
      <c r="M621" s="18"/>
      <c r="N621" s="18"/>
      <c r="O621" s="18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>
      <c r="A622" s="1"/>
      <c r="B622" s="1"/>
      <c r="C622" s="18"/>
      <c r="D622" s="47"/>
      <c r="E622" s="18"/>
      <c r="F622" s="18"/>
      <c r="G622" s="18"/>
      <c r="H622" s="18"/>
      <c r="I622" s="25"/>
      <c r="J622" s="18"/>
      <c r="K622" s="18"/>
      <c r="L622" s="18"/>
      <c r="M622" s="18"/>
      <c r="N622" s="18"/>
      <c r="O622" s="18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>
      <c r="A623" s="1"/>
      <c r="B623" s="1"/>
      <c r="C623" s="18"/>
      <c r="D623" s="47"/>
      <c r="E623" s="18"/>
      <c r="F623" s="18"/>
      <c r="G623" s="18"/>
      <c r="H623" s="18"/>
      <c r="I623" s="25"/>
      <c r="J623" s="18"/>
      <c r="K623" s="18"/>
      <c r="L623" s="18"/>
      <c r="M623" s="18"/>
      <c r="N623" s="18"/>
      <c r="O623" s="18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>
      <c r="A624" s="1"/>
      <c r="B624" s="1"/>
      <c r="C624" s="18"/>
      <c r="D624" s="47"/>
      <c r="E624" s="18"/>
      <c r="F624" s="18"/>
      <c r="G624" s="18"/>
      <c r="H624" s="18"/>
      <c r="I624" s="25"/>
      <c r="J624" s="18"/>
      <c r="K624" s="18"/>
      <c r="L624" s="18"/>
      <c r="M624" s="18"/>
      <c r="N624" s="18"/>
      <c r="O624" s="18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>
      <c r="A625" s="1"/>
      <c r="B625" s="1"/>
      <c r="C625" s="18"/>
      <c r="D625" s="47"/>
      <c r="E625" s="18"/>
      <c r="F625" s="18"/>
      <c r="G625" s="18"/>
      <c r="H625" s="18"/>
      <c r="I625" s="25"/>
      <c r="J625" s="18"/>
      <c r="K625" s="18"/>
      <c r="L625" s="18"/>
      <c r="M625" s="18"/>
      <c r="N625" s="18"/>
      <c r="O625" s="18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>
      <c r="A626" s="1"/>
      <c r="B626" s="1"/>
      <c r="C626" s="18"/>
      <c r="D626" s="47"/>
      <c r="E626" s="18"/>
      <c r="F626" s="18"/>
      <c r="G626" s="18"/>
      <c r="H626" s="18"/>
      <c r="I626" s="25"/>
      <c r="J626" s="18"/>
      <c r="K626" s="18"/>
      <c r="L626" s="18"/>
      <c r="M626" s="18"/>
      <c r="N626" s="18"/>
      <c r="O626" s="18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>
      <c r="A627" s="1"/>
      <c r="B627" s="1"/>
      <c r="C627" s="18"/>
      <c r="D627" s="47"/>
      <c r="E627" s="18"/>
      <c r="F627" s="18"/>
      <c r="G627" s="18"/>
      <c r="H627" s="18"/>
      <c r="I627" s="25"/>
      <c r="J627" s="18"/>
      <c r="K627" s="18"/>
      <c r="L627" s="18"/>
      <c r="M627" s="18"/>
      <c r="N627" s="18"/>
      <c r="O627" s="18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>
      <c r="A628" s="1"/>
      <c r="B628" s="1"/>
      <c r="C628" s="18"/>
      <c r="D628" s="47"/>
      <c r="E628" s="18"/>
      <c r="F628" s="18"/>
      <c r="G628" s="18"/>
      <c r="H628" s="18"/>
      <c r="I628" s="25"/>
      <c r="J628" s="18"/>
      <c r="K628" s="18"/>
      <c r="L628" s="18"/>
      <c r="M628" s="18"/>
      <c r="N628" s="18"/>
      <c r="O628" s="18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>
      <c r="A629" s="1"/>
      <c r="B629" s="1"/>
      <c r="C629" s="18"/>
      <c r="D629" s="47"/>
      <c r="E629" s="18"/>
      <c r="F629" s="18"/>
      <c r="G629" s="18"/>
      <c r="H629" s="18"/>
      <c r="I629" s="25"/>
      <c r="J629" s="18"/>
      <c r="K629" s="18"/>
      <c r="L629" s="18"/>
      <c r="M629" s="18"/>
      <c r="N629" s="18"/>
      <c r="O629" s="18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>
      <c r="A630" s="1"/>
      <c r="B630" s="1"/>
      <c r="C630" s="18"/>
      <c r="D630" s="47"/>
      <c r="E630" s="18"/>
      <c r="F630" s="18"/>
      <c r="G630" s="18"/>
      <c r="H630" s="18"/>
      <c r="I630" s="25"/>
      <c r="J630" s="18"/>
      <c r="K630" s="18"/>
      <c r="L630" s="18"/>
      <c r="M630" s="18"/>
      <c r="N630" s="18"/>
      <c r="O630" s="18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>
      <c r="A631" s="1"/>
      <c r="B631" s="1"/>
      <c r="C631" s="18"/>
      <c r="D631" s="47"/>
      <c r="E631" s="18"/>
      <c r="F631" s="18"/>
      <c r="G631" s="18"/>
      <c r="H631" s="18"/>
      <c r="I631" s="25"/>
      <c r="J631" s="18"/>
      <c r="K631" s="18"/>
      <c r="L631" s="18"/>
      <c r="M631" s="18"/>
      <c r="N631" s="18"/>
      <c r="O631" s="18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>
      <c r="A632" s="1"/>
      <c r="B632" s="1"/>
      <c r="C632" s="18"/>
      <c r="D632" s="47"/>
      <c r="E632" s="18"/>
      <c r="F632" s="18"/>
      <c r="G632" s="18"/>
      <c r="H632" s="18"/>
      <c r="I632" s="25"/>
      <c r="J632" s="18"/>
      <c r="K632" s="18"/>
      <c r="L632" s="18"/>
      <c r="M632" s="18"/>
      <c r="N632" s="18"/>
      <c r="O632" s="18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>
      <c r="A633" s="1"/>
      <c r="B633" s="1"/>
      <c r="C633" s="18"/>
      <c r="D633" s="47"/>
      <c r="E633" s="18"/>
      <c r="F633" s="18"/>
      <c r="G633" s="18"/>
      <c r="H633" s="18"/>
      <c r="I633" s="25"/>
      <c r="J633" s="18"/>
      <c r="K633" s="18"/>
      <c r="L633" s="18"/>
      <c r="M633" s="18"/>
      <c r="N633" s="18"/>
      <c r="O633" s="18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>
      <c r="A634" s="1"/>
      <c r="B634" s="1"/>
      <c r="C634" s="18"/>
      <c r="D634" s="47"/>
      <c r="E634" s="18"/>
      <c r="F634" s="18"/>
      <c r="G634" s="18"/>
      <c r="H634" s="18"/>
      <c r="I634" s="25"/>
      <c r="J634" s="18"/>
      <c r="K634" s="18"/>
      <c r="L634" s="18"/>
      <c r="M634" s="18"/>
      <c r="N634" s="18"/>
      <c r="O634" s="18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>
      <c r="A635" s="1"/>
      <c r="B635" s="1"/>
      <c r="C635" s="18"/>
      <c r="D635" s="47"/>
      <c r="E635" s="18"/>
      <c r="F635" s="18"/>
      <c r="G635" s="18"/>
      <c r="H635" s="18"/>
      <c r="I635" s="25"/>
      <c r="J635" s="18"/>
      <c r="K635" s="18"/>
      <c r="L635" s="18"/>
      <c r="M635" s="18"/>
      <c r="N635" s="18"/>
      <c r="O635" s="18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>
      <c r="A636" s="1"/>
      <c r="B636" s="1"/>
      <c r="C636" s="18"/>
      <c r="D636" s="47"/>
      <c r="E636" s="18"/>
      <c r="F636" s="18"/>
      <c r="G636" s="18"/>
      <c r="H636" s="18"/>
      <c r="I636" s="25"/>
      <c r="J636" s="18"/>
      <c r="K636" s="18"/>
      <c r="L636" s="18"/>
      <c r="M636" s="18"/>
      <c r="N636" s="18"/>
      <c r="O636" s="18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>
      <c r="A637" s="1"/>
      <c r="B637" s="1"/>
      <c r="C637" s="18"/>
      <c r="D637" s="47"/>
      <c r="E637" s="18"/>
      <c r="F637" s="18"/>
      <c r="G637" s="18"/>
      <c r="H637" s="18"/>
      <c r="I637" s="25"/>
      <c r="J637" s="18"/>
      <c r="K637" s="18"/>
      <c r="L637" s="18"/>
      <c r="M637" s="18"/>
      <c r="N637" s="18"/>
      <c r="O637" s="18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>
      <c r="A638" s="1"/>
      <c r="B638" s="1"/>
      <c r="C638" s="18"/>
      <c r="D638" s="47"/>
      <c r="E638" s="18"/>
      <c r="F638" s="18"/>
      <c r="G638" s="18"/>
      <c r="H638" s="18"/>
      <c r="I638" s="25"/>
      <c r="J638" s="18"/>
      <c r="K638" s="18"/>
      <c r="L638" s="18"/>
      <c r="M638" s="18"/>
      <c r="N638" s="18"/>
      <c r="O638" s="18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>
      <c r="A639" s="1"/>
      <c r="B639" s="1"/>
      <c r="C639" s="18"/>
      <c r="D639" s="47"/>
      <c r="E639" s="18"/>
      <c r="F639" s="18"/>
      <c r="G639" s="18"/>
      <c r="H639" s="18"/>
      <c r="I639" s="25"/>
      <c r="J639" s="18"/>
      <c r="K639" s="18"/>
      <c r="L639" s="18"/>
      <c r="M639" s="18"/>
      <c r="N639" s="18"/>
      <c r="O639" s="18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>
      <c r="A640" s="1"/>
      <c r="B640" s="1"/>
      <c r="C640" s="18"/>
      <c r="D640" s="47"/>
      <c r="E640" s="18"/>
      <c r="F640" s="18"/>
      <c r="G640" s="18"/>
      <c r="H640" s="18"/>
      <c r="I640" s="25"/>
      <c r="J640" s="18"/>
      <c r="K640" s="18"/>
      <c r="L640" s="18"/>
      <c r="M640" s="18"/>
      <c r="N640" s="18"/>
      <c r="O640" s="18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>
      <c r="A641" s="1"/>
      <c r="B641" s="1"/>
      <c r="C641" s="18"/>
      <c r="D641" s="47"/>
      <c r="E641" s="18"/>
      <c r="F641" s="18"/>
      <c r="G641" s="18"/>
      <c r="H641" s="18"/>
      <c r="I641" s="25"/>
      <c r="J641" s="18"/>
      <c r="K641" s="18"/>
      <c r="L641" s="18"/>
      <c r="M641" s="18"/>
      <c r="N641" s="18"/>
      <c r="O641" s="18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>
      <c r="A642" s="1"/>
      <c r="B642" s="1"/>
      <c r="C642" s="18"/>
      <c r="D642" s="47"/>
      <c r="E642" s="18"/>
      <c r="F642" s="18"/>
      <c r="G642" s="18"/>
      <c r="H642" s="18"/>
      <c r="I642" s="25"/>
      <c r="J642" s="18"/>
      <c r="K642" s="18"/>
      <c r="L642" s="18"/>
      <c r="M642" s="18"/>
      <c r="N642" s="18"/>
      <c r="O642" s="18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>
      <c r="A643" s="1"/>
      <c r="B643" s="1"/>
      <c r="C643" s="18"/>
      <c r="D643" s="47"/>
      <c r="E643" s="18"/>
      <c r="F643" s="18"/>
      <c r="G643" s="18"/>
      <c r="H643" s="18"/>
      <c r="I643" s="25"/>
      <c r="J643" s="18"/>
      <c r="K643" s="18"/>
      <c r="L643" s="18"/>
      <c r="M643" s="18"/>
      <c r="N643" s="18"/>
      <c r="O643" s="18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>
      <c r="A644" s="1"/>
      <c r="B644" s="1"/>
      <c r="C644" s="18"/>
      <c r="D644" s="47"/>
      <c r="E644" s="18"/>
      <c r="F644" s="18"/>
      <c r="G644" s="18"/>
      <c r="H644" s="18"/>
      <c r="I644" s="25"/>
      <c r="J644" s="18"/>
      <c r="K644" s="18"/>
      <c r="L644" s="18"/>
      <c r="M644" s="18"/>
      <c r="N644" s="18"/>
      <c r="O644" s="18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>
      <c r="A645" s="1"/>
      <c r="B645" s="1"/>
      <c r="C645" s="18"/>
      <c r="D645" s="47"/>
      <c r="E645" s="18"/>
      <c r="F645" s="18"/>
      <c r="G645" s="18"/>
      <c r="H645" s="18"/>
      <c r="I645" s="25"/>
      <c r="J645" s="18"/>
      <c r="K645" s="18"/>
      <c r="L645" s="18"/>
      <c r="M645" s="18"/>
      <c r="N645" s="18"/>
      <c r="O645" s="18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>
      <c r="A646" s="1"/>
      <c r="B646" s="1"/>
      <c r="C646" s="18"/>
      <c r="D646" s="47"/>
      <c r="E646" s="18"/>
      <c r="F646" s="18"/>
      <c r="G646" s="18"/>
      <c r="H646" s="18"/>
      <c r="I646" s="25"/>
      <c r="J646" s="18"/>
      <c r="K646" s="18"/>
      <c r="L646" s="18"/>
      <c r="M646" s="18"/>
      <c r="N646" s="18"/>
      <c r="O646" s="18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>
      <c r="A647" s="1"/>
      <c r="B647" s="1"/>
      <c r="C647" s="18"/>
      <c r="D647" s="47"/>
      <c r="E647" s="18"/>
      <c r="F647" s="18"/>
      <c r="G647" s="18"/>
      <c r="H647" s="18"/>
      <c r="I647" s="25"/>
      <c r="J647" s="18"/>
      <c r="K647" s="18"/>
      <c r="L647" s="18"/>
      <c r="M647" s="18"/>
      <c r="N647" s="18"/>
      <c r="O647" s="18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>
      <c r="A648" s="1"/>
      <c r="B648" s="1"/>
      <c r="C648" s="18"/>
      <c r="D648" s="47"/>
      <c r="E648" s="18"/>
      <c r="F648" s="18"/>
      <c r="G648" s="18"/>
      <c r="H648" s="18"/>
      <c r="I648" s="25"/>
      <c r="J648" s="18"/>
      <c r="K648" s="18"/>
      <c r="L648" s="18"/>
      <c r="M648" s="18"/>
      <c r="N648" s="18"/>
      <c r="O648" s="18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>
      <c r="A649" s="1"/>
      <c r="B649" s="1"/>
      <c r="C649" s="18"/>
      <c r="D649" s="47"/>
      <c r="E649" s="18"/>
      <c r="F649" s="18"/>
      <c r="G649" s="18"/>
      <c r="H649" s="18"/>
      <c r="I649" s="25"/>
      <c r="J649" s="18"/>
      <c r="K649" s="18"/>
      <c r="L649" s="18"/>
      <c r="M649" s="18"/>
      <c r="N649" s="18"/>
      <c r="O649" s="18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>
      <c r="A650" s="1"/>
      <c r="B650" s="1"/>
      <c r="C650" s="18"/>
      <c r="D650" s="47"/>
      <c r="E650" s="18"/>
      <c r="F650" s="18"/>
      <c r="G650" s="18"/>
      <c r="H650" s="18"/>
      <c r="I650" s="25"/>
      <c r="J650" s="18"/>
      <c r="K650" s="18"/>
      <c r="L650" s="18"/>
      <c r="M650" s="18"/>
      <c r="N650" s="18"/>
      <c r="O650" s="18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>
      <c r="A651" s="1"/>
      <c r="B651" s="1"/>
      <c r="C651" s="18"/>
      <c r="D651" s="47"/>
      <c r="E651" s="18"/>
      <c r="F651" s="18"/>
      <c r="G651" s="18"/>
      <c r="H651" s="18"/>
      <c r="I651" s="25"/>
      <c r="J651" s="18"/>
      <c r="K651" s="18"/>
      <c r="L651" s="18"/>
      <c r="M651" s="18"/>
      <c r="N651" s="18"/>
      <c r="O651" s="18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>
      <c r="A652" s="1"/>
      <c r="B652" s="1"/>
      <c r="C652" s="18"/>
      <c r="D652" s="47"/>
      <c r="E652" s="18"/>
      <c r="F652" s="18"/>
      <c r="G652" s="18"/>
      <c r="H652" s="18"/>
      <c r="I652" s="25"/>
      <c r="J652" s="18"/>
      <c r="K652" s="18"/>
      <c r="L652" s="18"/>
      <c r="M652" s="18"/>
      <c r="N652" s="18"/>
      <c r="O652" s="18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>
      <c r="A653" s="1"/>
      <c r="B653" s="1"/>
      <c r="C653" s="18"/>
      <c r="D653" s="47"/>
      <c r="E653" s="18"/>
      <c r="F653" s="18"/>
      <c r="G653" s="18"/>
      <c r="H653" s="18"/>
      <c r="I653" s="25"/>
      <c r="J653" s="18"/>
      <c r="K653" s="18"/>
      <c r="L653" s="18"/>
      <c r="M653" s="18"/>
      <c r="N653" s="18"/>
      <c r="O653" s="18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>
      <c r="A654" s="1"/>
      <c r="B654" s="1"/>
      <c r="C654" s="18"/>
      <c r="D654" s="47"/>
      <c r="E654" s="18"/>
      <c r="F654" s="18"/>
      <c r="G654" s="18"/>
      <c r="H654" s="18"/>
      <c r="I654" s="25"/>
      <c r="J654" s="18"/>
      <c r="K654" s="18"/>
      <c r="L654" s="18"/>
      <c r="M654" s="18"/>
      <c r="N654" s="18"/>
      <c r="O654" s="18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>
      <c r="A655" s="1"/>
      <c r="B655" s="1"/>
      <c r="C655" s="18"/>
      <c r="D655" s="47"/>
      <c r="E655" s="18"/>
      <c r="F655" s="18"/>
      <c r="G655" s="18"/>
      <c r="H655" s="18"/>
      <c r="I655" s="25"/>
      <c r="J655" s="18"/>
      <c r="K655" s="18"/>
      <c r="L655" s="18"/>
      <c r="M655" s="18"/>
      <c r="N655" s="18"/>
      <c r="O655" s="18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>
      <c r="A656" s="1"/>
      <c r="B656" s="1"/>
      <c r="C656" s="18"/>
      <c r="D656" s="47"/>
      <c r="E656" s="18"/>
      <c r="F656" s="18"/>
      <c r="G656" s="18"/>
      <c r="H656" s="18"/>
      <c r="I656" s="25"/>
      <c r="J656" s="18"/>
      <c r="K656" s="18"/>
      <c r="L656" s="18"/>
      <c r="M656" s="18"/>
      <c r="N656" s="18"/>
      <c r="O656" s="18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>
      <c r="A657" s="1"/>
      <c r="B657" s="1"/>
      <c r="C657" s="18"/>
      <c r="D657" s="47"/>
      <c r="E657" s="18"/>
      <c r="F657" s="18"/>
      <c r="G657" s="18"/>
      <c r="H657" s="18"/>
      <c r="I657" s="25"/>
      <c r="J657" s="18"/>
      <c r="K657" s="18"/>
      <c r="L657" s="18"/>
      <c r="M657" s="18"/>
      <c r="N657" s="18"/>
      <c r="O657" s="18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>
      <c r="A658" s="1"/>
      <c r="B658" s="1"/>
      <c r="C658" s="18"/>
      <c r="D658" s="47"/>
      <c r="E658" s="18"/>
      <c r="F658" s="18"/>
      <c r="G658" s="18"/>
      <c r="H658" s="18"/>
      <c r="I658" s="25"/>
      <c r="J658" s="18"/>
      <c r="K658" s="18"/>
      <c r="L658" s="18"/>
      <c r="M658" s="18"/>
      <c r="N658" s="18"/>
      <c r="O658" s="18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>
      <c r="A659" s="1"/>
      <c r="B659" s="1"/>
      <c r="C659" s="18"/>
      <c r="D659" s="47"/>
      <c r="E659" s="18"/>
      <c r="F659" s="18"/>
      <c r="G659" s="18"/>
      <c r="H659" s="18"/>
      <c r="I659" s="25"/>
      <c r="J659" s="18"/>
      <c r="K659" s="18"/>
      <c r="L659" s="18"/>
      <c r="M659" s="18"/>
      <c r="N659" s="18"/>
      <c r="O659" s="18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>
      <c r="A660" s="1"/>
      <c r="B660" s="1"/>
      <c r="C660" s="18"/>
      <c r="D660" s="47"/>
      <c r="E660" s="18"/>
      <c r="F660" s="18"/>
      <c r="G660" s="18"/>
      <c r="H660" s="18"/>
      <c r="I660" s="25"/>
      <c r="J660" s="18"/>
      <c r="K660" s="18"/>
      <c r="L660" s="18"/>
      <c r="M660" s="18"/>
      <c r="N660" s="18"/>
      <c r="O660" s="18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>
      <c r="A661" s="1"/>
      <c r="B661" s="1"/>
      <c r="C661" s="18"/>
      <c r="D661" s="47"/>
      <c r="E661" s="18"/>
      <c r="F661" s="18"/>
      <c r="G661" s="18"/>
      <c r="H661" s="18"/>
      <c r="I661" s="25"/>
      <c r="J661" s="18"/>
      <c r="K661" s="18"/>
      <c r="L661" s="18"/>
      <c r="M661" s="18"/>
      <c r="N661" s="18"/>
      <c r="O661" s="18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>
      <c r="A662" s="1"/>
      <c r="B662" s="1"/>
      <c r="C662" s="18"/>
      <c r="D662" s="47"/>
      <c r="E662" s="18"/>
      <c r="F662" s="18"/>
      <c r="G662" s="18"/>
      <c r="H662" s="18"/>
      <c r="I662" s="25"/>
      <c r="J662" s="18"/>
      <c r="K662" s="18"/>
      <c r="L662" s="18"/>
      <c r="M662" s="18"/>
      <c r="N662" s="18"/>
      <c r="O662" s="18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>
      <c r="A663" s="1"/>
      <c r="B663" s="1"/>
      <c r="C663" s="18"/>
      <c r="D663" s="47"/>
      <c r="E663" s="18"/>
      <c r="F663" s="18"/>
      <c r="G663" s="18"/>
      <c r="H663" s="18"/>
      <c r="I663" s="25"/>
      <c r="J663" s="18"/>
      <c r="K663" s="18"/>
      <c r="L663" s="18"/>
      <c r="M663" s="18"/>
      <c r="N663" s="18"/>
      <c r="O663" s="18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>
      <c r="A664" s="1"/>
      <c r="B664" s="1"/>
      <c r="C664" s="18"/>
      <c r="D664" s="47"/>
      <c r="E664" s="18"/>
      <c r="F664" s="18"/>
      <c r="G664" s="18"/>
      <c r="H664" s="18"/>
      <c r="I664" s="25"/>
      <c r="J664" s="18"/>
      <c r="K664" s="18"/>
      <c r="L664" s="18"/>
      <c r="M664" s="18"/>
      <c r="N664" s="18"/>
      <c r="O664" s="18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>
      <c r="A665" s="1"/>
      <c r="B665" s="1"/>
      <c r="C665" s="18"/>
      <c r="D665" s="47"/>
      <c r="E665" s="18"/>
      <c r="F665" s="18"/>
      <c r="G665" s="18"/>
      <c r="H665" s="18"/>
      <c r="I665" s="25"/>
      <c r="J665" s="18"/>
      <c r="K665" s="18"/>
      <c r="L665" s="18"/>
      <c r="M665" s="18"/>
      <c r="N665" s="18"/>
      <c r="O665" s="18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>
      <c r="A666" s="1"/>
      <c r="B666" s="1"/>
      <c r="C666" s="18"/>
      <c r="D666" s="47"/>
      <c r="E666" s="18"/>
      <c r="F666" s="18"/>
      <c r="G666" s="18"/>
      <c r="H666" s="18"/>
      <c r="I666" s="25"/>
      <c r="J666" s="18"/>
      <c r="K666" s="18"/>
      <c r="L666" s="18"/>
      <c r="M666" s="18"/>
      <c r="N666" s="18"/>
      <c r="O666" s="18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>
      <c r="A667" s="1"/>
      <c r="B667" s="1"/>
      <c r="C667" s="18"/>
      <c r="D667" s="47"/>
      <c r="E667" s="18"/>
      <c r="F667" s="18"/>
      <c r="G667" s="18"/>
      <c r="H667" s="18"/>
      <c r="I667" s="25"/>
      <c r="J667" s="18"/>
      <c r="K667" s="18"/>
      <c r="L667" s="18"/>
      <c r="M667" s="18"/>
      <c r="N667" s="18"/>
      <c r="O667" s="18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>
      <c r="A668" s="1"/>
      <c r="B668" s="1"/>
      <c r="C668" s="18"/>
      <c r="D668" s="47"/>
      <c r="E668" s="18"/>
      <c r="F668" s="18"/>
      <c r="G668" s="18"/>
      <c r="H668" s="18"/>
      <c r="I668" s="25"/>
      <c r="J668" s="18"/>
      <c r="K668" s="18"/>
      <c r="L668" s="18"/>
      <c r="M668" s="18"/>
      <c r="N668" s="18"/>
      <c r="O668" s="18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>
      <c r="A669" s="1"/>
      <c r="B669" s="1"/>
      <c r="C669" s="18"/>
      <c r="D669" s="47"/>
      <c r="E669" s="18"/>
      <c r="F669" s="18"/>
      <c r="G669" s="18"/>
      <c r="H669" s="18"/>
      <c r="I669" s="25"/>
      <c r="J669" s="18"/>
      <c r="K669" s="18"/>
      <c r="L669" s="18"/>
      <c r="M669" s="18"/>
      <c r="N669" s="18"/>
      <c r="O669" s="18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>
      <c r="A670" s="1"/>
      <c r="B670" s="1"/>
      <c r="C670" s="18"/>
      <c r="D670" s="47"/>
      <c r="E670" s="18"/>
      <c r="F670" s="18"/>
      <c r="G670" s="18"/>
      <c r="H670" s="18"/>
      <c r="I670" s="25"/>
      <c r="J670" s="18"/>
      <c r="K670" s="18"/>
      <c r="L670" s="18"/>
      <c r="M670" s="18"/>
      <c r="N670" s="18"/>
      <c r="O670" s="18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>
      <c r="A671" s="1"/>
      <c r="B671" s="1"/>
      <c r="C671" s="18"/>
      <c r="D671" s="47"/>
      <c r="E671" s="18"/>
      <c r="F671" s="18"/>
      <c r="G671" s="18"/>
      <c r="H671" s="18"/>
      <c r="I671" s="25"/>
      <c r="J671" s="18"/>
      <c r="K671" s="18"/>
      <c r="L671" s="18"/>
      <c r="M671" s="18"/>
      <c r="N671" s="18"/>
      <c r="O671" s="18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>
      <c r="A672" s="1"/>
      <c r="B672" s="1"/>
      <c r="C672" s="18"/>
      <c r="D672" s="47"/>
      <c r="E672" s="18"/>
      <c r="F672" s="18"/>
      <c r="G672" s="18"/>
      <c r="H672" s="18"/>
      <c r="I672" s="25"/>
      <c r="J672" s="18"/>
      <c r="K672" s="18"/>
      <c r="L672" s="18"/>
      <c r="M672" s="18"/>
      <c r="N672" s="18"/>
      <c r="O672" s="18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>
      <c r="A673" s="1"/>
      <c r="B673" s="1"/>
      <c r="C673" s="18"/>
      <c r="D673" s="47"/>
      <c r="E673" s="18"/>
      <c r="F673" s="18"/>
      <c r="G673" s="18"/>
      <c r="H673" s="18"/>
      <c r="I673" s="25"/>
      <c r="J673" s="18"/>
      <c r="K673" s="18"/>
      <c r="L673" s="18"/>
      <c r="M673" s="18"/>
      <c r="N673" s="18"/>
      <c r="O673" s="18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>
      <c r="A674" s="1"/>
      <c r="B674" s="1"/>
      <c r="C674" s="18"/>
      <c r="D674" s="47"/>
      <c r="E674" s="18"/>
      <c r="F674" s="18"/>
      <c r="G674" s="18"/>
      <c r="H674" s="18"/>
      <c r="I674" s="25"/>
      <c r="J674" s="18"/>
      <c r="K674" s="18"/>
      <c r="L674" s="18"/>
      <c r="M674" s="18"/>
      <c r="N674" s="18"/>
      <c r="O674" s="18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>
      <c r="A675" s="1"/>
      <c r="B675" s="1"/>
      <c r="C675" s="18"/>
      <c r="D675" s="47"/>
      <c r="E675" s="18"/>
      <c r="F675" s="18"/>
      <c r="G675" s="18"/>
      <c r="H675" s="18"/>
      <c r="I675" s="25"/>
      <c r="J675" s="18"/>
      <c r="K675" s="18"/>
      <c r="L675" s="18"/>
      <c r="M675" s="18"/>
      <c r="N675" s="18"/>
      <c r="O675" s="18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>
      <c r="A676" s="1"/>
      <c r="B676" s="1"/>
      <c r="C676" s="18"/>
      <c r="D676" s="47"/>
      <c r="E676" s="18"/>
      <c r="F676" s="18"/>
      <c r="G676" s="18"/>
      <c r="H676" s="18"/>
      <c r="I676" s="25"/>
      <c r="J676" s="18"/>
      <c r="K676" s="18"/>
      <c r="L676" s="18"/>
      <c r="M676" s="18"/>
      <c r="N676" s="18"/>
      <c r="O676" s="18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>
      <c r="A677" s="1"/>
      <c r="B677" s="1"/>
      <c r="C677" s="18"/>
      <c r="D677" s="47"/>
      <c r="E677" s="18"/>
      <c r="F677" s="18"/>
      <c r="G677" s="18"/>
      <c r="H677" s="18"/>
      <c r="I677" s="25"/>
      <c r="J677" s="18"/>
      <c r="K677" s="18"/>
      <c r="L677" s="18"/>
      <c r="M677" s="18"/>
      <c r="N677" s="18"/>
      <c r="O677" s="18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>
      <c r="A678" s="1"/>
      <c r="B678" s="1"/>
      <c r="C678" s="18"/>
      <c r="D678" s="47"/>
      <c r="E678" s="18"/>
      <c r="F678" s="18"/>
      <c r="G678" s="18"/>
      <c r="H678" s="18"/>
      <c r="I678" s="25"/>
      <c r="J678" s="18"/>
      <c r="K678" s="18"/>
      <c r="L678" s="18"/>
      <c r="M678" s="18"/>
      <c r="N678" s="18"/>
      <c r="O678" s="18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>
      <c r="A679" s="1"/>
      <c r="B679" s="1"/>
      <c r="C679" s="18"/>
      <c r="D679" s="47"/>
      <c r="E679" s="18"/>
      <c r="F679" s="18"/>
      <c r="G679" s="18"/>
      <c r="H679" s="18"/>
      <c r="I679" s="25"/>
      <c r="J679" s="18"/>
      <c r="K679" s="18"/>
      <c r="L679" s="18"/>
      <c r="M679" s="18"/>
      <c r="N679" s="18"/>
      <c r="O679" s="18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>
      <c r="A680" s="1"/>
      <c r="B680" s="1"/>
      <c r="C680" s="18"/>
      <c r="D680" s="47"/>
      <c r="E680" s="18"/>
      <c r="F680" s="18"/>
      <c r="G680" s="18"/>
      <c r="H680" s="18"/>
      <c r="I680" s="25"/>
      <c r="J680" s="18"/>
      <c r="K680" s="18"/>
      <c r="L680" s="18"/>
      <c r="M680" s="18"/>
      <c r="N680" s="18"/>
      <c r="O680" s="18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>
      <c r="A681" s="1"/>
      <c r="B681" s="1"/>
      <c r="C681" s="18"/>
      <c r="D681" s="47"/>
      <c r="E681" s="18"/>
      <c r="F681" s="18"/>
      <c r="G681" s="18"/>
      <c r="H681" s="18"/>
      <c r="I681" s="25"/>
      <c r="J681" s="18"/>
      <c r="K681" s="18"/>
      <c r="L681" s="18"/>
      <c r="M681" s="18"/>
      <c r="N681" s="18"/>
      <c r="O681" s="18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>
      <c r="A682" s="1"/>
      <c r="B682" s="1"/>
      <c r="C682" s="18"/>
      <c r="D682" s="47"/>
      <c r="E682" s="18"/>
      <c r="F682" s="18"/>
      <c r="G682" s="18"/>
      <c r="H682" s="18"/>
      <c r="I682" s="25"/>
      <c r="J682" s="18"/>
      <c r="K682" s="18"/>
      <c r="L682" s="18"/>
      <c r="M682" s="18"/>
      <c r="N682" s="18"/>
      <c r="O682" s="18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>
      <c r="A683" s="1"/>
      <c r="B683" s="1"/>
      <c r="C683" s="18"/>
      <c r="D683" s="47"/>
      <c r="E683" s="18"/>
      <c r="F683" s="18"/>
      <c r="G683" s="18"/>
      <c r="H683" s="18"/>
      <c r="I683" s="25"/>
      <c r="J683" s="18"/>
      <c r="K683" s="18"/>
      <c r="L683" s="18"/>
      <c r="M683" s="18"/>
      <c r="N683" s="18"/>
      <c r="O683" s="18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>
      <c r="A684" s="1"/>
      <c r="B684" s="1"/>
      <c r="C684" s="18"/>
      <c r="D684" s="47"/>
      <c r="E684" s="18"/>
      <c r="F684" s="18"/>
      <c r="G684" s="18"/>
      <c r="H684" s="18"/>
      <c r="I684" s="25"/>
      <c r="J684" s="18"/>
      <c r="K684" s="18"/>
      <c r="L684" s="18"/>
      <c r="M684" s="18"/>
      <c r="N684" s="18"/>
      <c r="O684" s="18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>
      <c r="A685" s="1"/>
      <c r="B685" s="1"/>
      <c r="C685" s="18"/>
      <c r="D685" s="47"/>
      <c r="E685" s="18"/>
      <c r="F685" s="18"/>
      <c r="G685" s="18"/>
      <c r="H685" s="18"/>
      <c r="I685" s="25"/>
      <c r="J685" s="18"/>
      <c r="K685" s="18"/>
      <c r="L685" s="18"/>
      <c r="M685" s="18"/>
      <c r="N685" s="18"/>
      <c r="O685" s="18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>
      <c r="A686" s="1"/>
      <c r="B686" s="1"/>
      <c r="C686" s="18"/>
      <c r="D686" s="47"/>
      <c r="E686" s="18"/>
      <c r="F686" s="18"/>
      <c r="G686" s="18"/>
      <c r="H686" s="18"/>
      <c r="I686" s="25"/>
      <c r="J686" s="18"/>
      <c r="K686" s="18"/>
      <c r="L686" s="18"/>
      <c r="M686" s="18"/>
      <c r="N686" s="18"/>
      <c r="O686" s="18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>
      <c r="A687" s="1"/>
      <c r="B687" s="1"/>
      <c r="C687" s="18"/>
      <c r="D687" s="47"/>
      <c r="E687" s="18"/>
      <c r="F687" s="18"/>
      <c r="G687" s="18"/>
      <c r="H687" s="18"/>
      <c r="I687" s="25"/>
      <c r="J687" s="18"/>
      <c r="K687" s="18"/>
      <c r="L687" s="18"/>
      <c r="M687" s="18"/>
      <c r="N687" s="18"/>
      <c r="O687" s="18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>
      <c r="A688" s="1"/>
      <c r="B688" s="1"/>
      <c r="C688" s="18"/>
      <c r="D688" s="47"/>
      <c r="E688" s="18"/>
      <c r="F688" s="18"/>
      <c r="G688" s="18"/>
      <c r="H688" s="18"/>
      <c r="I688" s="25"/>
      <c r="J688" s="18"/>
      <c r="K688" s="18"/>
      <c r="L688" s="18"/>
      <c r="M688" s="18"/>
      <c r="N688" s="18"/>
      <c r="O688" s="18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>
      <c r="A689" s="1"/>
      <c r="B689" s="1"/>
      <c r="C689" s="18"/>
      <c r="D689" s="47"/>
      <c r="E689" s="18"/>
      <c r="F689" s="18"/>
      <c r="G689" s="18"/>
      <c r="H689" s="18"/>
      <c r="I689" s="25"/>
      <c r="J689" s="18"/>
      <c r="K689" s="18"/>
      <c r="L689" s="18"/>
      <c r="M689" s="18"/>
      <c r="N689" s="18"/>
      <c r="O689" s="18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>
      <c r="A690" s="1"/>
      <c r="B690" s="1"/>
      <c r="C690" s="18"/>
      <c r="D690" s="47"/>
      <c r="E690" s="18"/>
      <c r="F690" s="18"/>
      <c r="G690" s="18"/>
      <c r="H690" s="18"/>
      <c r="I690" s="25"/>
      <c r="J690" s="18"/>
      <c r="K690" s="18"/>
      <c r="L690" s="18"/>
      <c r="M690" s="18"/>
      <c r="N690" s="18"/>
      <c r="O690" s="18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>
      <c r="A691" s="1"/>
      <c r="B691" s="1"/>
      <c r="C691" s="18"/>
      <c r="D691" s="47"/>
      <c r="E691" s="18"/>
      <c r="F691" s="18"/>
      <c r="G691" s="18"/>
      <c r="H691" s="18"/>
      <c r="I691" s="25"/>
      <c r="J691" s="18"/>
      <c r="K691" s="18"/>
      <c r="L691" s="18"/>
      <c r="M691" s="18"/>
      <c r="N691" s="18"/>
      <c r="O691" s="18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>
      <c r="A692" s="1"/>
      <c r="B692" s="1"/>
      <c r="C692" s="18"/>
      <c r="D692" s="47"/>
      <c r="E692" s="18"/>
      <c r="F692" s="18"/>
      <c r="G692" s="18"/>
      <c r="H692" s="18"/>
      <c r="I692" s="25"/>
      <c r="J692" s="18"/>
      <c r="K692" s="18"/>
      <c r="L692" s="18"/>
      <c r="M692" s="18"/>
      <c r="N692" s="18"/>
      <c r="O692" s="18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>
      <c r="A693" s="1"/>
      <c r="B693" s="1"/>
      <c r="C693" s="18"/>
      <c r="D693" s="47"/>
      <c r="E693" s="18"/>
      <c r="F693" s="18"/>
      <c r="G693" s="18"/>
      <c r="H693" s="18"/>
      <c r="I693" s="25"/>
      <c r="J693" s="18"/>
      <c r="K693" s="18"/>
      <c r="L693" s="18"/>
      <c r="M693" s="18"/>
      <c r="N693" s="18"/>
      <c r="O693" s="18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>
      <c r="A694" s="1"/>
      <c r="B694" s="1"/>
      <c r="C694" s="18"/>
      <c r="D694" s="47"/>
      <c r="E694" s="18"/>
      <c r="F694" s="18"/>
      <c r="G694" s="18"/>
      <c r="H694" s="18"/>
      <c r="I694" s="25"/>
      <c r="J694" s="18"/>
      <c r="K694" s="18"/>
      <c r="L694" s="18"/>
      <c r="M694" s="18"/>
      <c r="N694" s="18"/>
      <c r="O694" s="18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>
      <c r="A695" s="1"/>
      <c r="B695" s="1"/>
      <c r="C695" s="18"/>
      <c r="D695" s="47"/>
      <c r="E695" s="18"/>
      <c r="F695" s="18"/>
      <c r="G695" s="18"/>
      <c r="H695" s="18"/>
      <c r="I695" s="25"/>
      <c r="J695" s="18"/>
      <c r="K695" s="18"/>
      <c r="L695" s="18"/>
      <c r="M695" s="18"/>
      <c r="N695" s="18"/>
      <c r="O695" s="18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>
      <c r="A696" s="1"/>
      <c r="B696" s="1"/>
      <c r="C696" s="18"/>
      <c r="D696" s="47"/>
      <c r="E696" s="18"/>
      <c r="F696" s="18"/>
      <c r="G696" s="18"/>
      <c r="H696" s="18"/>
      <c r="I696" s="25"/>
      <c r="J696" s="18"/>
      <c r="K696" s="18"/>
      <c r="L696" s="18"/>
      <c r="M696" s="18"/>
      <c r="N696" s="18"/>
      <c r="O696" s="18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>
      <c r="A697" s="1"/>
      <c r="B697" s="1"/>
      <c r="C697" s="18"/>
      <c r="D697" s="47"/>
      <c r="E697" s="18"/>
      <c r="F697" s="18"/>
      <c r="G697" s="18"/>
      <c r="H697" s="18"/>
      <c r="I697" s="25"/>
      <c r="J697" s="18"/>
      <c r="K697" s="18"/>
      <c r="L697" s="18"/>
      <c r="M697" s="18"/>
      <c r="N697" s="18"/>
      <c r="O697" s="18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>
      <c r="A698" s="1"/>
      <c r="B698" s="1"/>
      <c r="C698" s="18"/>
      <c r="D698" s="47"/>
      <c r="E698" s="18"/>
      <c r="F698" s="18"/>
      <c r="G698" s="18"/>
      <c r="H698" s="18"/>
      <c r="I698" s="25"/>
      <c r="J698" s="18"/>
      <c r="K698" s="18"/>
      <c r="L698" s="18"/>
      <c r="M698" s="18"/>
      <c r="N698" s="18"/>
      <c r="O698" s="18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>
      <c r="A699" s="1"/>
      <c r="B699" s="1"/>
      <c r="C699" s="18"/>
      <c r="D699" s="47"/>
      <c r="E699" s="18"/>
      <c r="F699" s="18"/>
      <c r="G699" s="18"/>
      <c r="H699" s="18"/>
      <c r="I699" s="25"/>
      <c r="J699" s="18"/>
      <c r="K699" s="18"/>
      <c r="L699" s="18"/>
      <c r="M699" s="18"/>
      <c r="N699" s="18"/>
      <c r="O699" s="18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>
      <c r="A700" s="1"/>
      <c r="B700" s="1"/>
      <c r="C700" s="18"/>
      <c r="D700" s="47"/>
      <c r="E700" s="18"/>
      <c r="F700" s="18"/>
      <c r="G700" s="18"/>
      <c r="H700" s="18"/>
      <c r="I700" s="25"/>
      <c r="J700" s="18"/>
      <c r="K700" s="18"/>
      <c r="L700" s="18"/>
      <c r="M700" s="18"/>
      <c r="N700" s="18"/>
      <c r="O700" s="18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>
      <c r="A701" s="1"/>
      <c r="B701" s="1"/>
      <c r="C701" s="18"/>
      <c r="D701" s="47"/>
      <c r="E701" s="18"/>
      <c r="F701" s="18"/>
      <c r="G701" s="18"/>
      <c r="H701" s="18"/>
      <c r="I701" s="25"/>
      <c r="J701" s="18"/>
      <c r="K701" s="18"/>
      <c r="L701" s="18"/>
      <c r="M701" s="18"/>
      <c r="N701" s="18"/>
      <c r="O701" s="18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>
      <c r="A702" s="1"/>
      <c r="B702" s="1"/>
      <c r="C702" s="18"/>
      <c r="D702" s="47"/>
      <c r="E702" s="18"/>
      <c r="F702" s="18"/>
      <c r="G702" s="18"/>
      <c r="H702" s="18"/>
      <c r="I702" s="25"/>
      <c r="J702" s="18"/>
      <c r="K702" s="18"/>
      <c r="L702" s="18"/>
      <c r="M702" s="18"/>
      <c r="N702" s="18"/>
      <c r="O702" s="18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>
      <c r="A703" s="1"/>
      <c r="B703" s="1"/>
      <c r="C703" s="18"/>
      <c r="D703" s="47"/>
      <c r="E703" s="18"/>
      <c r="F703" s="18"/>
      <c r="G703" s="18"/>
      <c r="H703" s="18"/>
      <c r="I703" s="25"/>
      <c r="J703" s="18"/>
      <c r="K703" s="18"/>
      <c r="L703" s="18"/>
      <c r="M703" s="18"/>
      <c r="N703" s="18"/>
      <c r="O703" s="18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>
      <c r="A704" s="1"/>
      <c r="B704" s="1"/>
      <c r="C704" s="18"/>
      <c r="D704" s="47"/>
      <c r="E704" s="18"/>
      <c r="F704" s="18"/>
      <c r="G704" s="18"/>
      <c r="H704" s="18"/>
      <c r="I704" s="25"/>
      <c r="J704" s="18"/>
      <c r="K704" s="18"/>
      <c r="L704" s="18"/>
      <c r="M704" s="18"/>
      <c r="N704" s="18"/>
      <c r="O704" s="18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>
      <c r="A705" s="1"/>
      <c r="B705" s="1"/>
      <c r="C705" s="18"/>
      <c r="D705" s="47"/>
      <c r="E705" s="18"/>
      <c r="F705" s="18"/>
      <c r="G705" s="18"/>
      <c r="H705" s="18"/>
      <c r="I705" s="25"/>
      <c r="J705" s="18"/>
      <c r="K705" s="18"/>
      <c r="L705" s="18"/>
      <c r="M705" s="18"/>
      <c r="N705" s="18"/>
      <c r="O705" s="18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>
      <c r="A706" s="1"/>
      <c r="B706" s="1"/>
      <c r="C706" s="18"/>
      <c r="D706" s="47"/>
      <c r="E706" s="18"/>
      <c r="F706" s="18"/>
      <c r="G706" s="18"/>
      <c r="H706" s="18"/>
      <c r="I706" s="25"/>
      <c r="J706" s="18"/>
      <c r="K706" s="18"/>
      <c r="L706" s="18"/>
      <c r="M706" s="18"/>
      <c r="N706" s="18"/>
      <c r="O706" s="18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>
      <c r="A707" s="1"/>
      <c r="B707" s="1"/>
      <c r="C707" s="18"/>
      <c r="D707" s="47"/>
      <c r="E707" s="18"/>
      <c r="F707" s="18"/>
      <c r="G707" s="18"/>
      <c r="H707" s="18"/>
      <c r="I707" s="25"/>
      <c r="J707" s="18"/>
      <c r="K707" s="18"/>
      <c r="L707" s="18"/>
      <c r="M707" s="18"/>
      <c r="N707" s="18"/>
      <c r="O707" s="18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>
      <c r="A708" s="1"/>
      <c r="B708" s="1"/>
      <c r="C708" s="18"/>
      <c r="D708" s="47"/>
      <c r="E708" s="18"/>
      <c r="F708" s="18"/>
      <c r="G708" s="18"/>
      <c r="H708" s="18"/>
      <c r="I708" s="25"/>
      <c r="J708" s="18"/>
      <c r="K708" s="18"/>
      <c r="L708" s="18"/>
      <c r="M708" s="18"/>
      <c r="N708" s="18"/>
      <c r="O708" s="18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>
      <c r="A709" s="1"/>
      <c r="B709" s="1"/>
      <c r="C709" s="18"/>
      <c r="D709" s="47"/>
      <c r="E709" s="18"/>
      <c r="F709" s="18"/>
      <c r="G709" s="18"/>
      <c r="H709" s="18"/>
      <c r="I709" s="25"/>
      <c r="J709" s="18"/>
      <c r="K709" s="18"/>
      <c r="L709" s="18"/>
      <c r="M709" s="18"/>
      <c r="N709" s="18"/>
      <c r="O709" s="18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>
      <c r="A710" s="1"/>
      <c r="B710" s="1"/>
      <c r="C710" s="18"/>
      <c r="D710" s="47"/>
      <c r="E710" s="18"/>
      <c r="F710" s="18"/>
      <c r="G710" s="18"/>
      <c r="H710" s="18"/>
      <c r="I710" s="25"/>
      <c r="J710" s="18"/>
      <c r="K710" s="18"/>
      <c r="L710" s="18"/>
      <c r="M710" s="18"/>
      <c r="N710" s="18"/>
      <c r="O710" s="18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>
      <c r="A711" s="1"/>
      <c r="B711" s="1"/>
      <c r="C711" s="18"/>
      <c r="D711" s="47"/>
      <c r="E711" s="18"/>
      <c r="F711" s="18"/>
      <c r="G711" s="18"/>
      <c r="H711" s="18"/>
      <c r="I711" s="25"/>
      <c r="J711" s="18"/>
      <c r="K711" s="18"/>
      <c r="L711" s="18"/>
      <c r="M711" s="18"/>
      <c r="N711" s="18"/>
      <c r="O711" s="18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>
      <c r="A712" s="1"/>
      <c r="B712" s="1"/>
      <c r="C712" s="18"/>
      <c r="D712" s="47"/>
      <c r="E712" s="18"/>
      <c r="F712" s="18"/>
      <c r="G712" s="18"/>
      <c r="H712" s="18"/>
      <c r="I712" s="25"/>
      <c r="J712" s="18"/>
      <c r="K712" s="18"/>
      <c r="L712" s="18"/>
      <c r="M712" s="18"/>
      <c r="N712" s="18"/>
      <c r="O712" s="18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>
      <c r="A713" s="1"/>
      <c r="B713" s="1"/>
      <c r="C713" s="18"/>
      <c r="D713" s="47"/>
      <c r="E713" s="18"/>
      <c r="F713" s="18"/>
      <c r="G713" s="18"/>
      <c r="H713" s="18"/>
      <c r="I713" s="25"/>
      <c r="J713" s="18"/>
      <c r="K713" s="18"/>
      <c r="L713" s="18"/>
      <c r="M713" s="18"/>
      <c r="N713" s="18"/>
      <c r="O713" s="18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>
      <c r="A714" s="1"/>
      <c r="B714" s="1"/>
      <c r="C714" s="18"/>
      <c r="D714" s="47"/>
      <c r="E714" s="18"/>
      <c r="F714" s="18"/>
      <c r="G714" s="18"/>
      <c r="H714" s="18"/>
      <c r="I714" s="25"/>
      <c r="J714" s="18"/>
      <c r="K714" s="18"/>
      <c r="L714" s="18"/>
      <c r="M714" s="18"/>
      <c r="N714" s="18"/>
      <c r="O714" s="18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>
      <c r="A715" s="1"/>
      <c r="B715" s="1"/>
      <c r="C715" s="18"/>
      <c r="D715" s="47"/>
      <c r="E715" s="18"/>
      <c r="F715" s="18"/>
      <c r="G715" s="18"/>
      <c r="H715" s="18"/>
      <c r="I715" s="25"/>
      <c r="J715" s="18"/>
      <c r="K715" s="18"/>
      <c r="L715" s="18"/>
      <c r="M715" s="18"/>
      <c r="N715" s="18"/>
      <c r="O715" s="18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>
      <c r="A716" s="1"/>
      <c r="B716" s="1"/>
      <c r="C716" s="18"/>
      <c r="D716" s="47"/>
      <c r="E716" s="18"/>
      <c r="F716" s="18"/>
      <c r="G716" s="18"/>
      <c r="H716" s="18"/>
      <c r="I716" s="25"/>
      <c r="J716" s="18"/>
      <c r="K716" s="18"/>
      <c r="L716" s="18"/>
      <c r="M716" s="18"/>
      <c r="N716" s="18"/>
      <c r="O716" s="18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>
      <c r="A717" s="1"/>
      <c r="B717" s="1"/>
      <c r="C717" s="18"/>
      <c r="D717" s="47"/>
      <c r="E717" s="18"/>
      <c r="F717" s="18"/>
      <c r="G717" s="18"/>
      <c r="H717" s="18"/>
      <c r="I717" s="25"/>
      <c r="J717" s="18"/>
      <c r="K717" s="18"/>
      <c r="L717" s="18"/>
      <c r="M717" s="18"/>
      <c r="N717" s="18"/>
      <c r="O717" s="18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>
      <c r="A718" s="1"/>
      <c r="B718" s="1"/>
      <c r="C718" s="18"/>
      <c r="D718" s="47"/>
      <c r="E718" s="18"/>
      <c r="F718" s="18"/>
      <c r="G718" s="18"/>
      <c r="H718" s="18"/>
      <c r="I718" s="25"/>
      <c r="J718" s="18"/>
      <c r="K718" s="18"/>
      <c r="L718" s="18"/>
      <c r="M718" s="18"/>
      <c r="N718" s="18"/>
      <c r="O718" s="18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>
      <c r="A719" s="1"/>
      <c r="B719" s="1"/>
      <c r="C719" s="18"/>
      <c r="D719" s="47"/>
      <c r="E719" s="18"/>
      <c r="F719" s="18"/>
      <c r="G719" s="18"/>
      <c r="H719" s="18"/>
      <c r="I719" s="25"/>
      <c r="J719" s="18"/>
      <c r="K719" s="18"/>
      <c r="L719" s="18"/>
      <c r="M719" s="18"/>
      <c r="N719" s="18"/>
      <c r="O719" s="18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>
      <c r="A720" s="1"/>
      <c r="B720" s="1"/>
      <c r="C720" s="18"/>
      <c r="D720" s="47"/>
      <c r="E720" s="18"/>
      <c r="F720" s="18"/>
      <c r="G720" s="18"/>
      <c r="H720" s="18"/>
      <c r="I720" s="25"/>
      <c r="J720" s="18"/>
      <c r="K720" s="18"/>
      <c r="L720" s="18"/>
      <c r="M720" s="18"/>
      <c r="N720" s="18"/>
      <c r="O720" s="18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>
      <c r="A721" s="1"/>
      <c r="B721" s="1"/>
      <c r="C721" s="18"/>
      <c r="D721" s="47"/>
      <c r="E721" s="18"/>
      <c r="F721" s="18"/>
      <c r="G721" s="18"/>
      <c r="H721" s="18"/>
      <c r="I721" s="25"/>
      <c r="J721" s="18"/>
      <c r="K721" s="18"/>
      <c r="L721" s="18"/>
      <c r="M721" s="18"/>
      <c r="N721" s="18"/>
      <c r="O721" s="18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>
      <c r="A722" s="1"/>
      <c r="B722" s="1"/>
      <c r="C722" s="18"/>
      <c r="D722" s="47"/>
      <c r="E722" s="18"/>
      <c r="F722" s="18"/>
      <c r="G722" s="18"/>
      <c r="H722" s="18"/>
      <c r="I722" s="25"/>
      <c r="J722" s="18"/>
      <c r="K722" s="18"/>
      <c r="L722" s="18"/>
      <c r="M722" s="18"/>
      <c r="N722" s="18"/>
      <c r="O722" s="18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>
      <c r="A723" s="1"/>
      <c r="B723" s="1"/>
      <c r="C723" s="18"/>
      <c r="D723" s="47"/>
      <c r="E723" s="18"/>
      <c r="F723" s="18"/>
      <c r="G723" s="18"/>
      <c r="H723" s="18"/>
      <c r="I723" s="25"/>
      <c r="J723" s="18"/>
      <c r="K723" s="18"/>
      <c r="L723" s="18"/>
      <c r="M723" s="18"/>
      <c r="N723" s="18"/>
      <c r="O723" s="18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>
      <c r="A724" s="1"/>
      <c r="B724" s="1"/>
      <c r="C724" s="18"/>
      <c r="D724" s="47"/>
      <c r="E724" s="18"/>
      <c r="F724" s="18"/>
      <c r="G724" s="18"/>
      <c r="H724" s="18"/>
      <c r="I724" s="25"/>
      <c r="J724" s="18"/>
      <c r="K724" s="18"/>
      <c r="L724" s="18"/>
      <c r="M724" s="18"/>
      <c r="N724" s="18"/>
      <c r="O724" s="18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>
      <c r="A725" s="1"/>
      <c r="B725" s="1"/>
      <c r="C725" s="18"/>
      <c r="D725" s="47"/>
      <c r="E725" s="18"/>
      <c r="F725" s="18"/>
      <c r="G725" s="18"/>
      <c r="H725" s="18"/>
      <c r="I725" s="25"/>
      <c r="J725" s="18"/>
      <c r="K725" s="18"/>
      <c r="L725" s="18"/>
      <c r="M725" s="18"/>
      <c r="N725" s="18"/>
      <c r="O725" s="18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>
      <c r="A726" s="1"/>
      <c r="B726" s="1"/>
      <c r="C726" s="18"/>
      <c r="D726" s="47"/>
      <c r="E726" s="18"/>
      <c r="F726" s="18"/>
      <c r="G726" s="18"/>
      <c r="H726" s="18"/>
      <c r="I726" s="25"/>
      <c r="J726" s="18"/>
      <c r="K726" s="18"/>
      <c r="L726" s="18"/>
      <c r="M726" s="18"/>
      <c r="N726" s="18"/>
      <c r="O726" s="18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>
      <c r="A727" s="1"/>
      <c r="B727" s="1"/>
      <c r="C727" s="18"/>
      <c r="D727" s="47"/>
      <c r="E727" s="18"/>
      <c r="F727" s="18"/>
      <c r="G727" s="18"/>
      <c r="H727" s="18"/>
      <c r="I727" s="25"/>
      <c r="J727" s="18"/>
      <c r="K727" s="18"/>
      <c r="L727" s="18"/>
      <c r="M727" s="18"/>
      <c r="N727" s="18"/>
      <c r="O727" s="18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>
      <c r="A728" s="1"/>
      <c r="B728" s="1"/>
      <c r="C728" s="18"/>
      <c r="D728" s="47"/>
      <c r="E728" s="18"/>
      <c r="F728" s="18"/>
      <c r="G728" s="18"/>
      <c r="H728" s="18"/>
      <c r="I728" s="25"/>
      <c r="J728" s="18"/>
      <c r="K728" s="18"/>
      <c r="L728" s="18"/>
      <c r="M728" s="18"/>
      <c r="N728" s="18"/>
      <c r="O728" s="18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>
      <c r="A729" s="1"/>
      <c r="B729" s="1"/>
      <c r="C729" s="18"/>
      <c r="D729" s="47"/>
      <c r="E729" s="18"/>
      <c r="F729" s="18"/>
      <c r="G729" s="18"/>
      <c r="H729" s="18"/>
      <c r="I729" s="25"/>
      <c r="J729" s="18"/>
      <c r="K729" s="18"/>
      <c r="L729" s="18"/>
      <c r="M729" s="18"/>
      <c r="N729" s="18"/>
      <c r="O729" s="18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>
      <c r="A730" s="1"/>
      <c r="B730" s="1"/>
      <c r="C730" s="18"/>
      <c r="D730" s="47"/>
      <c r="E730" s="18"/>
      <c r="F730" s="18"/>
      <c r="G730" s="18"/>
      <c r="H730" s="18"/>
      <c r="I730" s="25"/>
      <c r="J730" s="18"/>
      <c r="K730" s="18"/>
      <c r="L730" s="18"/>
      <c r="M730" s="18"/>
      <c r="N730" s="18"/>
      <c r="O730" s="18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>
      <c r="A731" s="1"/>
      <c r="B731" s="1"/>
      <c r="C731" s="18"/>
      <c r="D731" s="47"/>
      <c r="E731" s="18"/>
      <c r="F731" s="18"/>
      <c r="G731" s="18"/>
      <c r="H731" s="18"/>
      <c r="I731" s="25"/>
      <c r="J731" s="18"/>
      <c r="K731" s="18"/>
      <c r="L731" s="18"/>
      <c r="M731" s="18"/>
      <c r="N731" s="18"/>
      <c r="O731" s="18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>
      <c r="A732" s="1"/>
      <c r="B732" s="1"/>
      <c r="C732" s="18"/>
      <c r="D732" s="47"/>
      <c r="E732" s="18"/>
      <c r="F732" s="18"/>
      <c r="G732" s="18"/>
      <c r="H732" s="18"/>
      <c r="I732" s="25"/>
      <c r="J732" s="18"/>
      <c r="K732" s="18"/>
      <c r="L732" s="18"/>
      <c r="M732" s="18"/>
      <c r="N732" s="18"/>
      <c r="O732" s="18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>
      <c r="A733" s="1"/>
      <c r="B733" s="1"/>
      <c r="C733" s="18"/>
      <c r="D733" s="47"/>
      <c r="E733" s="18"/>
      <c r="F733" s="18"/>
      <c r="G733" s="18"/>
      <c r="H733" s="18"/>
      <c r="I733" s="25"/>
      <c r="J733" s="18"/>
      <c r="K733" s="18"/>
      <c r="L733" s="18"/>
      <c r="M733" s="18"/>
      <c r="N733" s="18"/>
      <c r="O733" s="18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>
      <c r="A734" s="1"/>
      <c r="B734" s="1"/>
      <c r="C734" s="18"/>
      <c r="D734" s="47"/>
      <c r="E734" s="18"/>
      <c r="F734" s="18"/>
      <c r="G734" s="18"/>
      <c r="H734" s="18"/>
      <c r="I734" s="25"/>
      <c r="J734" s="18"/>
      <c r="K734" s="18"/>
      <c r="L734" s="18"/>
      <c r="M734" s="18"/>
      <c r="N734" s="18"/>
      <c r="O734" s="18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>
      <c r="A735" s="1"/>
      <c r="B735" s="1"/>
      <c r="C735" s="18"/>
      <c r="D735" s="47"/>
      <c r="E735" s="18"/>
      <c r="F735" s="18"/>
      <c r="G735" s="18"/>
      <c r="H735" s="18"/>
      <c r="I735" s="25"/>
      <c r="J735" s="18"/>
      <c r="K735" s="18"/>
      <c r="L735" s="18"/>
      <c r="M735" s="18"/>
      <c r="N735" s="18"/>
      <c r="O735" s="18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>
      <c r="A736" s="1"/>
      <c r="B736" s="1"/>
      <c r="C736" s="18"/>
      <c r="D736" s="47"/>
      <c r="E736" s="18"/>
      <c r="F736" s="18"/>
      <c r="G736" s="18"/>
      <c r="H736" s="18"/>
      <c r="I736" s="25"/>
      <c r="J736" s="18"/>
      <c r="K736" s="18"/>
      <c r="L736" s="18"/>
      <c r="M736" s="18"/>
      <c r="N736" s="18"/>
      <c r="O736" s="18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>
      <c r="A737" s="1"/>
      <c r="B737" s="1"/>
      <c r="C737" s="18"/>
      <c r="D737" s="47"/>
      <c r="E737" s="18"/>
      <c r="F737" s="18"/>
      <c r="G737" s="18"/>
      <c r="H737" s="18"/>
      <c r="I737" s="25"/>
      <c r="J737" s="18"/>
      <c r="K737" s="18"/>
      <c r="L737" s="18"/>
      <c r="M737" s="18"/>
      <c r="N737" s="18"/>
      <c r="O737" s="18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>
      <c r="A738" s="1"/>
      <c r="B738" s="1"/>
      <c r="C738" s="18"/>
      <c r="D738" s="47"/>
      <c r="E738" s="18"/>
      <c r="F738" s="18"/>
      <c r="G738" s="18"/>
      <c r="H738" s="18"/>
      <c r="I738" s="25"/>
      <c r="J738" s="18"/>
      <c r="K738" s="18"/>
      <c r="L738" s="18"/>
      <c r="M738" s="18"/>
      <c r="N738" s="18"/>
      <c r="O738" s="18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>
      <c r="A739" s="1"/>
      <c r="B739" s="1"/>
      <c r="C739" s="18"/>
      <c r="D739" s="47"/>
      <c r="E739" s="18"/>
      <c r="F739" s="18"/>
      <c r="G739" s="18"/>
      <c r="H739" s="18"/>
      <c r="I739" s="25"/>
      <c r="J739" s="18"/>
      <c r="K739" s="18"/>
      <c r="L739" s="18"/>
      <c r="M739" s="18"/>
      <c r="N739" s="18"/>
      <c r="O739" s="18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>
      <c r="A740" s="1"/>
      <c r="B740" s="1"/>
      <c r="C740" s="18"/>
      <c r="D740" s="47"/>
      <c r="E740" s="18"/>
      <c r="F740" s="18"/>
      <c r="G740" s="18"/>
      <c r="H740" s="18"/>
      <c r="I740" s="25"/>
      <c r="J740" s="18"/>
      <c r="K740" s="18"/>
      <c r="L740" s="18"/>
      <c r="M740" s="18"/>
      <c r="N740" s="18"/>
      <c r="O740" s="18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>
      <c r="A741" s="1"/>
      <c r="B741" s="1"/>
      <c r="C741" s="18"/>
      <c r="D741" s="47"/>
      <c r="E741" s="18"/>
      <c r="F741" s="18"/>
      <c r="G741" s="18"/>
      <c r="H741" s="18"/>
      <c r="I741" s="25"/>
      <c r="J741" s="18"/>
      <c r="K741" s="18"/>
      <c r="L741" s="18"/>
      <c r="M741" s="18"/>
      <c r="N741" s="18"/>
      <c r="O741" s="18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>
      <c r="A742" s="1"/>
      <c r="B742" s="1"/>
      <c r="C742" s="18"/>
      <c r="D742" s="47"/>
      <c r="E742" s="18"/>
      <c r="F742" s="18"/>
      <c r="G742" s="18"/>
      <c r="H742" s="18"/>
      <c r="I742" s="25"/>
      <c r="J742" s="18"/>
      <c r="K742" s="18"/>
      <c r="L742" s="18"/>
      <c r="M742" s="18"/>
      <c r="N742" s="18"/>
      <c r="O742" s="18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>
      <c r="A743" s="1"/>
      <c r="B743" s="1"/>
      <c r="C743" s="18"/>
      <c r="D743" s="47"/>
      <c r="E743" s="18"/>
      <c r="F743" s="18"/>
      <c r="G743" s="18"/>
      <c r="H743" s="18"/>
      <c r="I743" s="25"/>
      <c r="J743" s="18"/>
      <c r="K743" s="18"/>
      <c r="L743" s="18"/>
      <c r="M743" s="18"/>
      <c r="N743" s="18"/>
      <c r="O743" s="18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>
      <c r="A744" s="1"/>
      <c r="B744" s="1"/>
      <c r="C744" s="18"/>
      <c r="D744" s="47"/>
      <c r="E744" s="18"/>
      <c r="F744" s="18"/>
      <c r="G744" s="18"/>
      <c r="H744" s="18"/>
      <c r="I744" s="25"/>
      <c r="J744" s="18"/>
      <c r="K744" s="18"/>
      <c r="L744" s="18"/>
      <c r="M744" s="18"/>
      <c r="N744" s="18"/>
      <c r="O744" s="18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>
      <c r="A745" s="1"/>
      <c r="B745" s="1"/>
      <c r="C745" s="18"/>
      <c r="D745" s="47"/>
      <c r="E745" s="18"/>
      <c r="F745" s="18"/>
      <c r="G745" s="18"/>
      <c r="H745" s="18"/>
      <c r="I745" s="25"/>
      <c r="J745" s="18"/>
      <c r="K745" s="18"/>
      <c r="L745" s="18"/>
      <c r="M745" s="18"/>
      <c r="N745" s="18"/>
      <c r="O745" s="18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>
      <c r="A746" s="1"/>
      <c r="B746" s="1"/>
      <c r="C746" s="18"/>
      <c r="D746" s="47"/>
      <c r="E746" s="18"/>
      <c r="F746" s="18"/>
      <c r="G746" s="18"/>
      <c r="H746" s="18"/>
      <c r="I746" s="25"/>
      <c r="J746" s="18"/>
      <c r="K746" s="18"/>
      <c r="L746" s="18"/>
      <c r="M746" s="18"/>
      <c r="N746" s="18"/>
      <c r="O746" s="18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>
      <c r="A747" s="1"/>
      <c r="B747" s="1"/>
      <c r="C747" s="18"/>
      <c r="D747" s="47"/>
      <c r="E747" s="18"/>
      <c r="F747" s="18"/>
      <c r="G747" s="18"/>
      <c r="H747" s="18"/>
      <c r="I747" s="25"/>
      <c r="J747" s="18"/>
      <c r="K747" s="18"/>
      <c r="L747" s="18"/>
      <c r="M747" s="18"/>
      <c r="N747" s="18"/>
      <c r="O747" s="18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>
      <c r="A748" s="1"/>
      <c r="B748" s="1"/>
      <c r="C748" s="18"/>
      <c r="D748" s="47"/>
      <c r="E748" s="18"/>
      <c r="F748" s="18"/>
      <c r="G748" s="18"/>
      <c r="H748" s="18"/>
      <c r="I748" s="25"/>
      <c r="J748" s="18"/>
      <c r="K748" s="18"/>
      <c r="L748" s="18"/>
      <c r="M748" s="18"/>
      <c r="N748" s="18"/>
      <c r="O748" s="18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>
      <c r="A749" s="1"/>
      <c r="B749" s="1"/>
      <c r="C749" s="18"/>
      <c r="D749" s="47"/>
      <c r="E749" s="18"/>
      <c r="F749" s="18"/>
      <c r="G749" s="18"/>
      <c r="H749" s="18"/>
      <c r="I749" s="25"/>
      <c r="J749" s="18"/>
      <c r="K749" s="18"/>
      <c r="L749" s="18"/>
      <c r="M749" s="18"/>
      <c r="N749" s="18"/>
      <c r="O749" s="18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>
      <c r="A750" s="1"/>
      <c r="B750" s="1"/>
      <c r="C750" s="18"/>
      <c r="D750" s="47"/>
      <c r="E750" s="18"/>
      <c r="F750" s="18"/>
      <c r="G750" s="18"/>
      <c r="H750" s="18"/>
      <c r="I750" s="25"/>
      <c r="J750" s="18"/>
      <c r="K750" s="18"/>
      <c r="L750" s="18"/>
      <c r="M750" s="18"/>
      <c r="N750" s="18"/>
      <c r="O750" s="18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>
      <c r="A751" s="1"/>
      <c r="B751" s="1"/>
      <c r="C751" s="18"/>
      <c r="D751" s="47"/>
      <c r="E751" s="18"/>
      <c r="F751" s="18"/>
      <c r="G751" s="18"/>
      <c r="H751" s="18"/>
      <c r="I751" s="25"/>
      <c r="J751" s="18"/>
      <c r="K751" s="18"/>
      <c r="L751" s="18"/>
      <c r="M751" s="18"/>
      <c r="N751" s="18"/>
      <c r="O751" s="18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>
      <c r="A752" s="1"/>
      <c r="B752" s="1"/>
      <c r="C752" s="18"/>
      <c r="D752" s="47"/>
      <c r="E752" s="18"/>
      <c r="F752" s="18"/>
      <c r="G752" s="18"/>
      <c r="H752" s="18"/>
      <c r="I752" s="25"/>
      <c r="J752" s="18"/>
      <c r="K752" s="18"/>
      <c r="L752" s="18"/>
      <c r="M752" s="18"/>
      <c r="N752" s="18"/>
      <c r="O752" s="18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>
      <c r="A753" s="1"/>
      <c r="B753" s="1"/>
      <c r="C753" s="18"/>
      <c r="D753" s="47"/>
      <c r="E753" s="18"/>
      <c r="F753" s="18"/>
      <c r="G753" s="18"/>
      <c r="H753" s="18"/>
      <c r="I753" s="25"/>
      <c r="J753" s="18"/>
      <c r="K753" s="18"/>
      <c r="L753" s="18"/>
      <c r="M753" s="18"/>
      <c r="N753" s="18"/>
      <c r="O753" s="18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>
      <c r="A754" s="1"/>
      <c r="B754" s="1"/>
      <c r="C754" s="18"/>
      <c r="D754" s="47"/>
      <c r="E754" s="18"/>
      <c r="F754" s="18"/>
      <c r="G754" s="18"/>
      <c r="H754" s="18"/>
      <c r="I754" s="25"/>
      <c r="J754" s="18"/>
      <c r="K754" s="18"/>
      <c r="L754" s="18"/>
      <c r="M754" s="18"/>
      <c r="N754" s="18"/>
      <c r="O754" s="18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>
      <c r="A755" s="1"/>
      <c r="B755" s="1"/>
      <c r="C755" s="18"/>
      <c r="D755" s="47"/>
      <c r="E755" s="18"/>
      <c r="F755" s="18"/>
      <c r="G755" s="18"/>
      <c r="H755" s="18"/>
      <c r="I755" s="25"/>
      <c r="J755" s="18"/>
      <c r="K755" s="18"/>
      <c r="L755" s="18"/>
      <c r="M755" s="18"/>
      <c r="N755" s="18"/>
      <c r="O755" s="18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>
      <c r="A756" s="1"/>
      <c r="B756" s="1"/>
      <c r="C756" s="18"/>
      <c r="D756" s="47"/>
      <c r="E756" s="18"/>
      <c r="F756" s="18"/>
      <c r="G756" s="18"/>
      <c r="H756" s="18"/>
      <c r="I756" s="25"/>
      <c r="J756" s="18"/>
      <c r="K756" s="18"/>
      <c r="L756" s="18"/>
      <c r="M756" s="18"/>
      <c r="N756" s="18"/>
      <c r="O756" s="18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>
      <c r="A757" s="1"/>
      <c r="B757" s="1"/>
      <c r="C757" s="18"/>
      <c r="D757" s="47"/>
      <c r="E757" s="18"/>
      <c r="F757" s="18"/>
      <c r="G757" s="18"/>
      <c r="H757" s="18"/>
      <c r="I757" s="25"/>
      <c r="J757" s="18"/>
      <c r="K757" s="18"/>
      <c r="L757" s="18"/>
      <c r="M757" s="18"/>
      <c r="N757" s="18"/>
      <c r="O757" s="18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>
      <c r="A758" s="1"/>
      <c r="B758" s="1"/>
      <c r="C758" s="18"/>
      <c r="D758" s="47"/>
      <c r="E758" s="18"/>
      <c r="F758" s="18"/>
      <c r="G758" s="18"/>
      <c r="H758" s="18"/>
      <c r="I758" s="25"/>
      <c r="J758" s="18"/>
      <c r="K758" s="18"/>
      <c r="L758" s="18"/>
      <c r="M758" s="18"/>
      <c r="N758" s="18"/>
      <c r="O758" s="18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>
      <c r="A759" s="1"/>
      <c r="B759" s="1"/>
      <c r="C759" s="18"/>
      <c r="D759" s="47"/>
      <c r="E759" s="18"/>
      <c r="F759" s="18"/>
      <c r="G759" s="18"/>
      <c r="H759" s="18"/>
      <c r="I759" s="25"/>
      <c r="J759" s="18"/>
      <c r="K759" s="18"/>
      <c r="L759" s="18"/>
      <c r="M759" s="18"/>
      <c r="N759" s="18"/>
      <c r="O759" s="18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>
      <c r="A760" s="1"/>
      <c r="B760" s="1"/>
      <c r="C760" s="18"/>
      <c r="D760" s="47"/>
      <c r="E760" s="18"/>
      <c r="F760" s="18"/>
      <c r="G760" s="18"/>
      <c r="H760" s="18"/>
      <c r="I760" s="25"/>
      <c r="J760" s="18"/>
      <c r="K760" s="18"/>
      <c r="L760" s="18"/>
      <c r="M760" s="18"/>
      <c r="N760" s="18"/>
      <c r="O760" s="18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>
      <c r="A761" s="1"/>
      <c r="B761" s="1"/>
      <c r="C761" s="18"/>
      <c r="D761" s="47"/>
      <c r="E761" s="18"/>
      <c r="F761" s="18"/>
      <c r="G761" s="18"/>
      <c r="H761" s="18"/>
      <c r="I761" s="25"/>
      <c r="J761" s="18"/>
      <c r="K761" s="18"/>
      <c r="L761" s="18"/>
      <c r="M761" s="18"/>
      <c r="N761" s="18"/>
      <c r="O761" s="18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>
      <c r="A762" s="1"/>
      <c r="B762" s="1"/>
      <c r="C762" s="18"/>
      <c r="D762" s="47"/>
      <c r="E762" s="18"/>
      <c r="F762" s="18"/>
      <c r="G762" s="18"/>
      <c r="H762" s="18"/>
      <c r="I762" s="25"/>
      <c r="J762" s="18"/>
      <c r="K762" s="18"/>
      <c r="L762" s="18"/>
      <c r="M762" s="18"/>
      <c r="N762" s="18"/>
      <c r="O762" s="18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>
      <c r="A763" s="1"/>
      <c r="B763" s="1"/>
      <c r="C763" s="18"/>
      <c r="D763" s="47"/>
      <c r="E763" s="18"/>
      <c r="F763" s="18"/>
      <c r="G763" s="18"/>
      <c r="H763" s="18"/>
      <c r="I763" s="25"/>
      <c r="J763" s="18"/>
      <c r="K763" s="18"/>
      <c r="L763" s="18"/>
      <c r="M763" s="18"/>
      <c r="N763" s="18"/>
      <c r="O763" s="18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>
      <c r="A764" s="1"/>
      <c r="B764" s="1"/>
      <c r="C764" s="18"/>
      <c r="D764" s="47"/>
      <c r="E764" s="18"/>
      <c r="F764" s="18"/>
      <c r="G764" s="18"/>
      <c r="H764" s="18"/>
      <c r="I764" s="25"/>
      <c r="J764" s="18"/>
      <c r="K764" s="18"/>
      <c r="L764" s="18"/>
      <c r="M764" s="18"/>
      <c r="N764" s="18"/>
      <c r="O764" s="18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>
      <c r="A765" s="1"/>
      <c r="B765" s="1"/>
      <c r="C765" s="18"/>
      <c r="D765" s="47"/>
      <c r="E765" s="18"/>
      <c r="F765" s="18"/>
      <c r="G765" s="18"/>
      <c r="H765" s="18"/>
      <c r="I765" s="25"/>
      <c r="J765" s="18"/>
      <c r="K765" s="18"/>
      <c r="L765" s="18"/>
      <c r="M765" s="18"/>
      <c r="N765" s="18"/>
      <c r="O765" s="18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>
      <c r="A766" s="1"/>
      <c r="B766" s="1"/>
      <c r="C766" s="18"/>
      <c r="D766" s="47"/>
      <c r="E766" s="18"/>
      <c r="F766" s="18"/>
      <c r="G766" s="18"/>
      <c r="H766" s="18"/>
      <c r="I766" s="25"/>
      <c r="J766" s="18"/>
      <c r="K766" s="18"/>
      <c r="L766" s="18"/>
      <c r="M766" s="18"/>
      <c r="N766" s="18"/>
      <c r="O766" s="18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>
      <c r="A767" s="1"/>
      <c r="B767" s="1"/>
      <c r="C767" s="18"/>
      <c r="D767" s="47"/>
      <c r="E767" s="18"/>
      <c r="F767" s="18"/>
      <c r="G767" s="18"/>
      <c r="H767" s="18"/>
      <c r="I767" s="25"/>
      <c r="J767" s="18"/>
      <c r="K767" s="18"/>
      <c r="L767" s="18"/>
      <c r="M767" s="18"/>
      <c r="N767" s="18"/>
      <c r="O767" s="18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>
      <c r="A768" s="1"/>
      <c r="B768" s="1"/>
      <c r="C768" s="18"/>
      <c r="D768" s="47"/>
      <c r="E768" s="18"/>
      <c r="F768" s="18"/>
      <c r="G768" s="18"/>
      <c r="H768" s="18"/>
      <c r="I768" s="25"/>
      <c r="J768" s="18"/>
      <c r="K768" s="18"/>
      <c r="L768" s="18"/>
      <c r="M768" s="18"/>
      <c r="N768" s="18"/>
      <c r="O768" s="18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>
      <c r="A769" s="1"/>
      <c r="B769" s="1"/>
      <c r="C769" s="18"/>
      <c r="D769" s="47"/>
      <c r="E769" s="18"/>
      <c r="F769" s="18"/>
      <c r="G769" s="18"/>
      <c r="H769" s="18"/>
      <c r="I769" s="25"/>
      <c r="J769" s="18"/>
      <c r="K769" s="18"/>
      <c r="L769" s="18"/>
      <c r="M769" s="18"/>
      <c r="N769" s="18"/>
      <c r="O769" s="18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>
      <c r="A770" s="1"/>
      <c r="B770" s="1"/>
      <c r="C770" s="18"/>
      <c r="D770" s="47"/>
      <c r="E770" s="18"/>
      <c r="F770" s="18"/>
      <c r="G770" s="18"/>
      <c r="H770" s="18"/>
      <c r="I770" s="25"/>
      <c r="J770" s="18"/>
      <c r="K770" s="18"/>
      <c r="L770" s="18"/>
      <c r="M770" s="18"/>
      <c r="N770" s="18"/>
      <c r="O770" s="18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>
      <c r="A771" s="1"/>
      <c r="B771" s="1"/>
      <c r="C771" s="18"/>
      <c r="D771" s="47"/>
      <c r="E771" s="18"/>
      <c r="F771" s="18"/>
      <c r="G771" s="18"/>
      <c r="H771" s="18"/>
      <c r="I771" s="25"/>
      <c r="J771" s="18"/>
      <c r="K771" s="18"/>
      <c r="L771" s="18"/>
      <c r="M771" s="18"/>
      <c r="N771" s="18"/>
      <c r="O771" s="18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>
      <c r="A772" s="1"/>
      <c r="B772" s="1"/>
      <c r="C772" s="18"/>
      <c r="D772" s="47"/>
      <c r="E772" s="18"/>
      <c r="F772" s="18"/>
      <c r="G772" s="18"/>
      <c r="H772" s="18"/>
      <c r="I772" s="25"/>
      <c r="J772" s="18"/>
      <c r="K772" s="18"/>
      <c r="L772" s="18"/>
      <c r="M772" s="18"/>
      <c r="N772" s="18"/>
      <c r="O772" s="18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>
      <c r="A773" s="1"/>
      <c r="B773" s="1"/>
      <c r="C773" s="18"/>
      <c r="D773" s="47"/>
      <c r="E773" s="18"/>
      <c r="F773" s="18"/>
      <c r="G773" s="18"/>
      <c r="H773" s="18"/>
      <c r="I773" s="25"/>
      <c r="J773" s="18"/>
      <c r="K773" s="18"/>
      <c r="L773" s="18"/>
      <c r="M773" s="18"/>
      <c r="N773" s="18"/>
      <c r="O773" s="18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>
      <c r="A774" s="1"/>
      <c r="B774" s="1"/>
      <c r="C774" s="18"/>
      <c r="D774" s="47"/>
      <c r="E774" s="18"/>
      <c r="F774" s="18"/>
      <c r="G774" s="18"/>
      <c r="H774" s="18"/>
      <c r="I774" s="25"/>
      <c r="J774" s="18"/>
      <c r="K774" s="18"/>
      <c r="L774" s="18"/>
      <c r="M774" s="18"/>
      <c r="N774" s="18"/>
      <c r="O774" s="18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>
      <c r="A775" s="1"/>
      <c r="B775" s="1"/>
      <c r="C775" s="18"/>
      <c r="D775" s="47"/>
      <c r="E775" s="18"/>
      <c r="F775" s="18"/>
      <c r="G775" s="18"/>
      <c r="H775" s="18"/>
      <c r="I775" s="25"/>
      <c r="J775" s="18"/>
      <c r="K775" s="18"/>
      <c r="L775" s="18"/>
      <c r="M775" s="18"/>
      <c r="N775" s="18"/>
      <c r="O775" s="18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>
      <c r="A776" s="1"/>
      <c r="B776" s="1"/>
      <c r="C776" s="18"/>
      <c r="D776" s="47"/>
      <c r="E776" s="18"/>
      <c r="F776" s="18"/>
      <c r="G776" s="18"/>
      <c r="H776" s="18"/>
      <c r="I776" s="25"/>
      <c r="J776" s="18"/>
      <c r="K776" s="18"/>
      <c r="L776" s="18"/>
      <c r="M776" s="18"/>
      <c r="N776" s="18"/>
      <c r="O776" s="18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>
      <c r="A777" s="1"/>
      <c r="B777" s="1"/>
      <c r="C777" s="18"/>
      <c r="D777" s="47"/>
      <c r="E777" s="18"/>
      <c r="F777" s="18"/>
      <c r="G777" s="18"/>
      <c r="H777" s="18"/>
      <c r="I777" s="25"/>
      <c r="J777" s="18"/>
      <c r="K777" s="18"/>
      <c r="L777" s="18"/>
      <c r="M777" s="18"/>
      <c r="N777" s="18"/>
      <c r="O777" s="18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>
      <c r="A778" s="1"/>
      <c r="B778" s="1"/>
      <c r="C778" s="18"/>
      <c r="D778" s="47"/>
      <c r="E778" s="18"/>
      <c r="F778" s="18"/>
      <c r="G778" s="18"/>
      <c r="H778" s="18"/>
      <c r="I778" s="25"/>
      <c r="J778" s="18"/>
      <c r="K778" s="18"/>
      <c r="L778" s="18"/>
      <c r="M778" s="18"/>
      <c r="N778" s="18"/>
      <c r="O778" s="18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>
      <c r="A779" s="1"/>
      <c r="B779" s="1"/>
      <c r="C779" s="18"/>
      <c r="D779" s="47"/>
      <c r="E779" s="18"/>
      <c r="F779" s="18"/>
      <c r="G779" s="18"/>
      <c r="H779" s="18"/>
      <c r="I779" s="25"/>
      <c r="J779" s="18"/>
      <c r="K779" s="18"/>
      <c r="L779" s="18"/>
      <c r="M779" s="18"/>
      <c r="N779" s="18"/>
      <c r="O779" s="18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>
      <c r="A780" s="1"/>
      <c r="B780" s="1"/>
      <c r="C780" s="18"/>
      <c r="D780" s="47"/>
      <c r="E780" s="18"/>
      <c r="F780" s="18"/>
      <c r="G780" s="18"/>
      <c r="H780" s="18"/>
      <c r="I780" s="25"/>
      <c r="J780" s="18"/>
      <c r="K780" s="18"/>
      <c r="L780" s="18"/>
      <c r="M780" s="18"/>
      <c r="N780" s="18"/>
      <c r="O780" s="18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>
      <c r="A781" s="1"/>
      <c r="B781" s="1"/>
      <c r="C781" s="18"/>
      <c r="D781" s="47"/>
      <c r="E781" s="18"/>
      <c r="F781" s="18"/>
      <c r="G781" s="18"/>
      <c r="H781" s="18"/>
      <c r="I781" s="25"/>
      <c r="J781" s="18"/>
      <c r="K781" s="18"/>
      <c r="L781" s="18"/>
      <c r="M781" s="18"/>
      <c r="N781" s="18"/>
      <c r="O781" s="18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>
      <c r="A782" s="1"/>
      <c r="B782" s="1"/>
      <c r="C782" s="18"/>
      <c r="D782" s="47"/>
      <c r="E782" s="18"/>
      <c r="F782" s="18"/>
      <c r="G782" s="18"/>
      <c r="H782" s="18"/>
      <c r="I782" s="25"/>
      <c r="J782" s="18"/>
      <c r="K782" s="18"/>
      <c r="L782" s="18"/>
      <c r="M782" s="18"/>
      <c r="N782" s="18"/>
      <c r="O782" s="18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>
      <c r="A783" s="1"/>
      <c r="B783" s="1"/>
      <c r="C783" s="18"/>
      <c r="D783" s="47"/>
      <c r="E783" s="18"/>
      <c r="F783" s="18"/>
      <c r="G783" s="18"/>
      <c r="H783" s="18"/>
      <c r="I783" s="25"/>
      <c r="J783" s="18"/>
      <c r="K783" s="18"/>
      <c r="L783" s="18"/>
      <c r="M783" s="18"/>
      <c r="N783" s="18"/>
      <c r="O783" s="18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>
      <c r="A784" s="1"/>
      <c r="B784" s="1"/>
      <c r="C784" s="18"/>
      <c r="D784" s="47"/>
      <c r="E784" s="18"/>
      <c r="F784" s="18"/>
      <c r="G784" s="18"/>
      <c r="H784" s="18"/>
      <c r="I784" s="25"/>
      <c r="J784" s="18"/>
      <c r="K784" s="18"/>
      <c r="L784" s="18"/>
      <c r="M784" s="18"/>
      <c r="N784" s="18"/>
      <c r="O784" s="18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>
      <c r="A785" s="1"/>
      <c r="B785" s="1"/>
      <c r="C785" s="18"/>
      <c r="D785" s="47"/>
      <c r="E785" s="18"/>
      <c r="F785" s="18"/>
      <c r="G785" s="18"/>
      <c r="H785" s="18"/>
      <c r="I785" s="25"/>
      <c r="J785" s="18"/>
      <c r="K785" s="18"/>
      <c r="L785" s="18"/>
      <c r="M785" s="18"/>
      <c r="N785" s="18"/>
      <c r="O785" s="18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>
      <c r="A786" s="1"/>
      <c r="B786" s="1"/>
      <c r="C786" s="18"/>
      <c r="D786" s="47"/>
      <c r="E786" s="18"/>
      <c r="F786" s="18"/>
      <c r="G786" s="18"/>
      <c r="H786" s="18"/>
      <c r="I786" s="25"/>
      <c r="J786" s="18"/>
      <c r="K786" s="18"/>
      <c r="L786" s="18"/>
      <c r="M786" s="18"/>
      <c r="N786" s="18"/>
      <c r="O786" s="18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>
      <c r="A787" s="1"/>
      <c r="B787" s="1"/>
      <c r="C787" s="18"/>
      <c r="D787" s="47"/>
      <c r="E787" s="18"/>
      <c r="F787" s="18"/>
      <c r="G787" s="18"/>
      <c r="H787" s="18"/>
      <c r="I787" s="25"/>
      <c r="J787" s="18"/>
      <c r="K787" s="18"/>
      <c r="L787" s="18"/>
      <c r="M787" s="18"/>
      <c r="N787" s="18"/>
      <c r="O787" s="18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>
      <c r="A788" s="1"/>
      <c r="B788" s="1"/>
      <c r="C788" s="18"/>
      <c r="D788" s="47"/>
      <c r="E788" s="18"/>
      <c r="F788" s="18"/>
      <c r="G788" s="18"/>
      <c r="H788" s="18"/>
      <c r="I788" s="25"/>
      <c r="J788" s="18"/>
      <c r="K788" s="18"/>
      <c r="L788" s="18"/>
      <c r="M788" s="18"/>
      <c r="N788" s="18"/>
      <c r="O788" s="18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>
      <c r="A789" s="1"/>
      <c r="B789" s="1"/>
      <c r="C789" s="18"/>
      <c r="D789" s="47"/>
      <c r="E789" s="18"/>
      <c r="F789" s="18"/>
      <c r="G789" s="18"/>
      <c r="H789" s="18"/>
      <c r="I789" s="25"/>
      <c r="J789" s="18"/>
      <c r="K789" s="18"/>
      <c r="L789" s="18"/>
      <c r="M789" s="18"/>
      <c r="N789" s="18"/>
      <c r="O789" s="18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>
      <c r="A790" s="1"/>
      <c r="B790" s="1"/>
      <c r="C790" s="18"/>
      <c r="D790" s="47"/>
      <c r="E790" s="18"/>
      <c r="F790" s="18"/>
      <c r="G790" s="18"/>
      <c r="H790" s="18"/>
      <c r="I790" s="25"/>
      <c r="J790" s="18"/>
      <c r="K790" s="18"/>
      <c r="L790" s="18"/>
      <c r="M790" s="18"/>
      <c r="N790" s="18"/>
      <c r="O790" s="18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>
      <c r="A791" s="1"/>
      <c r="B791" s="1"/>
      <c r="C791" s="18"/>
      <c r="D791" s="47"/>
      <c r="E791" s="18"/>
      <c r="F791" s="18"/>
      <c r="G791" s="18"/>
      <c r="H791" s="18"/>
      <c r="I791" s="25"/>
      <c r="J791" s="18"/>
      <c r="K791" s="18"/>
      <c r="L791" s="18"/>
      <c r="M791" s="18"/>
      <c r="N791" s="18"/>
      <c r="O791" s="18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>
      <c r="A792" s="1"/>
      <c r="B792" s="1"/>
      <c r="C792" s="18"/>
      <c r="D792" s="47"/>
      <c r="E792" s="18"/>
      <c r="F792" s="18"/>
      <c r="G792" s="18"/>
      <c r="H792" s="18"/>
      <c r="I792" s="25"/>
      <c r="J792" s="18"/>
      <c r="K792" s="18"/>
      <c r="L792" s="18"/>
      <c r="M792" s="18"/>
      <c r="N792" s="18"/>
      <c r="O792" s="18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>
      <c r="A793" s="1"/>
      <c r="B793" s="1"/>
      <c r="C793" s="18"/>
      <c r="D793" s="47"/>
      <c r="E793" s="18"/>
      <c r="F793" s="18"/>
      <c r="G793" s="18"/>
      <c r="H793" s="18"/>
      <c r="I793" s="25"/>
      <c r="J793" s="18"/>
      <c r="K793" s="18"/>
      <c r="L793" s="18"/>
      <c r="M793" s="18"/>
      <c r="N793" s="18"/>
      <c r="O793" s="18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>
      <c r="A794" s="1"/>
      <c r="B794" s="1"/>
      <c r="C794" s="18"/>
      <c r="D794" s="47"/>
      <c r="E794" s="18"/>
      <c r="F794" s="18"/>
      <c r="G794" s="18"/>
      <c r="H794" s="18"/>
      <c r="I794" s="25"/>
      <c r="J794" s="18"/>
      <c r="K794" s="18"/>
      <c r="L794" s="18"/>
      <c r="M794" s="18"/>
      <c r="N794" s="18"/>
      <c r="O794" s="18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>
      <c r="A795" s="1"/>
      <c r="B795" s="1"/>
      <c r="C795" s="18"/>
      <c r="D795" s="47"/>
      <c r="E795" s="18"/>
      <c r="F795" s="18"/>
      <c r="G795" s="18"/>
      <c r="H795" s="18"/>
      <c r="I795" s="25"/>
      <c r="J795" s="18"/>
      <c r="K795" s="18"/>
      <c r="L795" s="18"/>
      <c r="M795" s="18"/>
      <c r="N795" s="18"/>
      <c r="O795" s="18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>
      <c r="A796" s="1"/>
      <c r="B796" s="1"/>
      <c r="C796" s="18"/>
      <c r="D796" s="47"/>
      <c r="E796" s="18"/>
      <c r="F796" s="18"/>
      <c r="G796" s="18"/>
      <c r="H796" s="18"/>
      <c r="I796" s="25"/>
      <c r="J796" s="18"/>
      <c r="K796" s="18"/>
      <c r="L796" s="18"/>
      <c r="M796" s="18"/>
      <c r="N796" s="18"/>
      <c r="O796" s="18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>
      <c r="A797" s="1"/>
      <c r="B797" s="1"/>
      <c r="C797" s="18"/>
      <c r="D797" s="47"/>
      <c r="E797" s="18"/>
      <c r="F797" s="18"/>
      <c r="G797" s="18"/>
      <c r="H797" s="18"/>
      <c r="I797" s="25"/>
      <c r="J797" s="18"/>
      <c r="K797" s="18"/>
      <c r="L797" s="18"/>
      <c r="M797" s="18"/>
      <c r="N797" s="18"/>
      <c r="O797" s="18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>
      <c r="A798" s="1"/>
      <c r="B798" s="1"/>
      <c r="C798" s="18"/>
      <c r="D798" s="47"/>
      <c r="E798" s="18"/>
      <c r="F798" s="18"/>
      <c r="G798" s="18"/>
      <c r="H798" s="18"/>
      <c r="I798" s="25"/>
      <c r="J798" s="18"/>
      <c r="K798" s="18"/>
      <c r="L798" s="18"/>
      <c r="M798" s="18"/>
      <c r="N798" s="18"/>
      <c r="O798" s="18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>
      <c r="A799" s="1"/>
      <c r="B799" s="1"/>
      <c r="C799" s="18"/>
      <c r="D799" s="47"/>
      <c r="E799" s="18"/>
      <c r="F799" s="18"/>
      <c r="G799" s="18"/>
      <c r="H799" s="18"/>
      <c r="I799" s="25"/>
      <c r="J799" s="18"/>
      <c r="K799" s="18"/>
      <c r="L799" s="18"/>
      <c r="M799" s="18"/>
      <c r="N799" s="18"/>
      <c r="O799" s="18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>
      <c r="A800" s="1"/>
      <c r="B800" s="1"/>
      <c r="C800" s="18"/>
      <c r="D800" s="47"/>
      <c r="E800" s="18"/>
      <c r="F800" s="18"/>
      <c r="G800" s="18"/>
      <c r="H800" s="18"/>
      <c r="I800" s="25"/>
      <c r="J800" s="18"/>
      <c r="K800" s="18"/>
      <c r="L800" s="18"/>
      <c r="M800" s="18"/>
      <c r="N800" s="18"/>
      <c r="O800" s="18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>
      <c r="A801" s="1"/>
      <c r="B801" s="1"/>
      <c r="C801" s="18"/>
      <c r="D801" s="47"/>
      <c r="E801" s="18"/>
      <c r="F801" s="18"/>
      <c r="G801" s="18"/>
      <c r="H801" s="18"/>
      <c r="I801" s="25"/>
      <c r="J801" s="18"/>
      <c r="K801" s="18"/>
      <c r="L801" s="18"/>
      <c r="M801" s="18"/>
      <c r="N801" s="18"/>
      <c r="O801" s="18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>
      <c r="A802" s="1"/>
      <c r="B802" s="1"/>
      <c r="C802" s="18"/>
      <c r="D802" s="47"/>
      <c r="E802" s="18"/>
      <c r="F802" s="18"/>
      <c r="G802" s="18"/>
      <c r="H802" s="18"/>
      <c r="I802" s="25"/>
      <c r="J802" s="18"/>
      <c r="K802" s="18"/>
      <c r="L802" s="18"/>
      <c r="M802" s="18"/>
      <c r="N802" s="18"/>
      <c r="O802" s="18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>
      <c r="A803" s="1"/>
      <c r="B803" s="1"/>
      <c r="C803" s="18"/>
      <c r="D803" s="47"/>
      <c r="E803" s="18"/>
      <c r="F803" s="18"/>
      <c r="G803" s="18"/>
      <c r="H803" s="18"/>
      <c r="I803" s="25"/>
      <c r="J803" s="18"/>
      <c r="K803" s="18"/>
      <c r="L803" s="18"/>
      <c r="M803" s="18"/>
      <c r="N803" s="18"/>
      <c r="O803" s="18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>
      <c r="A804" s="1"/>
      <c r="B804" s="1"/>
      <c r="C804" s="18"/>
      <c r="D804" s="47"/>
      <c r="E804" s="18"/>
      <c r="F804" s="18"/>
      <c r="G804" s="18"/>
      <c r="H804" s="18"/>
      <c r="I804" s="25"/>
      <c r="J804" s="18"/>
      <c r="K804" s="18"/>
      <c r="L804" s="18"/>
      <c r="M804" s="18"/>
      <c r="N804" s="18"/>
      <c r="O804" s="18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>
      <c r="A805" s="1"/>
      <c r="B805" s="1"/>
      <c r="C805" s="18"/>
      <c r="D805" s="47"/>
      <c r="E805" s="18"/>
      <c r="F805" s="18"/>
      <c r="G805" s="18"/>
      <c r="H805" s="18"/>
      <c r="I805" s="25"/>
      <c r="J805" s="18"/>
      <c r="K805" s="18"/>
      <c r="L805" s="18"/>
      <c r="M805" s="18"/>
      <c r="N805" s="18"/>
      <c r="O805" s="18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>
      <c r="A806" s="1"/>
      <c r="B806" s="1"/>
      <c r="C806" s="18"/>
      <c r="D806" s="47"/>
      <c r="E806" s="18"/>
      <c r="F806" s="18"/>
      <c r="G806" s="18"/>
      <c r="H806" s="18"/>
      <c r="I806" s="25"/>
      <c r="J806" s="18"/>
      <c r="K806" s="18"/>
      <c r="L806" s="18"/>
      <c r="M806" s="18"/>
      <c r="N806" s="18"/>
      <c r="O806" s="18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>
      <c r="A807" s="1"/>
      <c r="B807" s="1"/>
      <c r="C807" s="18"/>
      <c r="D807" s="47"/>
      <c r="E807" s="18"/>
      <c r="F807" s="18"/>
      <c r="G807" s="18"/>
      <c r="H807" s="18"/>
      <c r="I807" s="25"/>
      <c r="J807" s="18"/>
      <c r="K807" s="18"/>
      <c r="L807" s="18"/>
      <c r="M807" s="18"/>
      <c r="N807" s="18"/>
      <c r="O807" s="18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>
      <c r="A808" s="1"/>
      <c r="B808" s="1"/>
      <c r="C808" s="18"/>
      <c r="D808" s="47"/>
      <c r="E808" s="18"/>
      <c r="F808" s="18"/>
      <c r="G808" s="18"/>
      <c r="H808" s="18"/>
      <c r="I808" s="25"/>
      <c r="J808" s="18"/>
      <c r="K808" s="18"/>
      <c r="L808" s="18"/>
      <c r="M808" s="18"/>
      <c r="N808" s="18"/>
      <c r="O808" s="18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>
      <c r="A809" s="1"/>
      <c r="B809" s="1"/>
      <c r="C809" s="18"/>
      <c r="D809" s="47"/>
      <c r="E809" s="18"/>
      <c r="F809" s="18"/>
      <c r="G809" s="18"/>
      <c r="H809" s="18"/>
      <c r="I809" s="25"/>
      <c r="J809" s="18"/>
      <c r="K809" s="18"/>
      <c r="L809" s="18"/>
      <c r="M809" s="18"/>
      <c r="N809" s="18"/>
      <c r="O809" s="18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>
      <c r="A810" s="1"/>
      <c r="B810" s="1"/>
      <c r="C810" s="18"/>
      <c r="D810" s="47"/>
      <c r="E810" s="18"/>
      <c r="F810" s="18"/>
      <c r="G810" s="18"/>
      <c r="H810" s="18"/>
      <c r="I810" s="25"/>
      <c r="J810" s="18"/>
      <c r="K810" s="18"/>
      <c r="L810" s="18"/>
      <c r="M810" s="18"/>
      <c r="N810" s="18"/>
      <c r="O810" s="18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>
      <c r="A811" s="1"/>
      <c r="B811" s="1"/>
      <c r="C811" s="18"/>
      <c r="D811" s="47"/>
      <c r="E811" s="18"/>
      <c r="F811" s="18"/>
      <c r="G811" s="18"/>
      <c r="H811" s="18"/>
      <c r="I811" s="25"/>
      <c r="J811" s="18"/>
      <c r="K811" s="18"/>
      <c r="L811" s="18"/>
      <c r="M811" s="18"/>
      <c r="N811" s="18"/>
      <c r="O811" s="18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>
      <c r="A812" s="1"/>
      <c r="B812" s="1"/>
      <c r="C812" s="18"/>
      <c r="D812" s="47"/>
      <c r="E812" s="18"/>
      <c r="F812" s="18"/>
      <c r="G812" s="18"/>
      <c r="H812" s="18"/>
      <c r="I812" s="25"/>
      <c r="J812" s="18"/>
      <c r="K812" s="18"/>
      <c r="L812" s="18"/>
      <c r="M812" s="18"/>
      <c r="N812" s="18"/>
      <c r="O812" s="18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>
      <c r="A813" s="1"/>
      <c r="B813" s="1"/>
      <c r="C813" s="18"/>
      <c r="D813" s="47"/>
      <c r="E813" s="18"/>
      <c r="F813" s="18"/>
      <c r="G813" s="18"/>
      <c r="H813" s="18"/>
      <c r="I813" s="25"/>
      <c r="J813" s="18"/>
      <c r="K813" s="18"/>
      <c r="L813" s="18"/>
      <c r="M813" s="18"/>
      <c r="N813" s="18"/>
      <c r="O813" s="18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>
      <c r="A814" s="1"/>
      <c r="B814" s="1"/>
      <c r="C814" s="18"/>
      <c r="D814" s="47"/>
      <c r="E814" s="18"/>
      <c r="F814" s="18"/>
      <c r="G814" s="18"/>
      <c r="H814" s="18"/>
      <c r="I814" s="25"/>
      <c r="J814" s="18"/>
      <c r="K814" s="18"/>
      <c r="L814" s="18"/>
      <c r="M814" s="18"/>
      <c r="N814" s="18"/>
      <c r="O814" s="18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>
      <c r="A815" s="1"/>
      <c r="B815" s="1"/>
      <c r="C815" s="18"/>
      <c r="D815" s="47"/>
      <c r="E815" s="18"/>
      <c r="F815" s="18"/>
      <c r="G815" s="18"/>
      <c r="H815" s="18"/>
      <c r="I815" s="25"/>
      <c r="J815" s="18"/>
      <c r="K815" s="18"/>
      <c r="L815" s="18"/>
      <c r="M815" s="18"/>
      <c r="N815" s="18"/>
      <c r="O815" s="18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>
      <c r="A816" s="1"/>
      <c r="B816" s="1"/>
      <c r="C816" s="18"/>
      <c r="D816" s="47"/>
      <c r="E816" s="18"/>
      <c r="F816" s="18"/>
      <c r="G816" s="18"/>
      <c r="H816" s="18"/>
      <c r="I816" s="25"/>
      <c r="J816" s="18"/>
      <c r="K816" s="18"/>
      <c r="L816" s="18"/>
      <c r="M816" s="18"/>
      <c r="N816" s="18"/>
      <c r="O816" s="18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>
      <c r="A817" s="1"/>
      <c r="B817" s="1"/>
      <c r="C817" s="18"/>
      <c r="D817" s="47"/>
      <c r="E817" s="18"/>
      <c r="F817" s="18"/>
      <c r="G817" s="18"/>
      <c r="H817" s="18"/>
      <c r="I817" s="25"/>
      <c r="J817" s="18"/>
      <c r="K817" s="18"/>
      <c r="L817" s="18"/>
      <c r="M817" s="18"/>
      <c r="N817" s="18"/>
      <c r="O817" s="18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>
      <c r="A818" s="1"/>
      <c r="B818" s="1"/>
      <c r="C818" s="18"/>
      <c r="D818" s="47"/>
      <c r="E818" s="18"/>
      <c r="F818" s="18"/>
      <c r="G818" s="18"/>
      <c r="H818" s="18"/>
      <c r="I818" s="25"/>
      <c r="J818" s="18"/>
      <c r="K818" s="18"/>
      <c r="L818" s="18"/>
      <c r="M818" s="18"/>
      <c r="N818" s="18"/>
      <c r="O818" s="18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>
      <c r="A819" s="1"/>
      <c r="B819" s="1"/>
      <c r="C819" s="18"/>
      <c r="D819" s="47"/>
      <c r="E819" s="18"/>
      <c r="F819" s="18"/>
      <c r="G819" s="18"/>
      <c r="H819" s="18"/>
      <c r="I819" s="25"/>
      <c r="J819" s="18"/>
      <c r="K819" s="18"/>
      <c r="L819" s="18"/>
      <c r="M819" s="18"/>
      <c r="N819" s="18"/>
      <c r="O819" s="18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>
      <c r="A820" s="1"/>
      <c r="B820" s="1"/>
      <c r="C820" s="18"/>
      <c r="D820" s="47"/>
      <c r="E820" s="18"/>
      <c r="F820" s="18"/>
      <c r="G820" s="18"/>
      <c r="H820" s="18"/>
      <c r="I820" s="25"/>
      <c r="J820" s="18"/>
      <c r="K820" s="18"/>
      <c r="L820" s="18"/>
      <c r="M820" s="18"/>
      <c r="N820" s="18"/>
      <c r="O820" s="18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>
      <c r="A821" s="1"/>
      <c r="B821" s="1"/>
      <c r="C821" s="18"/>
      <c r="D821" s="47"/>
      <c r="E821" s="18"/>
      <c r="F821" s="18"/>
      <c r="G821" s="18"/>
      <c r="H821" s="18"/>
      <c r="I821" s="25"/>
      <c r="J821" s="18"/>
      <c r="K821" s="18"/>
      <c r="L821" s="18"/>
      <c r="M821" s="18"/>
      <c r="N821" s="18"/>
      <c r="O821" s="18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>
      <c r="A822" s="1"/>
      <c r="B822" s="1"/>
      <c r="C822" s="18"/>
      <c r="D822" s="47"/>
      <c r="E822" s="18"/>
      <c r="F822" s="18"/>
      <c r="G822" s="18"/>
      <c r="H822" s="18"/>
      <c r="I822" s="25"/>
      <c r="J822" s="18"/>
      <c r="K822" s="18"/>
      <c r="L822" s="18"/>
      <c r="M822" s="18"/>
      <c r="N822" s="18"/>
      <c r="O822" s="18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>
      <c r="A823" s="1"/>
      <c r="B823" s="1"/>
      <c r="C823" s="18"/>
      <c r="D823" s="47"/>
      <c r="E823" s="18"/>
      <c r="F823" s="18"/>
      <c r="G823" s="18"/>
      <c r="H823" s="18"/>
      <c r="I823" s="25"/>
      <c r="J823" s="18"/>
      <c r="K823" s="18"/>
      <c r="L823" s="18"/>
      <c r="M823" s="18"/>
      <c r="N823" s="18"/>
      <c r="O823" s="18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>
      <c r="A824" s="1"/>
      <c r="B824" s="1"/>
      <c r="C824" s="18"/>
      <c r="D824" s="47"/>
      <c r="E824" s="18"/>
      <c r="F824" s="18"/>
      <c r="G824" s="18"/>
      <c r="H824" s="18"/>
      <c r="I824" s="25"/>
      <c r="J824" s="18"/>
      <c r="K824" s="18"/>
      <c r="L824" s="18"/>
      <c r="M824" s="18"/>
      <c r="N824" s="18"/>
      <c r="O824" s="18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>
      <c r="A825" s="1"/>
      <c r="B825" s="1"/>
      <c r="C825" s="18"/>
      <c r="D825" s="47"/>
      <c r="E825" s="18"/>
      <c r="F825" s="18"/>
      <c r="G825" s="18"/>
      <c r="H825" s="18"/>
      <c r="I825" s="25"/>
      <c r="J825" s="18"/>
      <c r="K825" s="18"/>
      <c r="L825" s="18"/>
      <c r="M825" s="18"/>
      <c r="N825" s="18"/>
      <c r="O825" s="18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>
      <c r="A826" s="1"/>
      <c r="B826" s="1"/>
      <c r="C826" s="18"/>
      <c r="D826" s="47"/>
      <c r="E826" s="18"/>
      <c r="F826" s="18"/>
      <c r="G826" s="18"/>
      <c r="H826" s="18"/>
      <c r="I826" s="25"/>
      <c r="J826" s="18"/>
      <c r="K826" s="18"/>
      <c r="L826" s="18"/>
      <c r="M826" s="18"/>
      <c r="N826" s="18"/>
      <c r="O826" s="18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>
      <c r="A827" s="1"/>
      <c r="B827" s="1"/>
      <c r="C827" s="18"/>
      <c r="D827" s="47"/>
      <c r="E827" s="18"/>
      <c r="F827" s="18"/>
      <c r="G827" s="18"/>
      <c r="H827" s="18"/>
      <c r="I827" s="25"/>
      <c r="J827" s="18"/>
      <c r="K827" s="18"/>
      <c r="L827" s="18"/>
      <c r="M827" s="18"/>
      <c r="N827" s="18"/>
      <c r="O827" s="18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>
      <c r="A828" s="1"/>
      <c r="B828" s="1"/>
      <c r="C828" s="18"/>
      <c r="D828" s="47"/>
      <c r="E828" s="18"/>
      <c r="F828" s="18"/>
      <c r="G828" s="18"/>
      <c r="H828" s="18"/>
      <c r="I828" s="25"/>
      <c r="J828" s="18"/>
      <c r="K828" s="18"/>
      <c r="L828" s="18"/>
      <c r="M828" s="18"/>
      <c r="N828" s="18"/>
      <c r="O828" s="18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>
      <c r="A829" s="1"/>
      <c r="B829" s="1"/>
      <c r="C829" s="18"/>
      <c r="D829" s="47"/>
      <c r="E829" s="18"/>
      <c r="F829" s="18"/>
      <c r="G829" s="18"/>
      <c r="H829" s="18"/>
      <c r="I829" s="25"/>
      <c r="J829" s="18"/>
      <c r="K829" s="18"/>
      <c r="L829" s="18"/>
      <c r="M829" s="18"/>
      <c r="N829" s="18"/>
      <c r="O829" s="18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>
      <c r="A830" s="1"/>
      <c r="B830" s="1"/>
      <c r="C830" s="18"/>
      <c r="D830" s="47"/>
      <c r="E830" s="18"/>
      <c r="F830" s="18"/>
      <c r="G830" s="18"/>
      <c r="H830" s="18"/>
      <c r="I830" s="25"/>
      <c r="J830" s="18"/>
      <c r="K830" s="18"/>
      <c r="L830" s="18"/>
      <c r="M830" s="18"/>
      <c r="N830" s="18"/>
      <c r="O830" s="18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>
      <c r="A831" s="1"/>
      <c r="B831" s="1"/>
      <c r="C831" s="18"/>
      <c r="D831" s="47"/>
      <c r="E831" s="18"/>
      <c r="F831" s="18"/>
      <c r="G831" s="18"/>
      <c r="H831" s="18"/>
      <c r="I831" s="25"/>
      <c r="J831" s="18"/>
      <c r="K831" s="18"/>
      <c r="L831" s="18"/>
      <c r="M831" s="18"/>
      <c r="N831" s="18"/>
      <c r="O831" s="18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>
      <c r="A832" s="1"/>
      <c r="B832" s="1"/>
      <c r="C832" s="18"/>
      <c r="D832" s="47"/>
      <c r="E832" s="18"/>
      <c r="F832" s="18"/>
      <c r="G832" s="18"/>
      <c r="H832" s="18"/>
      <c r="I832" s="25"/>
      <c r="J832" s="18"/>
      <c r="K832" s="18"/>
      <c r="L832" s="18"/>
      <c r="M832" s="18"/>
      <c r="N832" s="18"/>
      <c r="O832" s="18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>
      <c r="A833" s="1"/>
      <c r="B833" s="1"/>
      <c r="C833" s="18"/>
      <c r="D833" s="47"/>
      <c r="E833" s="18"/>
      <c r="F833" s="18"/>
      <c r="G833" s="18"/>
      <c r="H833" s="18"/>
      <c r="I833" s="25"/>
      <c r="J833" s="18"/>
      <c r="K833" s="18"/>
      <c r="L833" s="18"/>
      <c r="M833" s="18"/>
      <c r="N833" s="18"/>
      <c r="O833" s="18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>
      <c r="A834" s="1"/>
      <c r="B834" s="1"/>
      <c r="C834" s="18"/>
      <c r="D834" s="47"/>
      <c r="E834" s="18"/>
      <c r="F834" s="18"/>
      <c r="G834" s="18"/>
      <c r="H834" s="18"/>
      <c r="I834" s="25"/>
      <c r="J834" s="18"/>
      <c r="K834" s="18"/>
      <c r="L834" s="18"/>
      <c r="M834" s="18"/>
      <c r="N834" s="18"/>
      <c r="O834" s="18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>
      <c r="A835" s="1"/>
      <c r="B835" s="1"/>
      <c r="C835" s="18"/>
      <c r="D835" s="47"/>
      <c r="E835" s="18"/>
      <c r="F835" s="18"/>
      <c r="G835" s="18"/>
      <c r="H835" s="18"/>
      <c r="I835" s="25"/>
      <c r="J835" s="18"/>
      <c r="K835" s="18"/>
      <c r="L835" s="18"/>
      <c r="M835" s="18"/>
      <c r="N835" s="18"/>
      <c r="O835" s="18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>
      <c r="A836" s="1"/>
      <c r="B836" s="1"/>
      <c r="C836" s="18"/>
      <c r="D836" s="47"/>
      <c r="E836" s="18"/>
      <c r="F836" s="18"/>
      <c r="G836" s="18"/>
      <c r="H836" s="18"/>
      <c r="I836" s="25"/>
      <c r="J836" s="18"/>
      <c r="K836" s="18"/>
      <c r="L836" s="18"/>
      <c r="M836" s="18"/>
      <c r="N836" s="18"/>
      <c r="O836" s="18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>
      <c r="A837" s="1"/>
      <c r="B837" s="1"/>
      <c r="C837" s="18"/>
      <c r="D837" s="47"/>
      <c r="E837" s="18"/>
      <c r="F837" s="18"/>
      <c r="G837" s="18"/>
      <c r="H837" s="18"/>
      <c r="I837" s="25"/>
      <c r="J837" s="18"/>
      <c r="K837" s="18"/>
      <c r="L837" s="18"/>
      <c r="M837" s="18"/>
      <c r="N837" s="18"/>
      <c r="O837" s="18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>
      <c r="A838" s="1"/>
      <c r="B838" s="1"/>
      <c r="C838" s="18"/>
      <c r="D838" s="47"/>
      <c r="E838" s="18"/>
      <c r="F838" s="18"/>
      <c r="G838" s="18"/>
      <c r="H838" s="18"/>
      <c r="I838" s="25"/>
      <c r="J838" s="18"/>
      <c r="K838" s="18"/>
      <c r="L838" s="18"/>
      <c r="M838" s="18"/>
      <c r="N838" s="18"/>
      <c r="O838" s="18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>
      <c r="A839" s="1"/>
      <c r="B839" s="1"/>
      <c r="C839" s="18"/>
      <c r="D839" s="47"/>
      <c r="E839" s="18"/>
      <c r="F839" s="18"/>
      <c r="G839" s="18"/>
      <c r="H839" s="18"/>
      <c r="I839" s="25"/>
      <c r="J839" s="18"/>
      <c r="K839" s="18"/>
      <c r="L839" s="18"/>
      <c r="M839" s="18"/>
      <c r="N839" s="18"/>
      <c r="O839" s="18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>
      <c r="A840" s="1"/>
      <c r="B840" s="1"/>
      <c r="C840" s="18"/>
      <c r="D840" s="47"/>
      <c r="E840" s="18"/>
      <c r="F840" s="18"/>
      <c r="G840" s="18"/>
      <c r="H840" s="18"/>
      <c r="I840" s="25"/>
      <c r="J840" s="18"/>
      <c r="K840" s="18"/>
      <c r="L840" s="18"/>
      <c r="M840" s="18"/>
      <c r="N840" s="18"/>
      <c r="O840" s="18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>
      <c r="A841" s="1"/>
      <c r="B841" s="1"/>
      <c r="C841" s="18"/>
      <c r="D841" s="47"/>
      <c r="E841" s="18"/>
      <c r="F841" s="18"/>
      <c r="G841" s="18"/>
      <c r="H841" s="18"/>
      <c r="I841" s="25"/>
      <c r="J841" s="18"/>
      <c r="K841" s="18"/>
      <c r="L841" s="18"/>
      <c r="M841" s="18"/>
      <c r="N841" s="18"/>
      <c r="O841" s="18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>
      <c r="A842" s="1"/>
      <c r="B842" s="1"/>
      <c r="C842" s="18"/>
      <c r="D842" s="47"/>
      <c r="E842" s="18"/>
      <c r="F842" s="18"/>
      <c r="G842" s="18"/>
      <c r="H842" s="18"/>
      <c r="I842" s="25"/>
      <c r="J842" s="18"/>
      <c r="K842" s="18"/>
      <c r="L842" s="18"/>
      <c r="M842" s="18"/>
      <c r="N842" s="18"/>
      <c r="O842" s="18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>
      <c r="A843" s="1"/>
      <c r="B843" s="1"/>
      <c r="C843" s="18"/>
      <c r="D843" s="47"/>
      <c r="E843" s="18"/>
      <c r="F843" s="18"/>
      <c r="G843" s="18"/>
      <c r="H843" s="18"/>
      <c r="I843" s="25"/>
      <c r="J843" s="18"/>
      <c r="K843" s="18"/>
      <c r="L843" s="18"/>
      <c r="M843" s="18"/>
      <c r="N843" s="18"/>
      <c r="O843" s="18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>
      <c r="A844" s="1"/>
      <c r="B844" s="1"/>
      <c r="C844" s="18"/>
      <c r="D844" s="47"/>
      <c r="E844" s="18"/>
      <c r="F844" s="18"/>
      <c r="G844" s="18"/>
      <c r="H844" s="18"/>
      <c r="I844" s="25"/>
      <c r="J844" s="18"/>
      <c r="K844" s="18"/>
      <c r="L844" s="18"/>
      <c r="M844" s="18"/>
      <c r="N844" s="18"/>
      <c r="O844" s="18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>
      <c r="A845" s="1"/>
      <c r="B845" s="1"/>
      <c r="C845" s="18"/>
      <c r="D845" s="47"/>
      <c r="E845" s="18"/>
      <c r="F845" s="18"/>
      <c r="G845" s="18"/>
      <c r="H845" s="18"/>
      <c r="I845" s="25"/>
      <c r="J845" s="18"/>
      <c r="K845" s="18"/>
      <c r="L845" s="18"/>
      <c r="M845" s="18"/>
      <c r="N845" s="18"/>
      <c r="O845" s="18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>
      <c r="A846" s="1"/>
      <c r="B846" s="1"/>
      <c r="C846" s="18"/>
      <c r="D846" s="47"/>
      <c r="E846" s="18"/>
      <c r="F846" s="18"/>
      <c r="G846" s="18"/>
      <c r="H846" s="18"/>
      <c r="I846" s="25"/>
      <c r="J846" s="18"/>
      <c r="K846" s="18"/>
      <c r="L846" s="18"/>
      <c r="M846" s="18"/>
      <c r="N846" s="18"/>
      <c r="O846" s="18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>
      <c r="A847" s="1"/>
      <c r="B847" s="1"/>
      <c r="C847" s="18"/>
      <c r="D847" s="47"/>
      <c r="E847" s="18"/>
      <c r="F847" s="18"/>
      <c r="G847" s="18"/>
      <c r="H847" s="18"/>
      <c r="I847" s="25"/>
      <c r="J847" s="18"/>
      <c r="K847" s="18"/>
      <c r="L847" s="18"/>
      <c r="M847" s="18"/>
      <c r="N847" s="18"/>
      <c r="O847" s="18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>
      <c r="A848" s="1"/>
      <c r="B848" s="1"/>
      <c r="C848" s="18"/>
      <c r="D848" s="47"/>
      <c r="E848" s="18"/>
      <c r="F848" s="18"/>
      <c r="G848" s="18"/>
      <c r="H848" s="18"/>
      <c r="I848" s="25"/>
      <c r="J848" s="18"/>
      <c r="K848" s="18"/>
      <c r="L848" s="18"/>
      <c r="M848" s="18"/>
      <c r="N848" s="18"/>
      <c r="O848" s="18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>
      <c r="A849" s="1"/>
      <c r="B849" s="1"/>
      <c r="C849" s="18"/>
      <c r="D849" s="47"/>
      <c r="E849" s="18"/>
      <c r="F849" s="18"/>
      <c r="G849" s="18"/>
      <c r="H849" s="18"/>
      <c r="I849" s="25"/>
      <c r="J849" s="18"/>
      <c r="K849" s="18"/>
      <c r="L849" s="18"/>
      <c r="M849" s="18"/>
      <c r="N849" s="18"/>
      <c r="O849" s="18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>
      <c r="A850" s="1"/>
      <c r="B850" s="1"/>
      <c r="C850" s="18"/>
      <c r="D850" s="47"/>
      <c r="E850" s="18"/>
      <c r="F850" s="18"/>
      <c r="G850" s="18"/>
      <c r="H850" s="18"/>
      <c r="I850" s="25"/>
      <c r="J850" s="18"/>
      <c r="K850" s="18"/>
      <c r="L850" s="18"/>
      <c r="M850" s="18"/>
      <c r="N850" s="18"/>
      <c r="O850" s="18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>
      <c r="A851" s="1"/>
      <c r="B851" s="1"/>
      <c r="C851" s="18"/>
      <c r="D851" s="47"/>
      <c r="E851" s="18"/>
      <c r="F851" s="18"/>
      <c r="G851" s="18"/>
      <c r="H851" s="18"/>
      <c r="I851" s="25"/>
      <c r="J851" s="18"/>
      <c r="K851" s="18"/>
      <c r="L851" s="18"/>
      <c r="M851" s="18"/>
      <c r="N851" s="18"/>
      <c r="O851" s="18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>
      <c r="A852" s="1"/>
      <c r="B852" s="1"/>
      <c r="C852" s="18"/>
      <c r="D852" s="47"/>
      <c r="E852" s="18"/>
      <c r="F852" s="18"/>
      <c r="G852" s="18"/>
      <c r="H852" s="18"/>
      <c r="I852" s="25"/>
      <c r="J852" s="18"/>
      <c r="K852" s="18"/>
      <c r="L852" s="18"/>
      <c r="M852" s="18"/>
      <c r="N852" s="18"/>
      <c r="O852" s="18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>
      <c r="A853" s="1"/>
      <c r="B853" s="1"/>
      <c r="C853" s="18"/>
      <c r="D853" s="47"/>
      <c r="E853" s="18"/>
      <c r="F853" s="18"/>
      <c r="G853" s="18"/>
      <c r="H853" s="18"/>
      <c r="I853" s="25"/>
      <c r="J853" s="18"/>
      <c r="K853" s="18"/>
      <c r="L853" s="18"/>
      <c r="M853" s="18"/>
      <c r="N853" s="18"/>
      <c r="O853" s="18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>
      <c r="A854" s="1"/>
      <c r="B854" s="1"/>
      <c r="C854" s="18"/>
      <c r="D854" s="47"/>
      <c r="E854" s="18"/>
      <c r="F854" s="18"/>
      <c r="G854" s="18"/>
      <c r="H854" s="18"/>
      <c r="I854" s="25"/>
      <c r="J854" s="18"/>
      <c r="K854" s="18"/>
      <c r="L854" s="18"/>
      <c r="M854" s="18"/>
      <c r="N854" s="18"/>
      <c r="O854" s="18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>
      <c r="A855" s="1"/>
      <c r="B855" s="1"/>
      <c r="C855" s="18"/>
      <c r="D855" s="47"/>
      <c r="E855" s="18"/>
      <c r="F855" s="18"/>
      <c r="G855" s="18"/>
      <c r="H855" s="18"/>
      <c r="I855" s="25"/>
      <c r="J855" s="18"/>
      <c r="K855" s="18"/>
      <c r="L855" s="18"/>
      <c r="M855" s="18"/>
      <c r="N855" s="18"/>
      <c r="O855" s="18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>
      <c r="A856" s="1"/>
      <c r="B856" s="1"/>
      <c r="C856" s="18"/>
      <c r="D856" s="47"/>
      <c r="E856" s="18"/>
      <c r="F856" s="18"/>
      <c r="G856" s="18"/>
      <c r="H856" s="18"/>
      <c r="I856" s="25"/>
      <c r="J856" s="18"/>
      <c r="K856" s="18"/>
      <c r="L856" s="18"/>
      <c r="M856" s="18"/>
      <c r="N856" s="18"/>
      <c r="O856" s="18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>
      <c r="A857" s="1"/>
      <c r="B857" s="1"/>
      <c r="C857" s="18"/>
      <c r="D857" s="47"/>
      <c r="E857" s="18"/>
      <c r="F857" s="18"/>
      <c r="G857" s="18"/>
      <c r="H857" s="18"/>
      <c r="I857" s="25"/>
      <c r="J857" s="18"/>
      <c r="K857" s="18"/>
      <c r="L857" s="18"/>
      <c r="M857" s="18"/>
      <c r="N857" s="18"/>
      <c r="O857" s="18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>
      <c r="A858" s="1"/>
      <c r="B858" s="1"/>
      <c r="C858" s="18"/>
      <c r="D858" s="47"/>
      <c r="E858" s="18"/>
      <c r="F858" s="18"/>
      <c r="G858" s="18"/>
      <c r="H858" s="18"/>
      <c r="I858" s="25"/>
      <c r="J858" s="18"/>
      <c r="K858" s="18"/>
      <c r="L858" s="18"/>
      <c r="M858" s="18"/>
      <c r="N858" s="18"/>
      <c r="O858" s="18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>
      <c r="A859" s="1"/>
      <c r="B859" s="1"/>
      <c r="C859" s="18"/>
      <c r="D859" s="47"/>
      <c r="E859" s="18"/>
      <c r="F859" s="18"/>
      <c r="G859" s="18"/>
      <c r="H859" s="18"/>
      <c r="I859" s="25"/>
      <c r="J859" s="18"/>
      <c r="K859" s="18"/>
      <c r="L859" s="18"/>
      <c r="M859" s="18"/>
      <c r="N859" s="18"/>
      <c r="O859" s="18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>
      <c r="A860" s="1"/>
      <c r="B860" s="1"/>
      <c r="C860" s="18"/>
      <c r="D860" s="47"/>
      <c r="E860" s="18"/>
      <c r="F860" s="18"/>
      <c r="G860" s="18"/>
      <c r="H860" s="18"/>
      <c r="I860" s="25"/>
      <c r="J860" s="18"/>
      <c r="K860" s="18"/>
      <c r="L860" s="18"/>
      <c r="M860" s="18"/>
      <c r="N860" s="18"/>
      <c r="O860" s="18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>
      <c r="A861" s="1"/>
      <c r="B861" s="1"/>
      <c r="C861" s="18"/>
      <c r="D861" s="47"/>
      <c r="E861" s="18"/>
      <c r="F861" s="18"/>
      <c r="G861" s="18"/>
      <c r="H861" s="18"/>
      <c r="I861" s="25"/>
      <c r="J861" s="18"/>
      <c r="K861" s="18"/>
      <c r="L861" s="18"/>
      <c r="M861" s="18"/>
      <c r="N861" s="18"/>
      <c r="O861" s="18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>
      <c r="A862" s="1"/>
      <c r="B862" s="1"/>
      <c r="C862" s="18"/>
      <c r="D862" s="47"/>
      <c r="E862" s="18"/>
      <c r="F862" s="18"/>
      <c r="G862" s="18"/>
      <c r="H862" s="18"/>
      <c r="I862" s="25"/>
      <c r="J862" s="18"/>
      <c r="K862" s="18"/>
      <c r="L862" s="18"/>
      <c r="M862" s="18"/>
      <c r="N862" s="18"/>
      <c r="O862" s="18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>
      <c r="A863" s="1"/>
      <c r="B863" s="1"/>
      <c r="C863" s="18"/>
      <c r="D863" s="47"/>
      <c r="E863" s="18"/>
      <c r="F863" s="18"/>
      <c r="G863" s="18"/>
      <c r="H863" s="18"/>
      <c r="I863" s="25"/>
      <c r="J863" s="18"/>
      <c r="K863" s="18"/>
      <c r="L863" s="18"/>
      <c r="M863" s="18"/>
      <c r="N863" s="18"/>
      <c r="O863" s="18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>
      <c r="A864" s="1"/>
      <c r="B864" s="1"/>
      <c r="C864" s="18"/>
      <c r="D864" s="47"/>
      <c r="E864" s="18"/>
      <c r="F864" s="18"/>
      <c r="G864" s="18"/>
      <c r="H864" s="18"/>
      <c r="I864" s="25"/>
      <c r="J864" s="18"/>
      <c r="K864" s="18"/>
      <c r="L864" s="18"/>
      <c r="M864" s="18"/>
      <c r="N864" s="18"/>
      <c r="O864" s="18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>
      <c r="A865" s="1"/>
      <c r="B865" s="1"/>
      <c r="C865" s="18"/>
      <c r="D865" s="47"/>
      <c r="E865" s="18"/>
      <c r="F865" s="18"/>
      <c r="G865" s="18"/>
      <c r="H865" s="18"/>
      <c r="I865" s="25"/>
      <c r="J865" s="18"/>
      <c r="K865" s="18"/>
      <c r="L865" s="18"/>
      <c r="M865" s="18"/>
      <c r="N865" s="18"/>
      <c r="O865" s="18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>
      <c r="A866" s="1"/>
      <c r="B866" s="1"/>
      <c r="C866" s="18"/>
      <c r="D866" s="47"/>
      <c r="E866" s="18"/>
      <c r="F866" s="18"/>
      <c r="G866" s="18"/>
      <c r="H866" s="18"/>
      <c r="I866" s="25"/>
      <c r="J866" s="18"/>
      <c r="K866" s="18"/>
      <c r="L866" s="18"/>
      <c r="M866" s="18"/>
      <c r="N866" s="18"/>
      <c r="O866" s="18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>
      <c r="A867" s="1"/>
      <c r="B867" s="1"/>
      <c r="C867" s="18"/>
      <c r="D867" s="47"/>
      <c r="E867" s="18"/>
      <c r="F867" s="18"/>
      <c r="G867" s="18"/>
      <c r="H867" s="18"/>
      <c r="I867" s="25"/>
      <c r="J867" s="18"/>
      <c r="K867" s="18"/>
      <c r="L867" s="18"/>
      <c r="M867" s="18"/>
      <c r="N867" s="18"/>
      <c r="O867" s="18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>
      <c r="A868" s="1"/>
      <c r="B868" s="1"/>
      <c r="C868" s="18"/>
      <c r="D868" s="47"/>
      <c r="E868" s="18"/>
      <c r="F868" s="18"/>
      <c r="G868" s="18"/>
      <c r="H868" s="18"/>
      <c r="I868" s="25"/>
      <c r="J868" s="18"/>
      <c r="K868" s="18"/>
      <c r="L868" s="18"/>
      <c r="M868" s="18"/>
      <c r="N868" s="18"/>
      <c r="O868" s="18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>
      <c r="A869" s="1"/>
      <c r="B869" s="1"/>
      <c r="C869" s="18"/>
      <c r="D869" s="47"/>
      <c r="E869" s="18"/>
      <c r="F869" s="18"/>
      <c r="G869" s="18"/>
      <c r="H869" s="18"/>
      <c r="I869" s="25"/>
      <c r="J869" s="18"/>
      <c r="K869" s="18"/>
      <c r="L869" s="18"/>
      <c r="M869" s="18"/>
      <c r="N869" s="18"/>
      <c r="O869" s="18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>
      <c r="A870" s="1"/>
      <c r="B870" s="1"/>
      <c r="C870" s="18"/>
      <c r="D870" s="47"/>
      <c r="E870" s="18"/>
      <c r="F870" s="18"/>
      <c r="G870" s="18"/>
      <c r="H870" s="18"/>
      <c r="I870" s="25"/>
      <c r="J870" s="18"/>
      <c r="K870" s="18"/>
      <c r="L870" s="18"/>
      <c r="M870" s="18"/>
      <c r="N870" s="18"/>
      <c r="O870" s="18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>
      <c r="A871" s="1"/>
      <c r="B871" s="1"/>
      <c r="C871" s="18"/>
      <c r="D871" s="47"/>
      <c r="E871" s="18"/>
      <c r="F871" s="18"/>
      <c r="G871" s="18"/>
      <c r="H871" s="18"/>
      <c r="I871" s="25"/>
      <c r="J871" s="18"/>
      <c r="K871" s="18"/>
      <c r="L871" s="18"/>
      <c r="M871" s="18"/>
      <c r="N871" s="18"/>
      <c r="O871" s="18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>
      <c r="A872" s="1"/>
      <c r="B872" s="1"/>
      <c r="C872" s="18"/>
      <c r="D872" s="47"/>
      <c r="E872" s="18"/>
      <c r="F872" s="18"/>
      <c r="G872" s="18"/>
      <c r="H872" s="18"/>
      <c r="I872" s="25"/>
      <c r="J872" s="18"/>
      <c r="K872" s="18"/>
      <c r="L872" s="18"/>
      <c r="M872" s="18"/>
      <c r="N872" s="18"/>
      <c r="O872" s="18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>
      <c r="A873" s="1"/>
      <c r="B873" s="1"/>
      <c r="C873" s="18"/>
      <c r="D873" s="47"/>
      <c r="E873" s="18"/>
      <c r="F873" s="18"/>
      <c r="G873" s="18"/>
      <c r="H873" s="18"/>
      <c r="I873" s="25"/>
      <c r="J873" s="18"/>
      <c r="K873" s="18"/>
      <c r="L873" s="18"/>
      <c r="M873" s="18"/>
      <c r="N873" s="18"/>
      <c r="O873" s="18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>
      <c r="A874" s="1"/>
      <c r="B874" s="1"/>
      <c r="C874" s="18"/>
      <c r="D874" s="47"/>
      <c r="E874" s="18"/>
      <c r="F874" s="18"/>
      <c r="G874" s="18"/>
      <c r="H874" s="18"/>
      <c r="I874" s="25"/>
      <c r="J874" s="18"/>
      <c r="K874" s="18"/>
      <c r="L874" s="18"/>
      <c r="M874" s="18"/>
      <c r="N874" s="18"/>
      <c r="O874" s="18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>
      <c r="A875" s="1"/>
      <c r="B875" s="1"/>
      <c r="C875" s="18"/>
      <c r="D875" s="47"/>
      <c r="E875" s="18"/>
      <c r="F875" s="18"/>
      <c r="G875" s="18"/>
      <c r="H875" s="18"/>
      <c r="I875" s="25"/>
      <c r="J875" s="18"/>
      <c r="K875" s="18"/>
      <c r="L875" s="18"/>
      <c r="M875" s="18"/>
      <c r="N875" s="18"/>
      <c r="O875" s="18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>
      <c r="A876" s="1"/>
      <c r="B876" s="1"/>
      <c r="C876" s="18"/>
      <c r="D876" s="47"/>
      <c r="E876" s="18"/>
      <c r="F876" s="18"/>
      <c r="G876" s="18"/>
      <c r="H876" s="18"/>
      <c r="I876" s="25"/>
      <c r="J876" s="18"/>
      <c r="K876" s="18"/>
      <c r="L876" s="18"/>
      <c r="M876" s="18"/>
      <c r="N876" s="18"/>
      <c r="O876" s="18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>
      <c r="A877" s="1"/>
      <c r="B877" s="1"/>
      <c r="C877" s="18"/>
      <c r="D877" s="47"/>
      <c r="E877" s="18"/>
      <c r="F877" s="18"/>
      <c r="G877" s="18"/>
      <c r="H877" s="18"/>
      <c r="I877" s="25"/>
      <c r="J877" s="18"/>
      <c r="K877" s="18"/>
      <c r="L877" s="18"/>
      <c r="M877" s="18"/>
      <c r="N877" s="18"/>
      <c r="O877" s="18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>
      <c r="A878" s="1"/>
      <c r="B878" s="1"/>
      <c r="C878" s="18"/>
      <c r="D878" s="47"/>
      <c r="E878" s="18"/>
      <c r="F878" s="18"/>
      <c r="G878" s="18"/>
      <c r="H878" s="18"/>
      <c r="I878" s="25"/>
      <c r="J878" s="18"/>
      <c r="K878" s="18"/>
      <c r="L878" s="18"/>
      <c r="M878" s="18"/>
      <c r="N878" s="18"/>
      <c r="O878" s="18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>
      <c r="A879" s="1"/>
      <c r="B879" s="1"/>
      <c r="C879" s="18"/>
      <c r="D879" s="47"/>
      <c r="E879" s="18"/>
      <c r="F879" s="18"/>
      <c r="G879" s="18"/>
      <c r="H879" s="18"/>
      <c r="I879" s="25"/>
      <c r="J879" s="18"/>
      <c r="K879" s="18"/>
      <c r="L879" s="18"/>
      <c r="M879" s="18"/>
      <c r="N879" s="18"/>
      <c r="O879" s="18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>
      <c r="A880" s="1"/>
      <c r="B880" s="1"/>
      <c r="C880" s="18"/>
      <c r="D880" s="47"/>
      <c r="E880" s="18"/>
      <c r="F880" s="18"/>
      <c r="G880" s="18"/>
      <c r="H880" s="18"/>
      <c r="I880" s="25"/>
      <c r="J880" s="18"/>
      <c r="K880" s="18"/>
      <c r="L880" s="18"/>
      <c r="M880" s="18"/>
      <c r="N880" s="18"/>
      <c r="O880" s="18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>
      <c r="A881" s="1"/>
      <c r="B881" s="1"/>
      <c r="C881" s="18"/>
      <c r="D881" s="47"/>
      <c r="E881" s="18"/>
      <c r="F881" s="18"/>
      <c r="G881" s="18"/>
      <c r="H881" s="18"/>
      <c r="I881" s="25"/>
      <c r="J881" s="18"/>
      <c r="K881" s="18"/>
      <c r="L881" s="18"/>
      <c r="M881" s="18"/>
      <c r="N881" s="18"/>
      <c r="O881" s="18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>
      <c r="A882" s="1"/>
      <c r="B882" s="1"/>
      <c r="C882" s="18"/>
      <c r="D882" s="47"/>
      <c r="E882" s="18"/>
      <c r="F882" s="18"/>
      <c r="G882" s="18"/>
      <c r="H882" s="18"/>
      <c r="I882" s="25"/>
      <c r="J882" s="18"/>
      <c r="K882" s="18"/>
      <c r="L882" s="18"/>
      <c r="M882" s="18"/>
      <c r="N882" s="18"/>
      <c r="O882" s="18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>
      <c r="A883" s="1"/>
      <c r="B883" s="1"/>
      <c r="C883" s="18"/>
      <c r="D883" s="47"/>
      <c r="E883" s="18"/>
      <c r="F883" s="18"/>
      <c r="G883" s="18"/>
      <c r="H883" s="18"/>
      <c r="I883" s="25"/>
      <c r="J883" s="18"/>
      <c r="K883" s="18"/>
      <c r="L883" s="18"/>
      <c r="M883" s="18"/>
      <c r="N883" s="18"/>
      <c r="O883" s="18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>
      <c r="A884" s="1"/>
      <c r="B884" s="1"/>
      <c r="C884" s="18"/>
      <c r="D884" s="47"/>
      <c r="E884" s="18"/>
      <c r="F884" s="18"/>
      <c r="G884" s="18"/>
      <c r="H884" s="18"/>
      <c r="I884" s="25"/>
      <c r="J884" s="18"/>
      <c r="K884" s="18"/>
      <c r="L884" s="18"/>
      <c r="M884" s="18"/>
      <c r="N884" s="18"/>
      <c r="O884" s="18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>
      <c r="A885" s="1"/>
      <c r="B885" s="1"/>
      <c r="C885" s="18"/>
      <c r="D885" s="47"/>
      <c r="E885" s="18"/>
      <c r="F885" s="18"/>
      <c r="G885" s="18"/>
      <c r="H885" s="18"/>
      <c r="I885" s="25"/>
      <c r="J885" s="18"/>
      <c r="K885" s="18"/>
      <c r="L885" s="18"/>
      <c r="M885" s="18"/>
      <c r="N885" s="18"/>
      <c r="O885" s="18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>
      <c r="A886" s="1"/>
      <c r="B886" s="1"/>
      <c r="C886" s="18"/>
      <c r="D886" s="47"/>
      <c r="E886" s="18"/>
      <c r="F886" s="18"/>
      <c r="G886" s="18"/>
      <c r="H886" s="18"/>
      <c r="I886" s="25"/>
      <c r="J886" s="18"/>
      <c r="K886" s="18"/>
      <c r="L886" s="18"/>
      <c r="M886" s="18"/>
      <c r="N886" s="18"/>
      <c r="O886" s="18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>
      <c r="A887" s="1"/>
      <c r="B887" s="1"/>
      <c r="C887" s="18"/>
      <c r="D887" s="47"/>
      <c r="E887" s="18"/>
      <c r="F887" s="18"/>
      <c r="G887" s="18"/>
      <c r="H887" s="18"/>
      <c r="I887" s="25"/>
      <c r="J887" s="18"/>
      <c r="K887" s="18"/>
      <c r="L887" s="18"/>
      <c r="M887" s="18"/>
      <c r="N887" s="18"/>
      <c r="O887" s="18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>
      <c r="A888" s="1"/>
      <c r="B888" s="1"/>
      <c r="C888" s="18"/>
      <c r="D888" s="47"/>
      <c r="E888" s="18"/>
      <c r="F888" s="18"/>
      <c r="G888" s="18"/>
      <c r="H888" s="18"/>
      <c r="I888" s="25"/>
      <c r="J888" s="18"/>
      <c r="K888" s="18"/>
      <c r="L888" s="18"/>
      <c r="M888" s="18"/>
      <c r="N888" s="18"/>
      <c r="O888" s="18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>
      <c r="A889" s="1"/>
      <c r="B889" s="1"/>
      <c r="C889" s="18"/>
      <c r="D889" s="47"/>
      <c r="E889" s="18"/>
      <c r="F889" s="18"/>
      <c r="G889" s="18"/>
      <c r="H889" s="18"/>
      <c r="I889" s="25"/>
      <c r="J889" s="18"/>
      <c r="K889" s="18"/>
      <c r="L889" s="18"/>
      <c r="M889" s="18"/>
      <c r="N889" s="18"/>
      <c r="O889" s="18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>
      <c r="A890" s="1"/>
      <c r="B890" s="1"/>
      <c r="C890" s="18"/>
      <c r="D890" s="47"/>
      <c r="E890" s="18"/>
      <c r="F890" s="18"/>
      <c r="G890" s="18"/>
      <c r="H890" s="18"/>
      <c r="I890" s="25"/>
      <c r="J890" s="18"/>
      <c r="K890" s="18"/>
      <c r="L890" s="18"/>
      <c r="M890" s="18"/>
      <c r="N890" s="18"/>
      <c r="O890" s="18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>
      <c r="A891" s="1"/>
      <c r="B891" s="1"/>
      <c r="C891" s="18"/>
      <c r="D891" s="47"/>
      <c r="E891" s="18"/>
      <c r="F891" s="18"/>
      <c r="G891" s="18"/>
      <c r="H891" s="18"/>
      <c r="I891" s="25"/>
      <c r="J891" s="18"/>
      <c r="K891" s="18"/>
      <c r="L891" s="18"/>
      <c r="M891" s="18"/>
      <c r="N891" s="18"/>
      <c r="O891" s="18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>
      <c r="A892" s="1"/>
      <c r="B892" s="1"/>
      <c r="C892" s="18"/>
      <c r="D892" s="47"/>
      <c r="E892" s="18"/>
      <c r="F892" s="18"/>
      <c r="G892" s="18"/>
      <c r="H892" s="18"/>
      <c r="I892" s="25"/>
      <c r="J892" s="18"/>
      <c r="K892" s="18"/>
      <c r="L892" s="18"/>
      <c r="M892" s="18"/>
      <c r="N892" s="18"/>
      <c r="O892" s="18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>
      <c r="A893" s="1"/>
      <c r="B893" s="1"/>
      <c r="C893" s="18"/>
      <c r="D893" s="47"/>
      <c r="E893" s="18"/>
      <c r="F893" s="18"/>
      <c r="G893" s="18"/>
      <c r="H893" s="18"/>
      <c r="I893" s="25"/>
      <c r="J893" s="18"/>
      <c r="K893" s="18"/>
      <c r="L893" s="18"/>
      <c r="M893" s="18"/>
      <c r="N893" s="18"/>
      <c r="O893" s="18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>
      <c r="A894" s="1"/>
      <c r="B894" s="1"/>
      <c r="C894" s="18"/>
      <c r="D894" s="47"/>
      <c r="E894" s="18"/>
      <c r="F894" s="18"/>
      <c r="G894" s="18"/>
      <c r="H894" s="18"/>
      <c r="I894" s="25"/>
      <c r="J894" s="18"/>
      <c r="K894" s="18"/>
      <c r="L894" s="18"/>
      <c r="M894" s="18"/>
      <c r="N894" s="18"/>
      <c r="O894" s="18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>
      <c r="A895" s="1"/>
      <c r="B895" s="1"/>
      <c r="C895" s="18"/>
      <c r="D895" s="47"/>
      <c r="E895" s="18"/>
      <c r="F895" s="18"/>
      <c r="G895" s="18"/>
      <c r="H895" s="18"/>
      <c r="I895" s="25"/>
      <c r="J895" s="18"/>
      <c r="K895" s="18"/>
      <c r="L895" s="18"/>
      <c r="M895" s="18"/>
      <c r="N895" s="18"/>
      <c r="O895" s="18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>
      <c r="A896" s="1"/>
      <c r="B896" s="1"/>
      <c r="C896" s="18"/>
      <c r="D896" s="47"/>
      <c r="E896" s="18"/>
      <c r="F896" s="18"/>
      <c r="G896" s="18"/>
      <c r="H896" s="18"/>
      <c r="I896" s="25"/>
      <c r="J896" s="18"/>
      <c r="K896" s="18"/>
      <c r="L896" s="18"/>
      <c r="M896" s="18"/>
      <c r="N896" s="18"/>
      <c r="O896" s="18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>
      <c r="A897" s="1"/>
      <c r="B897" s="1"/>
      <c r="C897" s="18"/>
      <c r="D897" s="47"/>
      <c r="E897" s="18"/>
      <c r="F897" s="18"/>
      <c r="G897" s="18"/>
      <c r="H897" s="18"/>
      <c r="I897" s="25"/>
      <c r="J897" s="18"/>
      <c r="K897" s="18"/>
      <c r="L897" s="18"/>
      <c r="M897" s="18"/>
      <c r="N897" s="18"/>
      <c r="O897" s="18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>
      <c r="A898" s="1"/>
      <c r="B898" s="1"/>
      <c r="C898" s="18"/>
      <c r="D898" s="47"/>
      <c r="E898" s="18"/>
      <c r="F898" s="18"/>
      <c r="G898" s="18"/>
      <c r="H898" s="18"/>
      <c r="I898" s="25"/>
      <c r="J898" s="18"/>
      <c r="K898" s="18"/>
      <c r="L898" s="18"/>
      <c r="M898" s="18"/>
      <c r="N898" s="18"/>
      <c r="O898" s="18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>
      <c r="A899" s="1"/>
      <c r="B899" s="1"/>
      <c r="C899" s="18"/>
      <c r="D899" s="47"/>
      <c r="E899" s="18"/>
      <c r="F899" s="18"/>
      <c r="G899" s="18"/>
      <c r="H899" s="18"/>
      <c r="I899" s="25"/>
      <c r="J899" s="18"/>
      <c r="K899" s="18"/>
      <c r="L899" s="18"/>
      <c r="M899" s="18"/>
      <c r="N899" s="18"/>
      <c r="O899" s="18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>
      <c r="A900" s="1"/>
      <c r="B900" s="1"/>
      <c r="C900" s="18"/>
      <c r="D900" s="47"/>
      <c r="E900" s="18"/>
      <c r="F900" s="18"/>
      <c r="G900" s="18"/>
      <c r="H900" s="18"/>
      <c r="I900" s="25"/>
      <c r="J900" s="18"/>
      <c r="K900" s="18"/>
      <c r="L900" s="18"/>
      <c r="M900" s="18"/>
      <c r="N900" s="18"/>
      <c r="O900" s="18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>
      <c r="A901" s="1"/>
      <c r="B901" s="1"/>
      <c r="C901" s="18"/>
      <c r="D901" s="47"/>
      <c r="E901" s="18"/>
      <c r="F901" s="18"/>
      <c r="G901" s="18"/>
      <c r="H901" s="18"/>
      <c r="I901" s="25"/>
      <c r="J901" s="18"/>
      <c r="K901" s="18"/>
      <c r="L901" s="18"/>
      <c r="M901" s="18"/>
      <c r="N901" s="18"/>
      <c r="O901" s="18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>
      <c r="A902" s="1"/>
      <c r="B902" s="1"/>
      <c r="C902" s="18"/>
      <c r="D902" s="47"/>
      <c r="E902" s="18"/>
      <c r="F902" s="18"/>
      <c r="G902" s="18"/>
      <c r="H902" s="18"/>
      <c r="I902" s="25"/>
      <c r="J902" s="18"/>
      <c r="K902" s="18"/>
      <c r="L902" s="18"/>
      <c r="M902" s="18"/>
      <c r="N902" s="18"/>
      <c r="O902" s="18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>
      <c r="A903" s="1"/>
      <c r="B903" s="1"/>
      <c r="C903" s="18"/>
      <c r="D903" s="47"/>
      <c r="E903" s="18"/>
      <c r="F903" s="18"/>
      <c r="G903" s="18"/>
      <c r="H903" s="18"/>
      <c r="I903" s="25"/>
      <c r="J903" s="18"/>
      <c r="K903" s="18"/>
      <c r="L903" s="18"/>
      <c r="M903" s="18"/>
      <c r="N903" s="18"/>
      <c r="O903" s="18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>
      <c r="A904" s="1"/>
      <c r="B904" s="1"/>
      <c r="C904" s="18"/>
      <c r="D904" s="47"/>
      <c r="E904" s="18"/>
      <c r="F904" s="18"/>
      <c r="G904" s="18"/>
      <c r="H904" s="18"/>
      <c r="I904" s="25"/>
      <c r="J904" s="18"/>
      <c r="K904" s="18"/>
      <c r="L904" s="18"/>
      <c r="M904" s="18"/>
      <c r="N904" s="18"/>
      <c r="O904" s="18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>
      <c r="A905" s="1"/>
      <c r="B905" s="1"/>
      <c r="C905" s="18"/>
      <c r="D905" s="47"/>
      <c r="E905" s="18"/>
      <c r="F905" s="18"/>
      <c r="G905" s="18"/>
      <c r="H905" s="18"/>
      <c r="I905" s="25"/>
      <c r="J905" s="18"/>
      <c r="K905" s="18"/>
      <c r="L905" s="18"/>
      <c r="M905" s="18"/>
      <c r="N905" s="18"/>
      <c r="O905" s="18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>
      <c r="A906" s="1"/>
      <c r="B906" s="1"/>
      <c r="C906" s="18"/>
      <c r="D906" s="47"/>
      <c r="E906" s="18"/>
      <c r="F906" s="18"/>
      <c r="G906" s="18"/>
      <c r="H906" s="18"/>
      <c r="I906" s="25"/>
      <c r="J906" s="18"/>
      <c r="K906" s="18"/>
      <c r="L906" s="18"/>
      <c r="M906" s="18"/>
      <c r="N906" s="18"/>
      <c r="O906" s="18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>
      <c r="A907" s="1"/>
      <c r="B907" s="1"/>
      <c r="C907" s="18"/>
      <c r="D907" s="47"/>
      <c r="E907" s="18"/>
      <c r="F907" s="18"/>
      <c r="G907" s="18"/>
      <c r="H907" s="18"/>
      <c r="I907" s="25"/>
      <c r="J907" s="18"/>
      <c r="K907" s="18"/>
      <c r="L907" s="18"/>
      <c r="M907" s="18"/>
      <c r="N907" s="18"/>
      <c r="O907" s="18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>
      <c r="A908" s="1"/>
      <c r="B908" s="1"/>
      <c r="C908" s="18"/>
      <c r="D908" s="47"/>
      <c r="E908" s="18"/>
      <c r="F908" s="18"/>
      <c r="G908" s="18"/>
      <c r="H908" s="18"/>
      <c r="I908" s="25"/>
      <c r="J908" s="18"/>
      <c r="K908" s="18"/>
      <c r="L908" s="18"/>
      <c r="M908" s="18"/>
      <c r="N908" s="18"/>
      <c r="O908" s="18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>
      <c r="A909" s="1"/>
      <c r="B909" s="1"/>
      <c r="C909" s="18"/>
      <c r="D909" s="47"/>
      <c r="E909" s="18"/>
      <c r="F909" s="18"/>
      <c r="G909" s="18"/>
      <c r="H909" s="18"/>
      <c r="I909" s="25"/>
      <c r="J909" s="18"/>
      <c r="K909" s="18"/>
      <c r="L909" s="18"/>
      <c r="M909" s="18"/>
      <c r="N909" s="18"/>
      <c r="O909" s="18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>
      <c r="A910" s="1"/>
      <c r="B910" s="1"/>
      <c r="C910" s="18"/>
      <c r="D910" s="47"/>
      <c r="E910" s="18"/>
      <c r="F910" s="18"/>
      <c r="G910" s="18"/>
      <c r="H910" s="18"/>
      <c r="I910" s="25"/>
      <c r="J910" s="18"/>
      <c r="K910" s="18"/>
      <c r="L910" s="18"/>
      <c r="M910" s="18"/>
      <c r="N910" s="18"/>
      <c r="O910" s="18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>
      <c r="A911" s="1"/>
      <c r="B911" s="1"/>
      <c r="C911" s="18"/>
      <c r="D911" s="47"/>
      <c r="E911" s="18"/>
      <c r="F911" s="18"/>
      <c r="G911" s="18"/>
      <c r="H911" s="18"/>
      <c r="I911" s="25"/>
      <c r="J911" s="18"/>
      <c r="K911" s="18"/>
      <c r="L911" s="18"/>
      <c r="M911" s="18"/>
      <c r="N911" s="18"/>
      <c r="O911" s="18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>
      <c r="A912" s="1"/>
      <c r="B912" s="1"/>
      <c r="C912" s="18"/>
      <c r="D912" s="47"/>
      <c r="E912" s="18"/>
      <c r="F912" s="18"/>
      <c r="G912" s="18"/>
      <c r="H912" s="18"/>
      <c r="I912" s="25"/>
      <c r="J912" s="18"/>
      <c r="K912" s="18"/>
      <c r="L912" s="18"/>
      <c r="M912" s="18"/>
      <c r="N912" s="18"/>
      <c r="O912" s="18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>
      <c r="A913" s="1"/>
      <c r="B913" s="1"/>
      <c r="C913" s="18"/>
      <c r="D913" s="47"/>
      <c r="E913" s="18"/>
      <c r="F913" s="18"/>
      <c r="G913" s="18"/>
      <c r="H913" s="18"/>
      <c r="I913" s="25"/>
      <c r="J913" s="18"/>
      <c r="K913" s="18"/>
      <c r="L913" s="18"/>
      <c r="M913" s="18"/>
      <c r="N913" s="18"/>
      <c r="O913" s="18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>
      <c r="A914" s="1"/>
      <c r="B914" s="1"/>
      <c r="C914" s="18"/>
      <c r="D914" s="47"/>
      <c r="E914" s="18"/>
      <c r="F914" s="18"/>
      <c r="G914" s="18"/>
      <c r="H914" s="18"/>
      <c r="I914" s="25"/>
      <c r="J914" s="18"/>
      <c r="K914" s="18"/>
      <c r="L914" s="18"/>
      <c r="M914" s="18"/>
      <c r="N914" s="18"/>
      <c r="O914" s="18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>
      <c r="A915" s="1"/>
      <c r="B915" s="1"/>
      <c r="C915" s="18"/>
      <c r="D915" s="47"/>
      <c r="E915" s="18"/>
      <c r="F915" s="18"/>
      <c r="G915" s="18"/>
      <c r="H915" s="18"/>
      <c r="I915" s="25"/>
      <c r="J915" s="18"/>
      <c r="K915" s="18"/>
      <c r="L915" s="18"/>
      <c r="M915" s="18"/>
      <c r="N915" s="18"/>
      <c r="O915" s="18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>
      <c r="A916" s="1"/>
      <c r="B916" s="1"/>
      <c r="C916" s="18"/>
      <c r="D916" s="47"/>
      <c r="E916" s="18"/>
      <c r="F916" s="18"/>
      <c r="G916" s="18"/>
      <c r="H916" s="18"/>
      <c r="I916" s="25"/>
      <c r="J916" s="18"/>
      <c r="K916" s="18"/>
      <c r="L916" s="18"/>
      <c r="M916" s="18"/>
      <c r="N916" s="18"/>
      <c r="O916" s="18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>
      <c r="A917" s="1"/>
      <c r="B917" s="1"/>
      <c r="C917" s="18"/>
      <c r="D917" s="47"/>
      <c r="E917" s="18"/>
      <c r="F917" s="18"/>
      <c r="G917" s="18"/>
      <c r="H917" s="18"/>
      <c r="I917" s="25"/>
      <c r="J917" s="18"/>
      <c r="K917" s="18"/>
      <c r="L917" s="18"/>
      <c r="M917" s="18"/>
      <c r="N917" s="18"/>
      <c r="O917" s="18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>
      <c r="A918" s="1"/>
      <c r="B918" s="1"/>
      <c r="C918" s="18"/>
      <c r="D918" s="47"/>
      <c r="E918" s="18"/>
      <c r="F918" s="18"/>
      <c r="G918" s="18"/>
      <c r="H918" s="18"/>
      <c r="I918" s="25"/>
      <c r="J918" s="18"/>
      <c r="K918" s="18"/>
      <c r="L918" s="18"/>
      <c r="M918" s="18"/>
      <c r="N918" s="18"/>
      <c r="O918" s="18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>
      <c r="A919" s="1"/>
      <c r="B919" s="1"/>
      <c r="C919" s="18"/>
      <c r="D919" s="47"/>
      <c r="E919" s="18"/>
      <c r="F919" s="18"/>
      <c r="G919" s="18"/>
      <c r="H919" s="18"/>
      <c r="I919" s="25"/>
      <c r="J919" s="18"/>
      <c r="K919" s="18"/>
      <c r="L919" s="18"/>
      <c r="M919" s="18"/>
      <c r="N919" s="18"/>
      <c r="O919" s="18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>
      <c r="A920" s="1"/>
      <c r="B920" s="1"/>
      <c r="C920" s="18"/>
      <c r="D920" s="47"/>
      <c r="E920" s="18"/>
      <c r="F920" s="18"/>
      <c r="G920" s="18"/>
      <c r="H920" s="18"/>
      <c r="I920" s="25"/>
      <c r="J920" s="18"/>
      <c r="K920" s="18"/>
      <c r="L920" s="18"/>
      <c r="M920" s="18"/>
      <c r="N920" s="18"/>
      <c r="O920" s="18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>
      <c r="A921" s="1"/>
      <c r="B921" s="1"/>
      <c r="C921" s="18"/>
      <c r="D921" s="47"/>
      <c r="E921" s="18"/>
      <c r="F921" s="18"/>
      <c r="G921" s="18"/>
      <c r="H921" s="18"/>
      <c r="I921" s="25"/>
      <c r="J921" s="18"/>
      <c r="K921" s="18"/>
      <c r="L921" s="18"/>
      <c r="M921" s="18"/>
      <c r="N921" s="18"/>
      <c r="O921" s="18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>
      <c r="A922" s="1"/>
      <c r="B922" s="1"/>
      <c r="C922" s="18"/>
      <c r="D922" s="47"/>
      <c r="E922" s="18"/>
      <c r="F922" s="18"/>
      <c r="G922" s="18"/>
      <c r="H922" s="18"/>
      <c r="I922" s="25"/>
      <c r="J922" s="18"/>
      <c r="K922" s="18"/>
      <c r="L922" s="18"/>
      <c r="M922" s="18"/>
      <c r="N922" s="18"/>
      <c r="O922" s="18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>
      <c r="A923" s="1"/>
      <c r="B923" s="1"/>
      <c r="C923" s="18"/>
      <c r="D923" s="47"/>
      <c r="E923" s="18"/>
      <c r="F923" s="18"/>
      <c r="G923" s="18"/>
      <c r="H923" s="18"/>
      <c r="I923" s="25"/>
      <c r="J923" s="18"/>
      <c r="K923" s="18"/>
      <c r="L923" s="18"/>
      <c r="M923" s="18"/>
      <c r="N923" s="18"/>
      <c r="O923" s="18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>
      <c r="A924" s="1"/>
      <c r="B924" s="1"/>
      <c r="C924" s="18"/>
      <c r="D924" s="47"/>
      <c r="E924" s="18"/>
      <c r="F924" s="18"/>
      <c r="G924" s="18"/>
      <c r="H924" s="18"/>
      <c r="I924" s="25"/>
      <c r="J924" s="18"/>
      <c r="K924" s="18"/>
      <c r="L924" s="18"/>
      <c r="M924" s="18"/>
      <c r="N924" s="18"/>
      <c r="O924" s="18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>
      <c r="A925" s="1"/>
      <c r="B925" s="1"/>
      <c r="C925" s="18"/>
      <c r="D925" s="47"/>
      <c r="E925" s="18"/>
      <c r="F925" s="18"/>
      <c r="G925" s="18"/>
      <c r="H925" s="18"/>
      <c r="I925" s="25"/>
      <c r="J925" s="18"/>
      <c r="K925" s="18"/>
      <c r="L925" s="18"/>
      <c r="M925" s="18"/>
      <c r="N925" s="18"/>
      <c r="O925" s="18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>
      <c r="A926" s="1"/>
      <c r="B926" s="1"/>
      <c r="C926" s="18"/>
      <c r="D926" s="47"/>
      <c r="E926" s="18"/>
      <c r="F926" s="18"/>
      <c r="G926" s="18"/>
      <c r="H926" s="18"/>
      <c r="I926" s="25"/>
      <c r="J926" s="18"/>
      <c r="K926" s="18"/>
      <c r="L926" s="18"/>
      <c r="M926" s="18"/>
      <c r="N926" s="18"/>
      <c r="O926" s="18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>
      <c r="A927" s="1"/>
      <c r="B927" s="1"/>
      <c r="C927" s="18"/>
      <c r="D927" s="47"/>
      <c r="E927" s="18"/>
      <c r="F927" s="18"/>
      <c r="G927" s="18"/>
      <c r="H927" s="18"/>
      <c r="I927" s="25"/>
      <c r="J927" s="18"/>
      <c r="K927" s="18"/>
      <c r="L927" s="18"/>
      <c r="M927" s="18"/>
      <c r="N927" s="18"/>
      <c r="O927" s="18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>
      <c r="A928" s="1"/>
      <c r="B928" s="1"/>
      <c r="C928" s="18"/>
      <c r="D928" s="47"/>
      <c r="E928" s="18"/>
      <c r="F928" s="18"/>
      <c r="G928" s="18"/>
      <c r="H928" s="18"/>
      <c r="I928" s="25"/>
      <c r="J928" s="18"/>
      <c r="K928" s="18"/>
      <c r="L928" s="18"/>
      <c r="M928" s="18"/>
      <c r="N928" s="18"/>
      <c r="O928" s="18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>
      <c r="A929" s="1"/>
      <c r="B929" s="1"/>
      <c r="C929" s="18"/>
      <c r="D929" s="47"/>
      <c r="E929" s="18"/>
      <c r="F929" s="18"/>
      <c r="G929" s="18"/>
      <c r="H929" s="18"/>
      <c r="I929" s="25"/>
      <c r="J929" s="18"/>
      <c r="K929" s="18"/>
      <c r="L929" s="18"/>
      <c r="M929" s="18"/>
      <c r="N929" s="18"/>
      <c r="O929" s="18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>
      <c r="A930" s="1"/>
      <c r="B930" s="1"/>
      <c r="C930" s="18"/>
      <c r="D930" s="47"/>
      <c r="E930" s="18"/>
      <c r="F930" s="18"/>
      <c r="G930" s="18"/>
      <c r="H930" s="18"/>
      <c r="I930" s="25"/>
      <c r="J930" s="18"/>
      <c r="K930" s="18"/>
      <c r="L930" s="18"/>
      <c r="M930" s="18"/>
      <c r="N930" s="18"/>
      <c r="O930" s="18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>
      <c r="A931" s="1"/>
      <c r="B931" s="1"/>
      <c r="C931" s="18"/>
      <c r="D931" s="47"/>
      <c r="E931" s="18"/>
      <c r="F931" s="18"/>
      <c r="G931" s="18"/>
      <c r="H931" s="18"/>
      <c r="I931" s="25"/>
      <c r="J931" s="18"/>
      <c r="K931" s="18"/>
      <c r="L931" s="18"/>
      <c r="M931" s="18"/>
      <c r="N931" s="18"/>
      <c r="O931" s="18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>
      <c r="A932" s="1"/>
      <c r="B932" s="1"/>
      <c r="C932" s="18"/>
      <c r="D932" s="47"/>
      <c r="E932" s="18"/>
      <c r="F932" s="18"/>
      <c r="G932" s="18"/>
      <c r="H932" s="18"/>
      <c r="I932" s="25"/>
      <c r="J932" s="18"/>
      <c r="K932" s="18"/>
      <c r="L932" s="18"/>
      <c r="M932" s="18"/>
      <c r="N932" s="18"/>
      <c r="O932" s="18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>
      <c r="A933" s="1"/>
      <c r="B933" s="1"/>
      <c r="C933" s="18"/>
      <c r="D933" s="47"/>
      <c r="E933" s="18"/>
      <c r="F933" s="18"/>
      <c r="G933" s="18"/>
      <c r="H933" s="18"/>
      <c r="I933" s="25"/>
      <c r="J933" s="18"/>
      <c r="K933" s="18"/>
      <c r="L933" s="18"/>
      <c r="M933" s="18"/>
      <c r="N933" s="18"/>
      <c r="O933" s="18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>
      <c r="A934" s="1"/>
      <c r="B934" s="1"/>
      <c r="C934" s="18"/>
      <c r="D934" s="47"/>
      <c r="E934" s="18"/>
      <c r="F934" s="18"/>
      <c r="G934" s="18"/>
      <c r="H934" s="18"/>
      <c r="I934" s="25"/>
      <c r="J934" s="18"/>
      <c r="K934" s="18"/>
      <c r="L934" s="18"/>
      <c r="M934" s="18"/>
      <c r="N934" s="18"/>
      <c r="O934" s="18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>
      <c r="A935" s="1"/>
      <c r="B935" s="1"/>
      <c r="C935" s="18"/>
      <c r="D935" s="47"/>
      <c r="E935" s="18"/>
      <c r="F935" s="18"/>
      <c r="G935" s="18"/>
      <c r="H935" s="18"/>
      <c r="I935" s="25"/>
      <c r="J935" s="18"/>
      <c r="K935" s="18"/>
      <c r="L935" s="18"/>
      <c r="M935" s="18"/>
      <c r="N935" s="18"/>
      <c r="O935" s="18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>
      <c r="A936" s="1"/>
      <c r="B936" s="1"/>
      <c r="C936" s="18"/>
      <c r="D936" s="47"/>
      <c r="E936" s="18"/>
      <c r="F936" s="18"/>
      <c r="G936" s="18"/>
      <c r="H936" s="18"/>
      <c r="I936" s="25"/>
      <c r="J936" s="18"/>
      <c r="K936" s="18"/>
      <c r="L936" s="18"/>
      <c r="M936" s="18"/>
      <c r="N936" s="18"/>
      <c r="O936" s="18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>
      <c r="A937" s="1"/>
      <c r="B937" s="1"/>
      <c r="C937" s="18"/>
      <c r="D937" s="47"/>
      <c r="E937" s="18"/>
      <c r="F937" s="18"/>
      <c r="G937" s="18"/>
      <c r="H937" s="18"/>
      <c r="I937" s="25"/>
      <c r="J937" s="18"/>
      <c r="K937" s="18"/>
      <c r="L937" s="18"/>
      <c r="M937" s="18"/>
      <c r="N937" s="18"/>
      <c r="O937" s="18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>
      <c r="A938" s="1"/>
      <c r="B938" s="1"/>
      <c r="C938" s="18"/>
      <c r="D938" s="47"/>
      <c r="E938" s="18"/>
      <c r="F938" s="18"/>
      <c r="G938" s="18"/>
      <c r="H938" s="18"/>
      <c r="I938" s="25"/>
      <c r="J938" s="18"/>
      <c r="K938" s="18"/>
      <c r="L938" s="18"/>
      <c r="M938" s="18"/>
      <c r="N938" s="18"/>
      <c r="O938" s="18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>
      <c r="A939" s="1"/>
      <c r="B939" s="1"/>
      <c r="C939" s="18"/>
      <c r="D939" s="47"/>
      <c r="E939" s="18"/>
      <c r="F939" s="18"/>
      <c r="G939" s="18"/>
      <c r="H939" s="18"/>
      <c r="I939" s="25"/>
      <c r="J939" s="18"/>
      <c r="K939" s="18"/>
      <c r="L939" s="18"/>
      <c r="M939" s="18"/>
      <c r="N939" s="18"/>
      <c r="O939" s="18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>
      <c r="A940" s="1"/>
      <c r="B940" s="1"/>
      <c r="C940" s="18"/>
      <c r="D940" s="47"/>
      <c r="E940" s="18"/>
      <c r="F940" s="18"/>
      <c r="G940" s="18"/>
      <c r="H940" s="18"/>
      <c r="I940" s="25"/>
      <c r="J940" s="18"/>
      <c r="K940" s="18"/>
      <c r="L940" s="18"/>
      <c r="M940" s="18"/>
      <c r="N940" s="18"/>
      <c r="O940" s="18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>
      <c r="A941" s="1"/>
      <c r="B941" s="1"/>
      <c r="C941" s="18"/>
      <c r="D941" s="47"/>
      <c r="E941" s="18"/>
      <c r="F941" s="18"/>
      <c r="G941" s="18"/>
      <c r="H941" s="18"/>
      <c r="I941" s="25"/>
      <c r="J941" s="18"/>
      <c r="K941" s="18"/>
      <c r="L941" s="18"/>
      <c r="M941" s="18"/>
      <c r="N941" s="18"/>
      <c r="O941" s="18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>
      <c r="A942" s="1"/>
      <c r="B942" s="1"/>
      <c r="C942" s="18"/>
      <c r="D942" s="47"/>
      <c r="E942" s="18"/>
      <c r="F942" s="18"/>
      <c r="G942" s="18"/>
      <c r="H942" s="18"/>
      <c r="I942" s="25"/>
      <c r="J942" s="18"/>
      <c r="K942" s="18"/>
      <c r="L942" s="18"/>
      <c r="M942" s="18"/>
      <c r="N942" s="18"/>
      <c r="O942" s="18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>
      <c r="A943" s="1"/>
      <c r="B943" s="1"/>
      <c r="C943" s="18"/>
      <c r="D943" s="47"/>
      <c r="E943" s="18"/>
      <c r="F943" s="18"/>
      <c r="G943" s="18"/>
      <c r="H943" s="18"/>
      <c r="I943" s="25"/>
      <c r="J943" s="18"/>
      <c r="K943" s="18"/>
      <c r="L943" s="18"/>
      <c r="M943" s="18"/>
      <c r="N943" s="18"/>
      <c r="O943" s="18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>
      <c r="A944" s="1"/>
      <c r="B944" s="1"/>
      <c r="C944" s="18"/>
      <c r="D944" s="47"/>
      <c r="E944" s="18"/>
      <c r="F944" s="18"/>
      <c r="G944" s="18"/>
      <c r="H944" s="18"/>
      <c r="I944" s="25"/>
      <c r="J944" s="18"/>
      <c r="K944" s="18"/>
      <c r="L944" s="18"/>
      <c r="M944" s="18"/>
      <c r="N944" s="18"/>
      <c r="O944" s="18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>
      <c r="A945" s="1"/>
      <c r="B945" s="1"/>
      <c r="C945" s="18"/>
      <c r="D945" s="47"/>
      <c r="E945" s="18"/>
      <c r="F945" s="18"/>
      <c r="G945" s="18"/>
      <c r="H945" s="18"/>
      <c r="I945" s="25"/>
      <c r="J945" s="18"/>
      <c r="K945" s="18"/>
      <c r="L945" s="18"/>
      <c r="M945" s="18"/>
      <c r="N945" s="18"/>
      <c r="O945" s="18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>
      <c r="A946" s="1"/>
      <c r="B946" s="1"/>
      <c r="C946" s="18"/>
      <c r="D946" s="47"/>
      <c r="E946" s="18"/>
      <c r="F946" s="18"/>
      <c r="G946" s="18"/>
      <c r="H946" s="18"/>
      <c r="I946" s="25"/>
      <c r="J946" s="18"/>
      <c r="K946" s="18"/>
      <c r="L946" s="18"/>
      <c r="M946" s="18"/>
      <c r="N946" s="18"/>
      <c r="O946" s="18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>
      <c r="A947" s="1"/>
      <c r="B947" s="1"/>
      <c r="C947" s="18"/>
      <c r="D947" s="47"/>
      <c r="E947" s="18"/>
      <c r="F947" s="18"/>
      <c r="G947" s="18"/>
      <c r="H947" s="18"/>
      <c r="I947" s="25"/>
      <c r="J947" s="18"/>
      <c r="K947" s="18"/>
      <c r="L947" s="18"/>
      <c r="M947" s="18"/>
      <c r="N947" s="18"/>
      <c r="O947" s="18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>
      <c r="A948" s="1"/>
      <c r="B948" s="1"/>
      <c r="C948" s="18"/>
      <c r="D948" s="47"/>
      <c r="E948" s="18"/>
      <c r="F948" s="18"/>
      <c r="G948" s="18"/>
      <c r="H948" s="18"/>
      <c r="I948" s="25"/>
      <c r="J948" s="18"/>
      <c r="K948" s="18"/>
      <c r="L948" s="18"/>
      <c r="M948" s="18"/>
      <c r="N948" s="18"/>
      <c r="O948" s="18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>
      <c r="A949" s="1"/>
      <c r="B949" s="1"/>
      <c r="C949" s="18"/>
      <c r="D949" s="47"/>
      <c r="E949" s="18"/>
      <c r="F949" s="18"/>
      <c r="G949" s="18"/>
      <c r="H949" s="18"/>
      <c r="I949" s="25"/>
      <c r="J949" s="18"/>
      <c r="K949" s="18"/>
      <c r="L949" s="18"/>
      <c r="M949" s="18"/>
      <c r="N949" s="18"/>
      <c r="O949" s="18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>
      <c r="A950" s="1"/>
      <c r="B950" s="1"/>
      <c r="C950" s="18"/>
      <c r="D950" s="47"/>
      <c r="E950" s="18"/>
      <c r="F950" s="18"/>
      <c r="G950" s="18"/>
      <c r="H950" s="18"/>
      <c r="I950" s="25"/>
      <c r="J950" s="18"/>
      <c r="K950" s="18"/>
      <c r="L950" s="18"/>
      <c r="M950" s="18"/>
      <c r="N950" s="18"/>
      <c r="O950" s="18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>
      <c r="A951" s="1"/>
      <c r="B951" s="1"/>
      <c r="C951" s="18"/>
      <c r="D951" s="47"/>
      <c r="E951" s="18"/>
      <c r="F951" s="18"/>
      <c r="G951" s="18"/>
      <c r="H951" s="18"/>
      <c r="I951" s="25"/>
      <c r="J951" s="18"/>
      <c r="K951" s="18"/>
      <c r="L951" s="18"/>
      <c r="M951" s="18"/>
      <c r="N951" s="18"/>
      <c r="O951" s="18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>
      <c r="A952" s="1"/>
      <c r="B952" s="1"/>
      <c r="C952" s="18"/>
      <c r="D952" s="47"/>
      <c r="E952" s="18"/>
      <c r="F952" s="18"/>
      <c r="G952" s="18"/>
      <c r="H952" s="18"/>
      <c r="I952" s="25"/>
      <c r="J952" s="18"/>
      <c r="K952" s="18"/>
      <c r="L952" s="18"/>
      <c r="M952" s="18"/>
      <c r="N952" s="18"/>
      <c r="O952" s="18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>
      <c r="A953" s="1"/>
      <c r="B953" s="1"/>
      <c r="C953" s="18"/>
      <c r="D953" s="47"/>
      <c r="E953" s="18"/>
      <c r="F953" s="18"/>
      <c r="G953" s="18"/>
      <c r="H953" s="18"/>
      <c r="I953" s="25"/>
      <c r="J953" s="18"/>
      <c r="K953" s="18"/>
      <c r="L953" s="18"/>
      <c r="M953" s="18"/>
      <c r="N953" s="18"/>
      <c r="O953" s="18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>
      <c r="A954" s="1"/>
      <c r="B954" s="1"/>
      <c r="C954" s="18"/>
      <c r="D954" s="47"/>
      <c r="E954" s="18"/>
      <c r="F954" s="18"/>
      <c r="G954" s="18"/>
      <c r="H954" s="18"/>
      <c r="I954" s="25"/>
      <c r="J954" s="18"/>
      <c r="K954" s="18"/>
      <c r="L954" s="18"/>
      <c r="M954" s="18"/>
      <c r="N954" s="18"/>
      <c r="O954" s="18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>
      <c r="A955" s="1"/>
      <c r="B955" s="1"/>
      <c r="C955" s="18"/>
      <c r="D955" s="47"/>
      <c r="E955" s="18"/>
      <c r="F955" s="18"/>
      <c r="G955" s="18"/>
      <c r="H955" s="18"/>
      <c r="I955" s="25"/>
      <c r="J955" s="18"/>
      <c r="K955" s="18"/>
      <c r="L955" s="18"/>
      <c r="M955" s="18"/>
      <c r="N955" s="18"/>
      <c r="O955" s="18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>
      <c r="A956" s="1"/>
      <c r="B956" s="1"/>
      <c r="C956" s="18"/>
      <c r="D956" s="47"/>
      <c r="E956" s="18"/>
      <c r="F956" s="18"/>
      <c r="G956" s="18"/>
      <c r="H956" s="18"/>
      <c r="I956" s="25"/>
      <c r="J956" s="18"/>
      <c r="K956" s="18"/>
      <c r="L956" s="18"/>
      <c r="M956" s="18"/>
      <c r="N956" s="18"/>
      <c r="O956" s="18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>
      <c r="A957" s="1"/>
      <c r="B957" s="1"/>
      <c r="C957" s="18"/>
      <c r="D957" s="47"/>
      <c r="E957" s="18"/>
      <c r="F957" s="18"/>
      <c r="G957" s="18"/>
      <c r="H957" s="18"/>
      <c r="I957" s="25"/>
      <c r="J957" s="18"/>
      <c r="K957" s="18"/>
      <c r="L957" s="18"/>
      <c r="M957" s="18"/>
      <c r="N957" s="18"/>
      <c r="O957" s="18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>
      <c r="A958" s="1"/>
      <c r="B958" s="1"/>
      <c r="C958" s="18"/>
      <c r="D958" s="47"/>
      <c r="E958" s="18"/>
      <c r="F958" s="18"/>
      <c r="G958" s="18"/>
      <c r="H958" s="18"/>
      <c r="I958" s="25"/>
      <c r="J958" s="18"/>
      <c r="K958" s="18"/>
      <c r="L958" s="18"/>
      <c r="M958" s="18"/>
      <c r="N958" s="18"/>
      <c r="O958" s="18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>
      <c r="A959" s="1"/>
      <c r="B959" s="1"/>
      <c r="C959" s="18"/>
      <c r="D959" s="47"/>
      <c r="E959" s="18"/>
      <c r="F959" s="18"/>
      <c r="G959" s="18"/>
      <c r="H959" s="18"/>
      <c r="I959" s="25"/>
      <c r="J959" s="18"/>
      <c r="K959" s="18"/>
      <c r="L959" s="18"/>
      <c r="M959" s="18"/>
      <c r="N959" s="18"/>
      <c r="O959" s="18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>
      <c r="A960" s="1"/>
      <c r="B960" s="1"/>
      <c r="C960" s="18"/>
      <c r="D960" s="47"/>
      <c r="E960" s="18"/>
      <c r="F960" s="18"/>
      <c r="G960" s="18"/>
      <c r="H960" s="18"/>
      <c r="I960" s="25"/>
      <c r="J960" s="18"/>
      <c r="K960" s="18"/>
      <c r="L960" s="18"/>
      <c r="M960" s="18"/>
      <c r="N960" s="18"/>
      <c r="O960" s="18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>
      <c r="A961" s="1"/>
      <c r="B961" s="1"/>
      <c r="C961" s="18"/>
      <c r="D961" s="47"/>
      <c r="E961" s="18"/>
      <c r="F961" s="18"/>
      <c r="G961" s="18"/>
      <c r="H961" s="18"/>
      <c r="I961" s="25"/>
      <c r="J961" s="18"/>
      <c r="K961" s="18"/>
      <c r="L961" s="18"/>
      <c r="M961" s="18"/>
      <c r="N961" s="18"/>
      <c r="O961" s="18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>
      <c r="A962" s="1"/>
      <c r="B962" s="1"/>
      <c r="C962" s="18"/>
      <c r="D962" s="47"/>
      <c r="E962" s="18"/>
      <c r="F962" s="18"/>
      <c r="G962" s="18"/>
      <c r="H962" s="18"/>
      <c r="I962" s="25"/>
      <c r="J962" s="18"/>
      <c r="K962" s="18"/>
      <c r="L962" s="18"/>
      <c r="M962" s="18"/>
      <c r="N962" s="18"/>
      <c r="O962" s="18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>
      <c r="A963" s="1"/>
      <c r="B963" s="1"/>
      <c r="C963" s="18"/>
      <c r="D963" s="47"/>
      <c r="E963" s="18"/>
      <c r="F963" s="18"/>
      <c r="G963" s="18"/>
      <c r="H963" s="18"/>
      <c r="I963" s="25"/>
      <c r="J963" s="18"/>
      <c r="K963" s="18"/>
      <c r="L963" s="18"/>
      <c r="M963" s="18"/>
      <c r="N963" s="18"/>
      <c r="O963" s="18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>
      <c r="A964" s="1"/>
      <c r="B964" s="1"/>
      <c r="C964" s="18"/>
      <c r="D964" s="47"/>
      <c r="E964" s="18"/>
      <c r="F964" s="18"/>
      <c r="G964" s="18"/>
      <c r="H964" s="18"/>
      <c r="I964" s="25"/>
      <c r="J964" s="18"/>
      <c r="K964" s="18"/>
      <c r="L964" s="18"/>
      <c r="M964" s="18"/>
      <c r="N964" s="18"/>
      <c r="O964" s="18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>
      <c r="A965" s="1"/>
      <c r="B965" s="1"/>
      <c r="C965" s="18"/>
      <c r="D965" s="47"/>
      <c r="E965" s="18"/>
      <c r="F965" s="18"/>
      <c r="G965" s="18"/>
      <c r="H965" s="18"/>
      <c r="I965" s="25"/>
      <c r="J965" s="18"/>
      <c r="K965" s="18"/>
      <c r="L965" s="18"/>
      <c r="M965" s="18"/>
      <c r="N965" s="18"/>
      <c r="O965" s="18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>
      <c r="A966" s="1"/>
      <c r="B966" s="1"/>
      <c r="C966" s="18"/>
      <c r="D966" s="47"/>
      <c r="E966" s="18"/>
      <c r="F966" s="18"/>
      <c r="G966" s="18"/>
      <c r="H966" s="18"/>
      <c r="I966" s="25"/>
      <c r="J966" s="18"/>
      <c r="K966" s="18"/>
      <c r="L966" s="18"/>
      <c r="M966" s="18"/>
      <c r="N966" s="18"/>
      <c r="O966" s="18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>
      <c r="A967" s="1"/>
      <c r="B967" s="1"/>
      <c r="C967" s="18"/>
      <c r="D967" s="47"/>
      <c r="E967" s="18"/>
      <c r="F967" s="18"/>
      <c r="G967" s="18"/>
      <c r="H967" s="18"/>
      <c r="I967" s="25"/>
      <c r="J967" s="18"/>
      <c r="K967" s="18"/>
      <c r="L967" s="18"/>
      <c r="M967" s="18"/>
      <c r="N967" s="18"/>
      <c r="O967" s="18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>
      <c r="A968" s="1"/>
      <c r="B968" s="1"/>
      <c r="C968" s="18"/>
      <c r="D968" s="47"/>
      <c r="E968" s="18"/>
      <c r="F968" s="18"/>
      <c r="G968" s="18"/>
      <c r="H968" s="18"/>
      <c r="I968" s="25"/>
      <c r="J968" s="18"/>
      <c r="K968" s="18"/>
      <c r="L968" s="18"/>
      <c r="M968" s="18"/>
      <c r="N968" s="18"/>
      <c r="O968" s="18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>
      <c r="A969" s="1"/>
      <c r="B969" s="1"/>
      <c r="C969" s="18"/>
      <c r="D969" s="47"/>
      <c r="E969" s="18"/>
      <c r="F969" s="18"/>
      <c r="G969" s="18"/>
      <c r="H969" s="18"/>
      <c r="I969" s="25"/>
      <c r="J969" s="18"/>
      <c r="K969" s="18"/>
      <c r="L969" s="18"/>
      <c r="M969" s="18"/>
      <c r="N969" s="18"/>
      <c r="O969" s="18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>
      <c r="A970" s="1"/>
      <c r="B970" s="1"/>
      <c r="C970" s="18"/>
      <c r="D970" s="47"/>
      <c r="E970" s="18"/>
      <c r="F970" s="18"/>
      <c r="G970" s="18"/>
      <c r="H970" s="18"/>
      <c r="I970" s="25"/>
      <c r="J970" s="18"/>
      <c r="K970" s="18"/>
      <c r="L970" s="18"/>
      <c r="M970" s="18"/>
      <c r="N970" s="18"/>
      <c r="O970" s="18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>
      <c r="A971" s="1"/>
      <c r="B971" s="1"/>
      <c r="C971" s="18"/>
      <c r="D971" s="47"/>
      <c r="E971" s="18"/>
      <c r="F971" s="18"/>
      <c r="G971" s="18"/>
      <c r="H971" s="18"/>
      <c r="I971" s="25"/>
      <c r="J971" s="18"/>
      <c r="K971" s="18"/>
      <c r="L971" s="18"/>
      <c r="M971" s="18"/>
      <c r="N971" s="18"/>
      <c r="O971" s="18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>
      <c r="A972" s="1"/>
      <c r="B972" s="1"/>
      <c r="C972" s="18"/>
      <c r="D972" s="47"/>
      <c r="E972" s="18"/>
      <c r="F972" s="18"/>
      <c r="G972" s="18"/>
      <c r="H972" s="18"/>
      <c r="I972" s="25"/>
      <c r="J972" s="18"/>
      <c r="K972" s="18"/>
      <c r="L972" s="18"/>
      <c r="M972" s="18"/>
      <c r="N972" s="18"/>
      <c r="O972" s="18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>
      <c r="A973" s="1"/>
      <c r="B973" s="1"/>
      <c r="C973" s="18"/>
      <c r="D973" s="47"/>
      <c r="E973" s="18"/>
      <c r="F973" s="18"/>
      <c r="G973" s="18"/>
      <c r="H973" s="18"/>
      <c r="I973" s="25"/>
      <c r="J973" s="18"/>
      <c r="K973" s="18"/>
      <c r="L973" s="18"/>
      <c r="M973" s="18"/>
      <c r="N973" s="18"/>
      <c r="O973" s="18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>
      <c r="A974" s="1"/>
      <c r="B974" s="1"/>
      <c r="C974" s="18"/>
      <c r="D974" s="47"/>
      <c r="E974" s="18"/>
      <c r="F974" s="18"/>
      <c r="G974" s="18"/>
      <c r="H974" s="18"/>
      <c r="I974" s="25"/>
      <c r="J974" s="18"/>
      <c r="K974" s="18"/>
      <c r="L974" s="18"/>
      <c r="M974" s="18"/>
      <c r="N974" s="18"/>
      <c r="O974" s="18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>
      <c r="A975" s="1"/>
      <c r="B975" s="1"/>
      <c r="C975" s="18"/>
      <c r="D975" s="47"/>
      <c r="E975" s="18"/>
      <c r="F975" s="18"/>
      <c r="G975" s="18"/>
      <c r="H975" s="18"/>
      <c r="I975" s="25"/>
      <c r="J975" s="18"/>
      <c r="K975" s="18"/>
      <c r="L975" s="18"/>
      <c r="M975" s="18"/>
      <c r="N975" s="18"/>
      <c r="O975" s="18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>
      <c r="A976" s="1"/>
      <c r="B976" s="1"/>
      <c r="C976" s="18"/>
      <c r="D976" s="47"/>
      <c r="E976" s="18"/>
      <c r="F976" s="18"/>
      <c r="G976" s="18"/>
      <c r="H976" s="18"/>
      <c r="I976" s="25"/>
      <c r="J976" s="18"/>
      <c r="K976" s="18"/>
      <c r="L976" s="18"/>
      <c r="M976" s="18"/>
      <c r="N976" s="18"/>
      <c r="O976" s="18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>
      <c r="A977" s="1"/>
      <c r="B977" s="1"/>
      <c r="C977" s="18"/>
      <c r="D977" s="47"/>
      <c r="E977" s="18"/>
      <c r="F977" s="18"/>
      <c r="G977" s="18"/>
      <c r="H977" s="18"/>
      <c r="I977" s="25"/>
      <c r="J977" s="18"/>
      <c r="K977" s="18"/>
      <c r="L977" s="18"/>
      <c r="M977" s="18"/>
      <c r="N977" s="18"/>
      <c r="O977" s="18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>
      <c r="A978" s="1"/>
      <c r="B978" s="1"/>
      <c r="C978" s="18"/>
      <c r="D978" s="47"/>
      <c r="E978" s="18"/>
      <c r="F978" s="18"/>
      <c r="G978" s="18"/>
      <c r="H978" s="18"/>
      <c r="I978" s="25"/>
      <c r="J978" s="18"/>
      <c r="K978" s="18"/>
      <c r="L978" s="18"/>
      <c r="M978" s="18"/>
      <c r="N978" s="18"/>
      <c r="O978" s="18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>
      <c r="A979" s="1"/>
      <c r="B979" s="1"/>
      <c r="C979" s="18"/>
      <c r="D979" s="47"/>
      <c r="E979" s="18"/>
      <c r="F979" s="18"/>
      <c r="G979" s="18"/>
      <c r="H979" s="18"/>
      <c r="I979" s="25"/>
      <c r="J979" s="18"/>
      <c r="K979" s="18"/>
      <c r="L979" s="18"/>
      <c r="M979" s="18"/>
      <c r="N979" s="18"/>
      <c r="O979" s="18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>
      <c r="A980" s="1"/>
      <c r="B980" s="1"/>
      <c r="C980" s="18"/>
      <c r="D980" s="47"/>
      <c r="E980" s="18"/>
      <c r="F980" s="18"/>
      <c r="G980" s="18"/>
      <c r="H980" s="18"/>
      <c r="I980" s="25"/>
      <c r="J980" s="18"/>
      <c r="K980" s="18"/>
      <c r="L980" s="18"/>
      <c r="M980" s="18"/>
      <c r="N980" s="18"/>
      <c r="O980" s="18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>
      <c r="A981" s="1"/>
      <c r="B981" s="1"/>
      <c r="C981" s="18"/>
      <c r="D981" s="47"/>
      <c r="E981" s="18"/>
      <c r="F981" s="18"/>
      <c r="G981" s="18"/>
      <c r="H981" s="18"/>
      <c r="I981" s="25"/>
      <c r="J981" s="18"/>
      <c r="K981" s="18"/>
      <c r="L981" s="18"/>
      <c r="M981" s="18"/>
      <c r="N981" s="18"/>
      <c r="O981" s="18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>
      <c r="A982" s="1"/>
      <c r="B982" s="1"/>
      <c r="C982" s="18"/>
      <c r="D982" s="47"/>
      <c r="E982" s="18"/>
      <c r="F982" s="18"/>
      <c r="G982" s="18"/>
      <c r="H982" s="18"/>
      <c r="I982" s="25"/>
      <c r="J982" s="18"/>
      <c r="K982" s="18"/>
      <c r="L982" s="18"/>
      <c r="M982" s="18"/>
      <c r="N982" s="18"/>
      <c r="O982" s="18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>
      <c r="A983" s="1"/>
      <c r="B983" s="1"/>
      <c r="C983" s="18"/>
      <c r="D983" s="47"/>
      <c r="E983" s="18"/>
      <c r="F983" s="18"/>
      <c r="G983" s="18"/>
      <c r="H983" s="18"/>
      <c r="I983" s="25"/>
      <c r="J983" s="18"/>
      <c r="K983" s="18"/>
      <c r="L983" s="18"/>
      <c r="M983" s="18"/>
      <c r="N983" s="18"/>
      <c r="O983" s="18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>
      <c r="A984" s="1"/>
      <c r="B984" s="1"/>
      <c r="C984" s="18"/>
      <c r="D984" s="47"/>
      <c r="E984" s="18"/>
      <c r="F984" s="18"/>
      <c r="G984" s="18"/>
      <c r="H984" s="18"/>
      <c r="I984" s="25"/>
      <c r="J984" s="18"/>
      <c r="K984" s="18"/>
      <c r="L984" s="18"/>
      <c r="M984" s="18"/>
      <c r="N984" s="18"/>
      <c r="O984" s="18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>
      <c r="A985" s="1"/>
      <c r="B985" s="1"/>
      <c r="C985" s="18"/>
      <c r="D985" s="47"/>
      <c r="E985" s="18"/>
      <c r="F985" s="18"/>
      <c r="G985" s="18"/>
      <c r="H985" s="18"/>
      <c r="I985" s="25"/>
      <c r="J985" s="18"/>
      <c r="K985" s="18"/>
      <c r="L985" s="18"/>
      <c r="M985" s="18"/>
      <c r="N985" s="18"/>
      <c r="O985" s="18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>
      <c r="A986" s="1"/>
      <c r="B986" s="1"/>
      <c r="C986" s="18"/>
      <c r="D986" s="47"/>
      <c r="E986" s="18"/>
      <c r="F986" s="18"/>
      <c r="G986" s="18"/>
      <c r="H986" s="18"/>
      <c r="I986" s="25"/>
      <c r="J986" s="18"/>
      <c r="K986" s="18"/>
      <c r="L986" s="18"/>
      <c r="M986" s="18"/>
      <c r="N986" s="18"/>
      <c r="O986" s="18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>
      <c r="A987" s="1"/>
      <c r="B987" s="1"/>
      <c r="C987" s="18"/>
      <c r="D987" s="47"/>
      <c r="E987" s="18"/>
      <c r="F987" s="18"/>
      <c r="G987" s="18"/>
      <c r="H987" s="18"/>
      <c r="I987" s="25"/>
      <c r="J987" s="18"/>
      <c r="K987" s="18"/>
      <c r="L987" s="18"/>
      <c r="M987" s="18"/>
      <c r="N987" s="18"/>
      <c r="O987" s="18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>
      <c r="A988" s="1"/>
      <c r="B988" s="1"/>
      <c r="C988" s="18"/>
      <c r="D988" s="47"/>
      <c r="E988" s="18"/>
      <c r="F988" s="18"/>
      <c r="G988" s="18"/>
      <c r="H988" s="18"/>
      <c r="I988" s="25"/>
      <c r="J988" s="18"/>
      <c r="K988" s="18"/>
      <c r="L988" s="18"/>
      <c r="M988" s="18"/>
      <c r="N988" s="18"/>
      <c r="O988" s="18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>
      <c r="A989" s="1"/>
      <c r="B989" s="1"/>
      <c r="C989" s="18"/>
      <c r="D989" s="47"/>
      <c r="E989" s="18"/>
      <c r="F989" s="18"/>
      <c r="G989" s="18"/>
      <c r="H989" s="18"/>
      <c r="I989" s="25"/>
      <c r="J989" s="18"/>
      <c r="K989" s="18"/>
      <c r="L989" s="18"/>
      <c r="M989" s="18"/>
      <c r="N989" s="18"/>
      <c r="O989" s="18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>
      <c r="A990" s="1"/>
      <c r="B990" s="1"/>
      <c r="C990" s="18"/>
      <c r="D990" s="47"/>
      <c r="E990" s="18"/>
      <c r="F990" s="18"/>
      <c r="G990" s="18"/>
      <c r="H990" s="18"/>
      <c r="I990" s="25"/>
      <c r="J990" s="18"/>
      <c r="K990" s="18"/>
      <c r="L990" s="18"/>
      <c r="M990" s="18"/>
      <c r="N990" s="18"/>
      <c r="O990" s="18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>
      <c r="A991" s="1"/>
      <c r="B991" s="1"/>
      <c r="C991" s="18"/>
      <c r="D991" s="47"/>
      <c r="E991" s="18"/>
      <c r="F991" s="18"/>
      <c r="G991" s="18"/>
      <c r="H991" s="18"/>
      <c r="I991" s="25"/>
      <c r="J991" s="18"/>
      <c r="K991" s="18"/>
      <c r="L991" s="18"/>
      <c r="M991" s="18"/>
      <c r="N991" s="18"/>
      <c r="O991" s="18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>
      <c r="A992" s="1"/>
      <c r="B992" s="1"/>
      <c r="C992" s="18"/>
      <c r="D992" s="47"/>
      <c r="E992" s="18"/>
      <c r="F992" s="18"/>
      <c r="G992" s="18"/>
      <c r="H992" s="18"/>
      <c r="I992" s="25"/>
      <c r="J992" s="18"/>
      <c r="K992" s="18"/>
      <c r="L992" s="18"/>
      <c r="M992" s="18"/>
      <c r="N992" s="18"/>
      <c r="O992" s="18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>
      <c r="A993" s="1"/>
      <c r="B993" s="1"/>
      <c r="C993" s="18"/>
      <c r="D993" s="47"/>
      <c r="E993" s="18"/>
      <c r="F993" s="18"/>
      <c r="G993" s="18"/>
      <c r="H993" s="18"/>
      <c r="I993" s="25"/>
      <c r="J993" s="18"/>
      <c r="K993" s="18"/>
      <c r="L993" s="18"/>
      <c r="M993" s="18"/>
      <c r="N993" s="18"/>
      <c r="O993" s="18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>
      <c r="A994" s="1"/>
      <c r="B994" s="1"/>
      <c r="C994" s="18"/>
      <c r="D994" s="47"/>
      <c r="E994" s="18"/>
      <c r="F994" s="18"/>
      <c r="G994" s="18"/>
      <c r="H994" s="18"/>
      <c r="I994" s="25"/>
      <c r="J994" s="18"/>
      <c r="K994" s="18"/>
      <c r="L994" s="18"/>
      <c r="M994" s="18"/>
      <c r="N994" s="18"/>
      <c r="O994" s="18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>
      <c r="A995" s="1"/>
      <c r="B995" s="1"/>
      <c r="C995" s="18"/>
      <c r="D995" s="47"/>
      <c r="E995" s="18"/>
      <c r="F995" s="18"/>
      <c r="G995" s="18"/>
      <c r="H995" s="18"/>
      <c r="I995" s="25"/>
      <c r="J995" s="18"/>
      <c r="K995" s="18"/>
      <c r="L995" s="18"/>
      <c r="M995" s="18"/>
      <c r="N995" s="18"/>
      <c r="O995" s="18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>
      <c r="A996" s="1"/>
      <c r="B996" s="1"/>
      <c r="C996" s="18"/>
      <c r="D996" s="47"/>
      <c r="E996" s="18"/>
      <c r="F996" s="18"/>
      <c r="G996" s="18"/>
      <c r="H996" s="18"/>
      <c r="I996" s="25"/>
      <c r="J996" s="18"/>
      <c r="K996" s="18"/>
      <c r="L996" s="18"/>
      <c r="M996" s="18"/>
      <c r="N996" s="18"/>
      <c r="O996" s="18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</sheetData>
  <conditionalFormatting sqref="F2">
    <cfRule type="containsText" dxfId="0" priority="1" operator="containsText" text="Propulsion">
      <formula>NOT(ISERROR(SEARCH(("Propulsion"),(F2))))</formula>
    </cfRule>
  </conditionalFormatting>
  <conditionalFormatting sqref="F2">
    <cfRule type="containsText" dxfId="1" priority="2" operator="containsText" text="Avionics">
      <formula>NOT(ISERROR(SEARCH(("Avionics"),(F2))))</formula>
    </cfRule>
  </conditionalFormatting>
  <conditionalFormatting sqref="F2">
    <cfRule type="containsText" dxfId="2" priority="3" operator="containsText" text="Structures">
      <formula>NOT(ISERROR(SEARCH(("Structures"),(F2))))</formula>
    </cfRule>
  </conditionalFormatting>
  <conditionalFormatting sqref="F2">
    <cfRule type="containsText" dxfId="3" priority="4" operator="containsText" text="Systems">
      <formula>NOT(ISERROR(SEARCH(("Systems"),(F2))))</formula>
    </cfRule>
  </conditionalFormatting>
  <conditionalFormatting sqref="F1 F3:F17 F19:F996">
    <cfRule type="containsText" dxfId="0" priority="5" operator="containsText" text="Propulsion">
      <formula>NOT(ISERROR(SEARCH(("Propulsion"),(F1))))</formula>
    </cfRule>
  </conditionalFormatting>
  <conditionalFormatting sqref="F1 F3:F17 F19:F996">
    <cfRule type="containsText" dxfId="1" priority="6" operator="containsText" text="Avionics">
      <formula>NOT(ISERROR(SEARCH(("Avionics"),(F1))))</formula>
    </cfRule>
  </conditionalFormatting>
  <conditionalFormatting sqref="F1 F3:F17 F19:F996">
    <cfRule type="containsText" dxfId="2" priority="7" operator="containsText" text="Structures">
      <formula>NOT(ISERROR(SEARCH(("Structures"),(F1))))</formula>
    </cfRule>
  </conditionalFormatting>
  <conditionalFormatting sqref="F1 F3:F17 F19:F996">
    <cfRule type="containsText" dxfId="3" priority="8" operator="containsText" text="Systems">
      <formula>NOT(ISERROR(SEARCH(("Systems"),(F1))))</formula>
    </cfRule>
  </conditionalFormatting>
  <hyperlinks>
    <hyperlink r:id="rId1" ref="N3"/>
    <hyperlink r:id="rId2" ref="N6"/>
    <hyperlink r:id="rId3" ref="N7"/>
    <hyperlink r:id="rId4" ref="N8"/>
    <hyperlink r:id="rId5" ref="N9"/>
    <hyperlink r:id="rId6" ref="N10"/>
    <hyperlink r:id="rId7" ref="N11"/>
  </hyperlinks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0"/>
    <col customWidth="1" hidden="1" min="2" max="2" width="8.0"/>
    <col customWidth="1" min="3" max="3" width="17.29"/>
    <col customWidth="1" min="4" max="4" width="11.29"/>
    <col customWidth="1" min="5" max="5" width="24.71"/>
    <col customWidth="1" min="6" max="7" width="16.71"/>
    <col customWidth="1" min="8" max="8" width="15.71"/>
    <col customWidth="1" min="9" max="9" width="16.14"/>
    <col customWidth="1" min="10" max="10" width="14.29"/>
    <col customWidth="1" min="11" max="11" width="8.29"/>
    <col customWidth="1" min="12" max="12" width="18.57"/>
    <col customWidth="1" min="13" max="13" width="15.86"/>
    <col customWidth="1" min="14" max="14" width="22.57"/>
    <col customWidth="1" min="15" max="15" width="17.29"/>
  </cols>
  <sheetData>
    <row r="1">
      <c r="A1" s="1"/>
      <c r="B1" s="2">
        <v>16000.0</v>
      </c>
      <c r="C1" s="3" t="s">
        <v>0</v>
      </c>
      <c r="D1" s="4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5" t="s">
        <v>6</v>
      </c>
      <c r="J1" s="3" t="s">
        <v>7</v>
      </c>
      <c r="K1" s="3" t="s">
        <v>8</v>
      </c>
      <c r="L1" s="6" t="s">
        <v>9</v>
      </c>
      <c r="M1" s="6" t="s">
        <v>10</v>
      </c>
      <c r="N1" s="6" t="s">
        <v>11</v>
      </c>
      <c r="O1" s="3" t="s">
        <v>12</v>
      </c>
      <c r="P1" s="3" t="s">
        <v>629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ht="17.25" customHeight="1">
      <c r="A2" s="7"/>
      <c r="B2" s="8" t="s">
        <v>13</v>
      </c>
      <c r="C2" s="9">
        <f t="shared" ref="C2:C248" si="1">B2+$B$1</f>
        <v>16001</v>
      </c>
      <c r="D2" s="10" t="s">
        <v>35</v>
      </c>
      <c r="E2" s="11" t="s">
        <v>630</v>
      </c>
      <c r="F2" s="12" t="s">
        <v>631</v>
      </c>
      <c r="G2" s="12" t="s">
        <v>26</v>
      </c>
      <c r="H2" s="2" t="s">
        <v>18</v>
      </c>
      <c r="I2" s="12" t="s">
        <v>632</v>
      </c>
      <c r="J2" s="2" t="s">
        <v>633</v>
      </c>
      <c r="K2" s="52" t="s">
        <v>21</v>
      </c>
      <c r="L2" s="14" t="s">
        <v>29</v>
      </c>
      <c r="M2" s="16">
        <v>43313.0</v>
      </c>
      <c r="N2" s="95" t="s">
        <v>634</v>
      </c>
      <c r="O2" s="2" t="s">
        <v>96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>
      <c r="A3" s="7"/>
      <c r="B3" s="8" t="s">
        <v>34</v>
      </c>
      <c r="C3" s="9">
        <f t="shared" si="1"/>
        <v>16002</v>
      </c>
      <c r="D3" s="10" t="s">
        <v>14</v>
      </c>
      <c r="E3" s="11" t="s">
        <v>635</v>
      </c>
      <c r="F3" s="2" t="s">
        <v>636</v>
      </c>
      <c r="G3" s="2" t="s">
        <v>26</v>
      </c>
      <c r="H3" s="2" t="s">
        <v>18</v>
      </c>
      <c r="I3" s="12" t="s">
        <v>637</v>
      </c>
      <c r="J3" s="2" t="s">
        <v>638</v>
      </c>
      <c r="K3" s="2" t="s">
        <v>21</v>
      </c>
      <c r="L3" s="14" t="s">
        <v>639</v>
      </c>
      <c r="M3" s="15">
        <v>43407.0</v>
      </c>
      <c r="N3" s="17" t="s">
        <v>640</v>
      </c>
      <c r="O3" s="2" t="s">
        <v>641</v>
      </c>
      <c r="P3" s="112" t="s">
        <v>642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>
      <c r="A4" s="7"/>
      <c r="B4" s="8" t="s">
        <v>40</v>
      </c>
      <c r="C4" s="9">
        <f t="shared" si="1"/>
        <v>16003</v>
      </c>
      <c r="D4" s="10" t="s">
        <v>14</v>
      </c>
      <c r="E4" s="11" t="s">
        <v>643</v>
      </c>
      <c r="F4" s="12" t="s">
        <v>631</v>
      </c>
      <c r="G4" s="12" t="s">
        <v>26</v>
      </c>
      <c r="H4" s="2" t="s">
        <v>18</v>
      </c>
      <c r="I4" s="12" t="s">
        <v>644</v>
      </c>
      <c r="J4" s="2" t="s">
        <v>617</v>
      </c>
      <c r="K4" s="52" t="s">
        <v>21</v>
      </c>
      <c r="L4" s="14" t="s">
        <v>639</v>
      </c>
      <c r="M4" s="15">
        <v>43407.0</v>
      </c>
      <c r="N4" s="17" t="s">
        <v>645</v>
      </c>
      <c r="O4" s="2" t="s">
        <v>641</v>
      </c>
      <c r="P4" s="113" t="str">
        <f>HYPERLINK("https://www.mcmaster.com/4639k743","https://www.mcmaster.com/4639k743
Search for part ""4639K743""")</f>
        <v>https://www.mcmaster.com/4639k743
Search for part "4639K743"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>
      <c r="A5" s="7"/>
      <c r="B5" s="8" t="s">
        <v>41</v>
      </c>
      <c r="C5" s="9">
        <f t="shared" si="1"/>
        <v>16004</v>
      </c>
      <c r="D5" s="10" t="s">
        <v>14</v>
      </c>
      <c r="E5" s="11" t="s">
        <v>646</v>
      </c>
      <c r="F5" s="2" t="s">
        <v>636</v>
      </c>
      <c r="G5" s="2" t="s">
        <v>26</v>
      </c>
      <c r="H5" s="2" t="s">
        <v>18</v>
      </c>
      <c r="I5" s="12" t="s">
        <v>647</v>
      </c>
      <c r="J5" s="2" t="s">
        <v>648</v>
      </c>
      <c r="K5" s="2" t="s">
        <v>21</v>
      </c>
      <c r="L5" s="14" t="s">
        <v>639</v>
      </c>
      <c r="M5" s="15">
        <v>43407.0</v>
      </c>
      <c r="N5" s="17" t="s">
        <v>649</v>
      </c>
      <c r="O5" s="2" t="s">
        <v>641</v>
      </c>
      <c r="P5" s="112" t="s">
        <v>650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>
      <c r="A6" s="7"/>
      <c r="B6" s="8" t="s">
        <v>42</v>
      </c>
      <c r="C6" s="9">
        <f t="shared" si="1"/>
        <v>16005</v>
      </c>
      <c r="D6" s="10" t="s">
        <v>14</v>
      </c>
      <c r="E6" s="11" t="s">
        <v>630</v>
      </c>
      <c r="F6" s="2" t="s">
        <v>636</v>
      </c>
      <c r="G6" s="2" t="s">
        <v>26</v>
      </c>
      <c r="H6" s="2" t="s">
        <v>18</v>
      </c>
      <c r="I6" s="12" t="s">
        <v>651</v>
      </c>
      <c r="J6" s="2" t="s">
        <v>652</v>
      </c>
      <c r="K6" s="2" t="s">
        <v>21</v>
      </c>
      <c r="L6" s="14" t="s">
        <v>418</v>
      </c>
      <c r="M6" s="15">
        <v>43414.0</v>
      </c>
      <c r="O6" s="2" t="s">
        <v>653</v>
      </c>
      <c r="P6" s="17" t="s">
        <v>654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>
      <c r="A7" s="7"/>
      <c r="B7" s="8" t="s">
        <v>46</v>
      </c>
      <c r="C7" s="9">
        <f t="shared" si="1"/>
        <v>16006</v>
      </c>
      <c r="D7" s="10" t="s">
        <v>14</v>
      </c>
      <c r="E7" s="11" t="s">
        <v>655</v>
      </c>
      <c r="F7" s="2" t="s">
        <v>636</v>
      </c>
      <c r="G7" s="2" t="s">
        <v>26</v>
      </c>
      <c r="H7" s="2" t="s">
        <v>18</v>
      </c>
      <c r="I7" s="12" t="s">
        <v>656</v>
      </c>
      <c r="J7" s="2" t="s">
        <v>652</v>
      </c>
      <c r="K7" s="2" t="s">
        <v>21</v>
      </c>
      <c r="L7" s="14" t="s">
        <v>418</v>
      </c>
      <c r="M7" s="15">
        <v>43414.0</v>
      </c>
      <c r="N7" s="14"/>
      <c r="O7" s="2" t="s">
        <v>653</v>
      </c>
      <c r="P7" s="112" t="s">
        <v>657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>
      <c r="A8" s="7"/>
      <c r="B8" s="8" t="s">
        <v>49</v>
      </c>
      <c r="C8" s="9">
        <f t="shared" si="1"/>
        <v>16007</v>
      </c>
      <c r="D8" s="10" t="s">
        <v>14</v>
      </c>
      <c r="E8" s="11" t="s">
        <v>658</v>
      </c>
      <c r="F8" s="2" t="s">
        <v>636</v>
      </c>
      <c r="G8" s="2" t="s">
        <v>26</v>
      </c>
      <c r="H8" s="2" t="s">
        <v>18</v>
      </c>
      <c r="I8" s="12" t="s">
        <v>659</v>
      </c>
      <c r="J8" s="2" t="s">
        <v>617</v>
      </c>
      <c r="K8" s="2" t="s">
        <v>21</v>
      </c>
      <c r="L8" s="14" t="s">
        <v>418</v>
      </c>
      <c r="M8" s="15">
        <v>43414.0</v>
      </c>
      <c r="N8" s="14"/>
      <c r="O8" s="2" t="s">
        <v>653</v>
      </c>
      <c r="P8" s="112" t="s">
        <v>660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>
      <c r="A9" s="7"/>
      <c r="B9" s="8" t="s">
        <v>50</v>
      </c>
      <c r="C9" s="9">
        <f t="shared" si="1"/>
        <v>16008</v>
      </c>
      <c r="D9" s="10" t="s">
        <v>14</v>
      </c>
      <c r="E9" s="11" t="s">
        <v>661</v>
      </c>
      <c r="F9" s="2" t="s">
        <v>636</v>
      </c>
      <c r="G9" s="2" t="s">
        <v>26</v>
      </c>
      <c r="H9" s="2" t="s">
        <v>18</v>
      </c>
      <c r="I9" s="12" t="s">
        <v>662</v>
      </c>
      <c r="J9" s="2" t="s">
        <v>663</v>
      </c>
      <c r="K9" s="2" t="s">
        <v>21</v>
      </c>
      <c r="L9" s="14" t="s">
        <v>418</v>
      </c>
      <c r="M9" s="15">
        <v>43414.0</v>
      </c>
      <c r="N9" s="14"/>
      <c r="O9" s="2" t="s">
        <v>653</v>
      </c>
      <c r="P9" s="112" t="s">
        <v>664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>
      <c r="A10" s="7"/>
      <c r="B10" s="8" t="s">
        <v>53</v>
      </c>
      <c r="C10" s="9">
        <f t="shared" si="1"/>
        <v>16009</v>
      </c>
      <c r="D10" s="10" t="s">
        <v>14</v>
      </c>
      <c r="E10" s="55" t="s">
        <v>665</v>
      </c>
      <c r="F10" s="2" t="s">
        <v>636</v>
      </c>
      <c r="G10" s="2" t="s">
        <v>26</v>
      </c>
      <c r="H10" s="2" t="s">
        <v>18</v>
      </c>
      <c r="I10" s="12" t="s">
        <v>666</v>
      </c>
      <c r="J10" s="2" t="s">
        <v>663</v>
      </c>
      <c r="K10" s="2" t="s">
        <v>21</v>
      </c>
      <c r="L10" s="14" t="s">
        <v>418</v>
      </c>
      <c r="M10" s="15">
        <v>43414.0</v>
      </c>
      <c r="N10" s="14"/>
      <c r="O10" s="2" t="s">
        <v>653</v>
      </c>
      <c r="P10" s="112" t="s">
        <v>667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ht="59.25" customHeight="1">
      <c r="A11" s="7"/>
      <c r="B11" s="8" t="s">
        <v>56</v>
      </c>
      <c r="C11" s="9">
        <f t="shared" si="1"/>
        <v>16010</v>
      </c>
      <c r="D11" s="10" t="s">
        <v>14</v>
      </c>
      <c r="E11" s="55" t="s">
        <v>668</v>
      </c>
      <c r="F11" s="2" t="s">
        <v>636</v>
      </c>
      <c r="G11" s="2" t="s">
        <v>26</v>
      </c>
      <c r="H11" s="2" t="s">
        <v>18</v>
      </c>
      <c r="I11" s="12" t="s">
        <v>669</v>
      </c>
      <c r="J11" s="93" t="s">
        <v>638</v>
      </c>
      <c r="K11" s="2" t="s">
        <v>21</v>
      </c>
      <c r="L11" s="14" t="s">
        <v>418</v>
      </c>
      <c r="M11" s="15">
        <v>43414.0</v>
      </c>
      <c r="N11" s="20"/>
      <c r="O11" s="2" t="s">
        <v>670</v>
      </c>
      <c r="P11" s="112" t="s">
        <v>671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>
      <c r="A12" s="7"/>
      <c r="B12" s="8" t="s">
        <v>57</v>
      </c>
      <c r="C12" s="53">
        <f t="shared" si="1"/>
        <v>16011</v>
      </c>
      <c r="D12" s="54" t="s">
        <v>43</v>
      </c>
      <c r="E12" s="55" t="s">
        <v>672</v>
      </c>
      <c r="F12" s="56" t="s">
        <v>67</v>
      </c>
      <c r="G12" s="56" t="s">
        <v>26</v>
      </c>
      <c r="H12" s="56" t="s">
        <v>18</v>
      </c>
      <c r="I12" s="57" t="s">
        <v>673</v>
      </c>
      <c r="J12" s="114" t="s">
        <v>674</v>
      </c>
      <c r="K12" s="56" t="s">
        <v>21</v>
      </c>
      <c r="L12" s="59" t="s">
        <v>675</v>
      </c>
      <c r="M12" s="115">
        <v>43544.0</v>
      </c>
      <c r="N12" s="116" t="str">
        <f>HYPERLINK("https://drive.google.com/open?id=1TsyiGiXTG7dG2ncj1Z6vU0YxC4pEyeBh","Link")</f>
        <v>Link</v>
      </c>
      <c r="O12" s="56" t="s">
        <v>653</v>
      </c>
      <c r="P12" s="117" t="str">
        <f>HYPERLINK("https://www.mcmaster.com/90201A117","Link")</f>
        <v>Link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>
      <c r="A13" s="7"/>
      <c r="B13" s="8" t="s">
        <v>61</v>
      </c>
      <c r="C13" s="53">
        <f t="shared" si="1"/>
        <v>16012</v>
      </c>
      <c r="D13" s="54" t="s">
        <v>35</v>
      </c>
      <c r="E13" s="55" t="s">
        <v>676</v>
      </c>
      <c r="F13" s="56" t="s">
        <v>67</v>
      </c>
      <c r="G13" s="56" t="s">
        <v>26</v>
      </c>
      <c r="H13" s="56" t="s">
        <v>18</v>
      </c>
      <c r="I13" s="57" t="s">
        <v>677</v>
      </c>
      <c r="J13" s="114" t="s">
        <v>674</v>
      </c>
      <c r="K13" s="56" t="s">
        <v>21</v>
      </c>
      <c r="L13" s="59" t="s">
        <v>675</v>
      </c>
      <c r="M13" s="115">
        <v>43545.0</v>
      </c>
      <c r="N13" s="116" t="str">
        <f>HYPERLINK("https://drive.google.com/open?id=1M5ynUY5sRvI7bh_zTs-NO_hahdIm5QE8","Link")</f>
        <v>Link</v>
      </c>
      <c r="O13" s="56" t="s">
        <v>653</v>
      </c>
      <c r="P13" s="117" t="str">
        <f>HYPERLINK("https://www.mcmaster.com/91257a550","Link")</f>
        <v>Link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>
      <c r="A14" s="7"/>
      <c r="B14" s="8" t="s">
        <v>64</v>
      </c>
      <c r="C14" s="53">
        <f t="shared" si="1"/>
        <v>16013</v>
      </c>
      <c r="D14" s="54" t="s">
        <v>90</v>
      </c>
      <c r="E14" s="55" t="s">
        <v>678</v>
      </c>
      <c r="F14" s="56" t="s">
        <v>67</v>
      </c>
      <c r="G14" s="56" t="s">
        <v>26</v>
      </c>
      <c r="H14" s="56" t="s">
        <v>18</v>
      </c>
      <c r="I14" s="57" t="s">
        <v>679</v>
      </c>
      <c r="J14" s="114" t="s">
        <v>674</v>
      </c>
      <c r="K14" s="56" t="s">
        <v>21</v>
      </c>
      <c r="L14" s="59" t="s">
        <v>675</v>
      </c>
      <c r="M14" s="115">
        <v>43546.0</v>
      </c>
      <c r="N14" s="116" t="str">
        <f>HYPERLINK("https://drive.google.com/open?id=1chMTOA0of2-AZS6AIQrjsnSndvMihp2A","Link")</f>
        <v>Link</v>
      </c>
      <c r="O14" s="56" t="s">
        <v>653</v>
      </c>
      <c r="P14" s="117" t="str">
        <f>HYPERLINK("https://www.mcmaster.com/94895a029","Link")</f>
        <v>Link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>
      <c r="A15" s="7"/>
      <c r="B15" s="8" t="s">
        <v>65</v>
      </c>
      <c r="C15" s="9">
        <f t="shared" si="1"/>
        <v>16014</v>
      </c>
      <c r="D15" s="10"/>
      <c r="E15" s="11"/>
      <c r="F15" s="18"/>
      <c r="G15" s="2"/>
      <c r="H15" s="2"/>
      <c r="I15" s="12"/>
      <c r="J15" s="2"/>
      <c r="K15" s="2"/>
      <c r="L15" s="2"/>
      <c r="M15" s="21"/>
      <c r="N15" s="14"/>
      <c r="O15" s="18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>
      <c r="A16" s="7"/>
      <c r="B16" s="8" t="s">
        <v>71</v>
      </c>
      <c r="C16" s="9">
        <f t="shared" si="1"/>
        <v>16015</v>
      </c>
      <c r="D16" s="10"/>
      <c r="E16" s="11"/>
      <c r="F16" s="18"/>
      <c r="G16" s="2"/>
      <c r="H16" s="18"/>
      <c r="I16" s="12"/>
      <c r="J16" s="2"/>
      <c r="K16" s="2"/>
      <c r="L16" s="2"/>
      <c r="M16" s="21"/>
      <c r="N16" s="14"/>
      <c r="O16" s="18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>
      <c r="A17" s="7"/>
      <c r="B17" s="8" t="s">
        <v>72</v>
      </c>
      <c r="C17" s="9">
        <f t="shared" si="1"/>
        <v>16016</v>
      </c>
      <c r="D17" s="10"/>
      <c r="E17" s="11"/>
      <c r="F17" s="18"/>
      <c r="G17" s="2"/>
      <c r="H17" s="18"/>
      <c r="I17" s="12"/>
      <c r="J17" s="2"/>
      <c r="K17" s="2"/>
      <c r="L17" s="2"/>
      <c r="M17" s="21"/>
      <c r="N17" s="14"/>
      <c r="O17" s="18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>
      <c r="A18" s="7"/>
      <c r="B18" s="8" t="s">
        <v>73</v>
      </c>
      <c r="C18" s="9">
        <f t="shared" si="1"/>
        <v>16017</v>
      </c>
      <c r="D18" s="10"/>
      <c r="E18" s="11"/>
      <c r="F18" s="18"/>
      <c r="G18" s="2"/>
      <c r="H18" s="18"/>
      <c r="I18" s="12"/>
      <c r="J18" s="2"/>
      <c r="K18" s="2"/>
      <c r="L18" s="2"/>
      <c r="M18" s="21"/>
      <c r="N18" s="14"/>
      <c r="O18" s="1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>
      <c r="A19" s="7"/>
      <c r="B19" s="8" t="s">
        <v>75</v>
      </c>
      <c r="C19" s="9">
        <f t="shared" si="1"/>
        <v>16018</v>
      </c>
      <c r="D19" s="10"/>
      <c r="E19" s="11"/>
      <c r="F19" s="18"/>
      <c r="G19" s="2"/>
      <c r="H19" s="18"/>
      <c r="I19" s="12"/>
      <c r="J19" s="2"/>
      <c r="K19" s="2"/>
      <c r="L19" s="2"/>
      <c r="M19" s="21"/>
      <c r="N19" s="14"/>
      <c r="O19" s="18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>
      <c r="A20" s="7"/>
      <c r="B20" s="8" t="s">
        <v>79</v>
      </c>
      <c r="C20" s="9">
        <f t="shared" si="1"/>
        <v>16019</v>
      </c>
      <c r="D20" s="10"/>
      <c r="E20" s="11"/>
      <c r="F20" s="18"/>
      <c r="G20" s="2"/>
      <c r="H20" s="18"/>
      <c r="I20" s="22"/>
      <c r="J20" s="2"/>
      <c r="K20" s="2"/>
      <c r="L20" s="2"/>
      <c r="M20" s="21"/>
      <c r="N20" s="14"/>
      <c r="O20" s="18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>
      <c r="A21" s="7"/>
      <c r="B21" s="8" t="s">
        <v>80</v>
      </c>
      <c r="C21" s="9">
        <f t="shared" si="1"/>
        <v>16020</v>
      </c>
      <c r="D21" s="10"/>
      <c r="E21" s="11"/>
      <c r="F21" s="18"/>
      <c r="G21" s="2"/>
      <c r="H21" s="18"/>
      <c r="I21" s="22"/>
      <c r="J21" s="2"/>
      <c r="K21" s="2"/>
      <c r="L21" s="2"/>
      <c r="M21" s="21"/>
      <c r="N21" s="14"/>
      <c r="O21" s="18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>
      <c r="A22" s="7"/>
      <c r="B22" s="8" t="s">
        <v>81</v>
      </c>
      <c r="C22" s="9">
        <f t="shared" si="1"/>
        <v>16021</v>
      </c>
      <c r="D22" s="10"/>
      <c r="E22" s="23"/>
      <c r="F22" s="18"/>
      <c r="G22" s="2"/>
      <c r="H22" s="18"/>
      <c r="I22" s="12"/>
      <c r="J22" s="2"/>
      <c r="K22" s="2"/>
      <c r="L22" s="2"/>
      <c r="M22" s="18"/>
      <c r="N22" s="24"/>
      <c r="O22" s="18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>
      <c r="A23" s="7"/>
      <c r="B23" s="8" t="s">
        <v>88</v>
      </c>
      <c r="C23" s="9">
        <f t="shared" si="1"/>
        <v>16022</v>
      </c>
      <c r="D23" s="10"/>
      <c r="E23" s="23"/>
      <c r="F23" s="18"/>
      <c r="G23" s="2"/>
      <c r="H23" s="18"/>
      <c r="I23" s="12"/>
      <c r="J23" s="2"/>
      <c r="K23" s="2"/>
      <c r="L23" s="2"/>
      <c r="M23" s="21"/>
      <c r="N23" s="14"/>
      <c r="O23" s="18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>
      <c r="A24" s="7"/>
      <c r="B24" s="8" t="s">
        <v>89</v>
      </c>
      <c r="C24" s="9">
        <f t="shared" si="1"/>
        <v>16023</v>
      </c>
      <c r="D24" s="10"/>
      <c r="E24" s="23"/>
      <c r="F24" s="18"/>
      <c r="G24" s="2"/>
      <c r="H24" s="18"/>
      <c r="I24" s="12"/>
      <c r="J24" s="2"/>
      <c r="K24" s="2"/>
      <c r="L24" s="2"/>
      <c r="M24" s="21"/>
      <c r="N24" s="14"/>
      <c r="O24" s="18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>
      <c r="A25" s="7"/>
      <c r="B25" s="8" t="s">
        <v>93</v>
      </c>
      <c r="C25" s="9">
        <f t="shared" si="1"/>
        <v>16024</v>
      </c>
      <c r="D25" s="10"/>
      <c r="E25" s="23"/>
      <c r="F25" s="18"/>
      <c r="G25" s="2"/>
      <c r="H25" s="18"/>
      <c r="I25" s="12"/>
      <c r="J25" s="2"/>
      <c r="K25" s="2"/>
      <c r="L25" s="2"/>
      <c r="M25" s="21"/>
      <c r="N25" s="14"/>
      <c r="O25" s="18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>
      <c r="A26" s="7"/>
      <c r="B26" s="8" t="s">
        <v>94</v>
      </c>
      <c r="C26" s="9">
        <f t="shared" si="1"/>
        <v>16025</v>
      </c>
      <c r="D26" s="10"/>
      <c r="E26" s="23"/>
      <c r="F26" s="18"/>
      <c r="G26" s="2"/>
      <c r="H26" s="18"/>
      <c r="I26" s="12"/>
      <c r="J26" s="2"/>
      <c r="K26" s="2"/>
      <c r="L26" s="2"/>
      <c r="M26" s="21"/>
      <c r="N26" s="24"/>
      <c r="O26" s="18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>
      <c r="A27" s="7"/>
      <c r="B27" s="8" t="s">
        <v>95</v>
      </c>
      <c r="C27" s="9">
        <f t="shared" si="1"/>
        <v>16026</v>
      </c>
      <c r="D27" s="10"/>
      <c r="E27" s="23"/>
      <c r="F27" s="18"/>
      <c r="G27" s="2"/>
      <c r="H27" s="18"/>
      <c r="I27" s="12"/>
      <c r="J27" s="2"/>
      <c r="K27" s="2"/>
      <c r="L27" s="2"/>
      <c r="M27" s="21"/>
      <c r="N27" s="24"/>
      <c r="O27" s="18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>
      <c r="A28" s="7"/>
      <c r="B28" s="8" t="s">
        <v>97</v>
      </c>
      <c r="C28" s="9">
        <f t="shared" si="1"/>
        <v>16029</v>
      </c>
      <c r="D28" s="10"/>
      <c r="E28" s="11"/>
      <c r="F28" s="18"/>
      <c r="G28" s="2"/>
      <c r="H28" s="18"/>
      <c r="I28" s="25"/>
      <c r="J28" s="2"/>
      <c r="K28" s="2"/>
      <c r="L28" s="2"/>
      <c r="M28" s="26"/>
      <c r="N28" s="2"/>
      <c r="O28" s="18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>
      <c r="A29" s="7"/>
      <c r="B29" s="8" t="s">
        <v>102</v>
      </c>
      <c r="C29" s="9">
        <f t="shared" si="1"/>
        <v>16030</v>
      </c>
      <c r="D29" s="10"/>
      <c r="E29" s="11"/>
      <c r="F29" s="18"/>
      <c r="G29" s="2"/>
      <c r="H29" s="18"/>
      <c r="I29" s="25"/>
      <c r="J29" s="2"/>
      <c r="K29" s="2"/>
      <c r="L29" s="2"/>
      <c r="M29" s="26"/>
      <c r="N29" s="2"/>
      <c r="O29" s="18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>
      <c r="A30" s="7"/>
      <c r="B30" s="8" t="s">
        <v>103</v>
      </c>
      <c r="C30" s="9">
        <f t="shared" si="1"/>
        <v>16031</v>
      </c>
      <c r="D30" s="10"/>
      <c r="E30" s="11"/>
      <c r="F30" s="2"/>
      <c r="G30" s="2"/>
      <c r="H30" s="18"/>
      <c r="I30" s="25"/>
      <c r="J30" s="2"/>
      <c r="K30" s="2"/>
      <c r="L30" s="2"/>
      <c r="M30" s="26"/>
      <c r="N30" s="2"/>
      <c r="O30" s="18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>
      <c r="A31" s="7"/>
      <c r="B31" s="8" t="s">
        <v>104</v>
      </c>
      <c r="C31" s="9">
        <f t="shared" si="1"/>
        <v>16032</v>
      </c>
      <c r="D31" s="10"/>
      <c r="E31" s="11"/>
      <c r="F31" s="2"/>
      <c r="G31" s="2"/>
      <c r="H31" s="18"/>
      <c r="I31" s="25"/>
      <c r="J31" s="2"/>
      <c r="K31" s="2"/>
      <c r="L31" s="2"/>
      <c r="M31" s="26"/>
      <c r="N31" s="2"/>
      <c r="O31" s="18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>
      <c r="A32" s="7"/>
      <c r="B32" s="8" t="s">
        <v>105</v>
      </c>
      <c r="C32" s="9">
        <f t="shared" si="1"/>
        <v>16033</v>
      </c>
      <c r="D32" s="10"/>
      <c r="E32" s="11"/>
      <c r="F32" s="2"/>
      <c r="G32" s="2"/>
      <c r="H32" s="18"/>
      <c r="I32" s="25"/>
      <c r="J32" s="2"/>
      <c r="K32" s="2"/>
      <c r="L32" s="2"/>
      <c r="M32" s="26"/>
      <c r="N32" s="2"/>
      <c r="O32" s="18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>
      <c r="A33" s="7"/>
      <c r="B33" s="8" t="s">
        <v>106</v>
      </c>
      <c r="C33" s="9">
        <f t="shared" si="1"/>
        <v>16034</v>
      </c>
      <c r="D33" s="10"/>
      <c r="E33" s="11"/>
      <c r="F33" s="2"/>
      <c r="G33" s="2"/>
      <c r="I33" s="12"/>
      <c r="J33" s="2"/>
      <c r="K33" s="2"/>
      <c r="L33" s="2"/>
      <c r="M33" s="26"/>
      <c r="N33" s="18"/>
      <c r="O33" s="18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>
      <c r="A34" s="7"/>
      <c r="B34" s="8" t="s">
        <v>107</v>
      </c>
      <c r="C34" s="9">
        <f t="shared" si="1"/>
        <v>16035</v>
      </c>
      <c r="D34" s="10"/>
      <c r="E34" s="11"/>
      <c r="F34" s="2"/>
      <c r="G34" s="2"/>
      <c r="H34" s="18"/>
      <c r="I34" s="12"/>
      <c r="J34" s="2"/>
      <c r="K34" s="2"/>
      <c r="L34" s="2"/>
      <c r="M34" s="26"/>
      <c r="N34" s="18"/>
      <c r="O34" s="18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>
      <c r="A35" s="7"/>
      <c r="B35" s="8" t="s">
        <v>110</v>
      </c>
      <c r="C35" s="9">
        <f t="shared" si="1"/>
        <v>16036</v>
      </c>
      <c r="D35" s="10"/>
      <c r="E35" s="11"/>
      <c r="F35" s="2"/>
      <c r="G35" s="2"/>
      <c r="H35" s="18"/>
      <c r="I35" s="12"/>
      <c r="J35" s="2"/>
      <c r="K35" s="2"/>
      <c r="L35" s="2"/>
      <c r="M35" s="26"/>
      <c r="N35" s="18"/>
      <c r="O35" s="18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>
      <c r="A36" s="7"/>
      <c r="B36" s="8" t="s">
        <v>113</v>
      </c>
      <c r="C36" s="9">
        <f t="shared" si="1"/>
        <v>16037</v>
      </c>
      <c r="D36" s="28"/>
      <c r="E36" s="29"/>
      <c r="F36" s="18"/>
      <c r="G36" s="18"/>
      <c r="H36" s="18"/>
      <c r="I36" s="25"/>
      <c r="J36" s="18"/>
      <c r="K36" s="18"/>
      <c r="L36" s="18"/>
      <c r="M36" s="18"/>
      <c r="N36" s="18"/>
      <c r="O36" s="18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>
      <c r="A37" s="7"/>
      <c r="B37" s="8" t="s">
        <v>114</v>
      </c>
      <c r="C37" s="9">
        <f t="shared" si="1"/>
        <v>16038</v>
      </c>
      <c r="D37" s="28"/>
      <c r="E37" s="29"/>
      <c r="F37" s="18"/>
      <c r="G37" s="18"/>
      <c r="H37" s="18"/>
      <c r="I37" s="25"/>
      <c r="J37" s="18"/>
      <c r="K37" s="18"/>
      <c r="L37" s="18"/>
      <c r="M37" s="18"/>
      <c r="N37" s="18"/>
      <c r="O37" s="18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>
      <c r="A38" s="7"/>
      <c r="B38" s="8" t="s">
        <v>116</v>
      </c>
      <c r="C38" s="9">
        <f t="shared" si="1"/>
        <v>16039</v>
      </c>
      <c r="D38" s="28"/>
      <c r="E38" s="29"/>
      <c r="F38" s="18"/>
      <c r="G38" s="18"/>
      <c r="H38" s="18"/>
      <c r="I38" s="25"/>
      <c r="J38" s="18"/>
      <c r="K38" s="18"/>
      <c r="L38" s="18"/>
      <c r="M38" s="18"/>
      <c r="N38" s="18"/>
      <c r="O38" s="18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>
      <c r="A39" s="7"/>
      <c r="B39" s="8" t="s">
        <v>123</v>
      </c>
      <c r="C39" s="9">
        <f t="shared" si="1"/>
        <v>16040</v>
      </c>
      <c r="D39" s="28"/>
      <c r="E39" s="29"/>
      <c r="F39" s="18"/>
      <c r="G39" s="18"/>
      <c r="H39" s="18"/>
      <c r="I39" s="25"/>
      <c r="J39" s="18"/>
      <c r="K39" s="18"/>
      <c r="L39" s="18"/>
      <c r="M39" s="18"/>
      <c r="N39" s="18"/>
      <c r="O39" s="18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>
      <c r="A40" s="7"/>
      <c r="B40" s="8" t="s">
        <v>125</v>
      </c>
      <c r="C40" s="9">
        <f t="shared" si="1"/>
        <v>16041</v>
      </c>
      <c r="D40" s="28"/>
      <c r="E40" s="29"/>
      <c r="F40" s="18"/>
      <c r="G40" s="18"/>
      <c r="H40" s="18"/>
      <c r="I40" s="25"/>
      <c r="J40" s="18"/>
      <c r="K40" s="18"/>
      <c r="L40" s="18"/>
      <c r="M40" s="18"/>
      <c r="N40" s="18"/>
      <c r="O40" s="18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>
      <c r="A41" s="7"/>
      <c r="B41" s="8" t="s">
        <v>126</v>
      </c>
      <c r="C41" s="9">
        <f t="shared" si="1"/>
        <v>16042</v>
      </c>
      <c r="D41" s="28"/>
      <c r="E41" s="29"/>
      <c r="F41" s="18"/>
      <c r="G41" s="18"/>
      <c r="H41" s="18"/>
      <c r="I41" s="25"/>
      <c r="J41" s="18"/>
      <c r="K41" s="18"/>
      <c r="L41" s="18"/>
      <c r="M41" s="18"/>
      <c r="N41" s="18"/>
      <c r="O41" s="18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>
      <c r="A42" s="7"/>
      <c r="B42" s="8" t="s">
        <v>127</v>
      </c>
      <c r="C42" s="9">
        <f t="shared" si="1"/>
        <v>16043</v>
      </c>
      <c r="D42" s="10"/>
      <c r="E42" s="31"/>
      <c r="F42" s="2"/>
      <c r="G42" s="2"/>
      <c r="H42" s="2"/>
      <c r="I42" s="12"/>
      <c r="J42" s="2"/>
      <c r="K42" s="2"/>
      <c r="L42" s="2"/>
      <c r="M42" s="26"/>
      <c r="N42" s="32"/>
      <c r="O42" s="18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>
      <c r="A43" s="7"/>
      <c r="B43" s="8" t="s">
        <v>128</v>
      </c>
      <c r="C43" s="9">
        <f t="shared" si="1"/>
        <v>16044</v>
      </c>
      <c r="D43" s="10"/>
      <c r="E43" s="31"/>
      <c r="F43" s="2"/>
      <c r="G43" s="2"/>
      <c r="H43" s="2"/>
      <c r="I43" s="12"/>
      <c r="J43" s="2"/>
      <c r="K43" s="2"/>
      <c r="L43" s="2"/>
      <c r="M43" s="26"/>
      <c r="N43" s="32"/>
      <c r="O43" s="18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>
      <c r="A44" s="7"/>
      <c r="B44" s="8" t="s">
        <v>129</v>
      </c>
      <c r="C44" s="9">
        <f t="shared" si="1"/>
        <v>16045</v>
      </c>
      <c r="D44" s="10"/>
      <c r="E44" s="31"/>
      <c r="F44" s="2"/>
      <c r="G44" s="2"/>
      <c r="H44" s="2"/>
      <c r="I44" s="12"/>
      <c r="J44" s="2"/>
      <c r="K44" s="2"/>
      <c r="L44" s="2"/>
      <c r="M44" s="26"/>
      <c r="N44" s="32"/>
      <c r="O44" s="18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>
      <c r="A45" s="7"/>
      <c r="B45" s="8" t="s">
        <v>130</v>
      </c>
      <c r="C45" s="9">
        <f t="shared" si="1"/>
        <v>16046</v>
      </c>
      <c r="D45" s="10"/>
      <c r="E45" s="31"/>
      <c r="F45" s="2"/>
      <c r="G45" s="2"/>
      <c r="H45" s="2"/>
      <c r="I45" s="12"/>
      <c r="J45" s="2"/>
      <c r="K45" s="2"/>
      <c r="L45" s="2"/>
      <c r="M45" s="26"/>
      <c r="N45" s="32"/>
      <c r="O45" s="18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>
      <c r="A46" s="7"/>
      <c r="B46" s="8" t="s">
        <v>131</v>
      </c>
      <c r="C46" s="9">
        <f t="shared" si="1"/>
        <v>16047</v>
      </c>
      <c r="D46" s="10"/>
      <c r="E46" s="31"/>
      <c r="F46" s="2"/>
      <c r="G46" s="2"/>
      <c r="H46" s="2"/>
      <c r="I46" s="25"/>
      <c r="J46" s="2"/>
      <c r="K46" s="18"/>
      <c r="L46" s="18"/>
      <c r="M46" s="18"/>
      <c r="N46" s="32"/>
      <c r="O46" s="18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>
      <c r="A47" s="7"/>
      <c r="B47" s="8" t="s">
        <v>132</v>
      </c>
      <c r="C47" s="9">
        <f t="shared" si="1"/>
        <v>16048</v>
      </c>
      <c r="D47" s="10"/>
      <c r="E47" s="31"/>
      <c r="F47" s="2"/>
      <c r="G47" s="2"/>
      <c r="H47" s="2"/>
      <c r="I47" s="25"/>
      <c r="J47" s="2"/>
      <c r="K47" s="18"/>
      <c r="L47" s="18"/>
      <c r="M47" s="18"/>
      <c r="N47" s="32"/>
      <c r="O47" s="18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>
      <c r="A48" s="7"/>
      <c r="B48" s="8" t="s">
        <v>133</v>
      </c>
      <c r="C48" s="9">
        <f t="shared" si="1"/>
        <v>16049</v>
      </c>
      <c r="D48" s="10"/>
      <c r="E48" s="31"/>
      <c r="F48" s="2"/>
      <c r="G48" s="2"/>
      <c r="H48" s="2"/>
      <c r="I48" s="25"/>
      <c r="J48" s="2"/>
      <c r="K48" s="2"/>
      <c r="L48" s="2"/>
      <c r="M48" s="26"/>
      <c r="N48" s="32"/>
      <c r="O48" s="18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>
      <c r="A49" s="7"/>
      <c r="B49" s="8" t="s">
        <v>134</v>
      </c>
      <c r="C49" s="9">
        <f t="shared" si="1"/>
        <v>16050</v>
      </c>
      <c r="D49" s="10"/>
      <c r="E49" s="31"/>
      <c r="F49" s="2"/>
      <c r="G49" s="2"/>
      <c r="H49" s="2"/>
      <c r="I49" s="25"/>
      <c r="J49" s="2"/>
      <c r="K49" s="2"/>
      <c r="L49" s="2"/>
      <c r="M49" s="26"/>
      <c r="N49" s="32"/>
      <c r="O49" s="18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>
      <c r="A50" s="7"/>
      <c r="B50" s="8" t="s">
        <v>135</v>
      </c>
      <c r="C50" s="9">
        <f t="shared" si="1"/>
        <v>16051</v>
      </c>
      <c r="D50" s="10"/>
      <c r="E50" s="31"/>
      <c r="F50" s="2"/>
      <c r="G50" s="2"/>
      <c r="H50" s="2"/>
      <c r="I50" s="25"/>
      <c r="J50" s="2"/>
      <c r="K50" s="2"/>
      <c r="L50" s="2"/>
      <c r="M50" s="26"/>
      <c r="N50" s="32"/>
      <c r="O50" s="18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>
      <c r="A51" s="7"/>
      <c r="B51" s="8" t="s">
        <v>136</v>
      </c>
      <c r="C51" s="9">
        <f t="shared" si="1"/>
        <v>16052</v>
      </c>
      <c r="D51" s="10"/>
      <c r="E51" s="31"/>
      <c r="F51" s="2"/>
      <c r="G51" s="2"/>
      <c r="H51" s="2"/>
      <c r="I51" s="12"/>
      <c r="J51" s="2"/>
      <c r="K51" s="2"/>
      <c r="L51" s="2"/>
      <c r="M51" s="26"/>
      <c r="N51" s="32"/>
      <c r="O51" s="18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>
      <c r="A52" s="7"/>
      <c r="B52" s="8" t="s">
        <v>137</v>
      </c>
      <c r="C52" s="9">
        <f t="shared" si="1"/>
        <v>16053</v>
      </c>
      <c r="D52" s="10"/>
      <c r="E52" s="31"/>
      <c r="F52" s="2"/>
      <c r="G52" s="2"/>
      <c r="H52" s="2"/>
      <c r="I52" s="12"/>
      <c r="J52" s="2"/>
      <c r="K52" s="18"/>
      <c r="L52" s="18"/>
      <c r="M52" s="18"/>
      <c r="N52" s="32"/>
      <c r="O52" s="18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>
      <c r="A53" s="7"/>
      <c r="B53" s="8" t="s">
        <v>138</v>
      </c>
      <c r="C53" s="9">
        <f t="shared" si="1"/>
        <v>16054</v>
      </c>
      <c r="D53" s="10"/>
      <c r="E53" s="31"/>
      <c r="F53" s="2"/>
      <c r="G53" s="2"/>
      <c r="H53" s="2"/>
      <c r="I53" s="12"/>
      <c r="J53" s="2"/>
      <c r="K53" s="18"/>
      <c r="L53" s="18"/>
      <c r="M53" s="18"/>
      <c r="N53" s="32"/>
      <c r="O53" s="18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>
      <c r="A54" s="7"/>
      <c r="B54" s="8" t="s">
        <v>139</v>
      </c>
      <c r="C54" s="9">
        <f t="shared" si="1"/>
        <v>16055</v>
      </c>
      <c r="D54" s="10"/>
      <c r="E54" s="31"/>
      <c r="F54" s="2"/>
      <c r="G54" s="2"/>
      <c r="H54" s="2"/>
      <c r="I54" s="25"/>
      <c r="J54" s="2"/>
      <c r="K54" s="2"/>
      <c r="L54" s="2"/>
      <c r="M54" s="26"/>
      <c r="N54" s="35"/>
      <c r="O54" s="18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>
      <c r="A55" s="7"/>
      <c r="B55" s="8" t="s">
        <v>140</v>
      </c>
      <c r="C55" s="9">
        <f t="shared" si="1"/>
        <v>16056</v>
      </c>
      <c r="D55" s="10"/>
      <c r="E55" s="31"/>
      <c r="F55" s="2"/>
      <c r="G55" s="2"/>
      <c r="H55" s="2"/>
      <c r="I55" s="25"/>
      <c r="J55" s="2"/>
      <c r="K55" s="2"/>
      <c r="L55" s="2"/>
      <c r="M55" s="26"/>
      <c r="N55" s="32"/>
      <c r="O55" s="18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>
      <c r="A56" s="7"/>
      <c r="B56" s="8" t="s">
        <v>141</v>
      </c>
      <c r="C56" s="9">
        <f t="shared" si="1"/>
        <v>16057</v>
      </c>
      <c r="D56" s="10"/>
      <c r="E56" s="31"/>
      <c r="F56" s="2"/>
      <c r="G56" s="2"/>
      <c r="H56" s="2"/>
      <c r="I56" s="25"/>
      <c r="J56" s="2"/>
      <c r="K56" s="18"/>
      <c r="L56" s="18"/>
      <c r="M56" s="18"/>
      <c r="N56" s="32"/>
      <c r="O56" s="18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>
      <c r="A57" s="7"/>
      <c r="B57" s="8" t="s">
        <v>142</v>
      </c>
      <c r="C57" s="9">
        <f t="shared" si="1"/>
        <v>16058</v>
      </c>
      <c r="D57" s="10"/>
      <c r="E57" s="36"/>
      <c r="F57" s="2"/>
      <c r="G57" s="2"/>
      <c r="H57" s="2"/>
      <c r="I57" s="25"/>
      <c r="J57" s="2"/>
      <c r="K57" s="2"/>
      <c r="L57" s="2"/>
      <c r="M57" s="26"/>
      <c r="N57" s="32"/>
      <c r="O57" s="18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>
      <c r="A58" s="7"/>
      <c r="B58" s="8" t="s">
        <v>143</v>
      </c>
      <c r="C58" s="9">
        <f t="shared" si="1"/>
        <v>16059</v>
      </c>
      <c r="D58" s="10"/>
      <c r="E58" s="31"/>
      <c r="F58" s="2"/>
      <c r="G58" s="2"/>
      <c r="H58" s="2"/>
      <c r="I58" s="25"/>
      <c r="J58" s="2"/>
      <c r="K58" s="2"/>
      <c r="L58" s="2"/>
      <c r="M58" s="21"/>
      <c r="N58" s="32"/>
      <c r="O58" s="18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>
      <c r="A59" s="7"/>
      <c r="B59" s="8" t="s">
        <v>144</v>
      </c>
      <c r="C59" s="9">
        <f t="shared" si="1"/>
        <v>16060</v>
      </c>
      <c r="D59" s="10"/>
      <c r="E59" s="31"/>
      <c r="F59" s="2"/>
      <c r="G59" s="2"/>
      <c r="H59" s="2"/>
      <c r="I59" s="25"/>
      <c r="J59" s="2"/>
      <c r="K59" s="2"/>
      <c r="L59" s="2"/>
      <c r="M59" s="26"/>
      <c r="N59" s="32"/>
      <c r="O59" s="18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>
      <c r="A60" s="7"/>
      <c r="B60" s="8" t="s">
        <v>145</v>
      </c>
      <c r="C60" s="9">
        <f t="shared" si="1"/>
        <v>16061</v>
      </c>
      <c r="D60" s="10"/>
      <c r="E60" s="11"/>
      <c r="F60" s="2"/>
      <c r="G60" s="2"/>
      <c r="H60" s="2"/>
      <c r="I60" s="25"/>
      <c r="J60" s="2"/>
      <c r="K60" s="2"/>
      <c r="L60" s="2"/>
      <c r="M60" s="26"/>
      <c r="N60" s="37"/>
      <c r="O60" s="18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>
      <c r="A61" s="7"/>
      <c r="B61" s="8" t="s">
        <v>146</v>
      </c>
      <c r="C61" s="9">
        <f t="shared" si="1"/>
        <v>16062</v>
      </c>
      <c r="D61" s="10"/>
      <c r="E61" s="11"/>
      <c r="F61" s="2"/>
      <c r="G61" s="2"/>
      <c r="H61" s="2"/>
      <c r="I61" s="25"/>
      <c r="J61" s="2"/>
      <c r="K61" s="2"/>
      <c r="L61" s="2"/>
      <c r="M61" s="26"/>
      <c r="N61" s="37"/>
      <c r="O61" s="18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>
      <c r="A62" s="7"/>
      <c r="B62" s="8" t="s">
        <v>147</v>
      </c>
      <c r="C62" s="9">
        <f t="shared" si="1"/>
        <v>16063</v>
      </c>
      <c r="D62" s="10"/>
      <c r="E62" s="11"/>
      <c r="F62" s="2"/>
      <c r="H62" s="2"/>
      <c r="I62" s="38"/>
      <c r="J62" s="2"/>
      <c r="K62" s="38"/>
      <c r="L62" s="38"/>
      <c r="M62" s="26"/>
      <c r="N62" s="32"/>
      <c r="O62" s="18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>
      <c r="A63" s="7"/>
      <c r="B63" s="8" t="s">
        <v>148</v>
      </c>
      <c r="C63" s="9">
        <f t="shared" si="1"/>
        <v>16064</v>
      </c>
      <c r="D63" s="10"/>
      <c r="E63" s="11"/>
      <c r="F63" s="2"/>
      <c r="G63" s="2"/>
      <c r="H63" s="2"/>
      <c r="I63" s="12"/>
      <c r="J63" s="2"/>
      <c r="K63" s="2"/>
      <c r="L63" s="2"/>
      <c r="M63" s="26"/>
      <c r="N63" s="37"/>
      <c r="O63" s="18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>
      <c r="A64" s="7"/>
      <c r="B64" s="8" t="s">
        <v>149</v>
      </c>
      <c r="C64" s="9">
        <f t="shared" si="1"/>
        <v>16065</v>
      </c>
      <c r="D64" s="10"/>
      <c r="E64" s="11"/>
      <c r="F64" s="2"/>
      <c r="G64" s="2"/>
      <c r="H64" s="2"/>
      <c r="I64" s="12"/>
      <c r="J64" s="2"/>
      <c r="K64" s="2"/>
      <c r="L64" s="2"/>
      <c r="M64" s="26"/>
      <c r="N64" s="37"/>
      <c r="O64" s="18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>
      <c r="A65" s="7"/>
      <c r="B65" s="8" t="s">
        <v>150</v>
      </c>
      <c r="C65" s="9">
        <f t="shared" si="1"/>
        <v>16066</v>
      </c>
      <c r="D65" s="10"/>
      <c r="E65" s="11"/>
      <c r="F65" s="2"/>
      <c r="G65" s="2"/>
      <c r="H65" s="2"/>
      <c r="I65" s="25"/>
      <c r="J65" s="2"/>
      <c r="K65" s="2"/>
      <c r="L65" s="2"/>
      <c r="M65" s="26"/>
      <c r="N65" s="37"/>
      <c r="O65" s="18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>
      <c r="A66" s="7"/>
      <c r="B66" s="8" t="s">
        <v>151</v>
      </c>
      <c r="C66" s="9">
        <f t="shared" si="1"/>
        <v>16067</v>
      </c>
      <c r="D66" s="10"/>
      <c r="E66" s="11"/>
      <c r="F66" s="2"/>
      <c r="G66" s="2"/>
      <c r="H66" s="2"/>
      <c r="I66" s="25"/>
      <c r="J66" s="2"/>
      <c r="K66" s="2"/>
      <c r="L66" s="2"/>
      <c r="M66" s="26"/>
      <c r="N66" s="37"/>
      <c r="O66" s="18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>
      <c r="A67" s="7"/>
      <c r="B67" s="8" t="s">
        <v>152</v>
      </c>
      <c r="C67" s="9">
        <f t="shared" si="1"/>
        <v>16068</v>
      </c>
      <c r="D67" s="10"/>
      <c r="E67" s="11"/>
      <c r="F67" s="2"/>
      <c r="G67" s="2"/>
      <c r="H67" s="2"/>
      <c r="I67" s="12"/>
      <c r="J67" s="2"/>
      <c r="K67" s="2"/>
      <c r="L67" s="2"/>
      <c r="M67" s="26"/>
      <c r="N67" s="37"/>
      <c r="O67" s="18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>
      <c r="A68" s="7"/>
      <c r="B68" s="8" t="s">
        <v>153</v>
      </c>
      <c r="C68" s="9">
        <f t="shared" si="1"/>
        <v>16069</v>
      </c>
      <c r="D68" s="10"/>
      <c r="E68" s="11"/>
      <c r="F68" s="2"/>
      <c r="G68" s="2"/>
      <c r="H68" s="2"/>
      <c r="I68" s="12"/>
      <c r="J68" s="2"/>
      <c r="K68" s="2"/>
      <c r="L68" s="2"/>
      <c r="M68" s="26"/>
      <c r="N68" s="37"/>
      <c r="O68" s="18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>
      <c r="A69" s="7"/>
      <c r="B69" s="8" t="s">
        <v>154</v>
      </c>
      <c r="C69" s="9">
        <f t="shared" si="1"/>
        <v>16070</v>
      </c>
      <c r="D69" s="10"/>
      <c r="E69" s="11"/>
      <c r="F69" s="2"/>
      <c r="G69" s="2"/>
      <c r="H69" s="2"/>
      <c r="I69" s="12"/>
      <c r="J69" s="2"/>
      <c r="K69" s="2"/>
      <c r="L69" s="2"/>
      <c r="M69" s="26"/>
      <c r="N69" s="37"/>
      <c r="O69" s="18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>
      <c r="A70" s="7"/>
      <c r="B70" s="8" t="s">
        <v>155</v>
      </c>
      <c r="C70" s="9">
        <f t="shared" si="1"/>
        <v>16071</v>
      </c>
      <c r="D70" s="10"/>
      <c r="E70" s="11"/>
      <c r="F70" s="2"/>
      <c r="G70" s="2"/>
      <c r="H70" s="2"/>
      <c r="I70" s="12"/>
      <c r="J70" s="2"/>
      <c r="K70" s="2"/>
      <c r="L70" s="2"/>
      <c r="M70" s="26"/>
      <c r="N70" s="37"/>
      <c r="O70" s="18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>
      <c r="A71" s="7"/>
      <c r="B71" s="8" t="s">
        <v>156</v>
      </c>
      <c r="C71" s="9">
        <f t="shared" si="1"/>
        <v>16072</v>
      </c>
      <c r="D71" s="10"/>
      <c r="E71" s="11"/>
      <c r="F71" s="2"/>
      <c r="G71" s="2"/>
      <c r="H71" s="2"/>
      <c r="I71" s="25"/>
      <c r="J71" s="2"/>
      <c r="K71" s="2"/>
      <c r="L71" s="2"/>
      <c r="M71" s="26"/>
      <c r="N71" s="37"/>
      <c r="O71" s="18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>
      <c r="A72" s="7"/>
      <c r="B72" s="8" t="s">
        <v>157</v>
      </c>
      <c r="C72" s="9">
        <f t="shared" si="1"/>
        <v>16073</v>
      </c>
      <c r="D72" s="10"/>
      <c r="E72" s="11"/>
      <c r="F72" s="2"/>
      <c r="G72" s="2"/>
      <c r="H72" s="2"/>
      <c r="I72" s="25"/>
      <c r="J72" s="2"/>
      <c r="K72" s="2"/>
      <c r="L72" s="2"/>
      <c r="M72" s="26"/>
      <c r="N72" s="37"/>
      <c r="O72" s="18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>
      <c r="A73" s="7"/>
      <c r="B73" s="8" t="s">
        <v>158</v>
      </c>
      <c r="C73" s="9">
        <f t="shared" si="1"/>
        <v>16074</v>
      </c>
      <c r="D73" s="10"/>
      <c r="E73" s="11"/>
      <c r="F73" s="2"/>
      <c r="G73" s="2"/>
      <c r="H73" s="2"/>
      <c r="I73" s="12"/>
      <c r="J73" s="2"/>
      <c r="K73" s="2"/>
      <c r="L73" s="2"/>
      <c r="M73" s="26"/>
      <c r="N73" s="37"/>
      <c r="O73" s="18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>
      <c r="A74" s="7"/>
      <c r="B74" s="8" t="s">
        <v>159</v>
      </c>
      <c r="C74" s="9">
        <f t="shared" si="1"/>
        <v>16075</v>
      </c>
      <c r="D74" s="10"/>
      <c r="E74" s="31"/>
      <c r="F74" s="2"/>
      <c r="G74" s="2"/>
      <c r="H74" s="2"/>
      <c r="I74" s="12"/>
      <c r="J74" s="2"/>
      <c r="K74" s="2"/>
      <c r="L74" s="2"/>
      <c r="M74" s="26"/>
      <c r="N74" s="32"/>
      <c r="O74" s="18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>
      <c r="A75" s="7"/>
      <c r="B75" s="8" t="s">
        <v>160</v>
      </c>
      <c r="C75" s="9">
        <f t="shared" si="1"/>
        <v>16076</v>
      </c>
      <c r="D75" s="10"/>
      <c r="E75" s="31"/>
      <c r="F75" s="2"/>
      <c r="G75" s="2"/>
      <c r="H75" s="2"/>
      <c r="I75" s="12"/>
      <c r="J75" s="2"/>
      <c r="K75" s="2"/>
      <c r="L75" s="2"/>
      <c r="M75" s="26"/>
      <c r="N75" s="32"/>
      <c r="O75" s="18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>
      <c r="A76" s="7"/>
      <c r="B76" s="8" t="s">
        <v>161</v>
      </c>
      <c r="C76" s="9">
        <f t="shared" si="1"/>
        <v>16077</v>
      </c>
      <c r="D76" s="10"/>
      <c r="E76" s="31"/>
      <c r="F76" s="2"/>
      <c r="G76" s="2"/>
      <c r="H76" s="2"/>
      <c r="I76" s="12"/>
      <c r="J76" s="2"/>
      <c r="K76" s="2"/>
      <c r="L76" s="2"/>
      <c r="M76" s="26"/>
      <c r="N76" s="32"/>
      <c r="O76" s="18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>
      <c r="A77" s="7"/>
      <c r="B77" s="8" t="s">
        <v>162</v>
      </c>
      <c r="C77" s="9">
        <f t="shared" si="1"/>
        <v>16078</v>
      </c>
      <c r="D77" s="10"/>
      <c r="E77" s="31"/>
      <c r="F77" s="2"/>
      <c r="G77" s="2"/>
      <c r="H77" s="2"/>
      <c r="I77" s="12"/>
      <c r="J77" s="2"/>
      <c r="K77" s="2"/>
      <c r="L77" s="2"/>
      <c r="M77" s="26"/>
      <c r="N77" s="32"/>
      <c r="O77" s="18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>
      <c r="A78" s="7"/>
      <c r="B78" s="8" t="s">
        <v>163</v>
      </c>
      <c r="C78" s="9">
        <f t="shared" si="1"/>
        <v>16079</v>
      </c>
      <c r="D78" s="10"/>
      <c r="E78" s="31"/>
      <c r="F78" s="2"/>
      <c r="G78" s="2"/>
      <c r="H78" s="2"/>
      <c r="I78" s="12"/>
      <c r="J78" s="2"/>
      <c r="K78" s="2"/>
      <c r="L78" s="2"/>
      <c r="M78" s="26"/>
      <c r="N78" s="32"/>
      <c r="O78" s="18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>
      <c r="A79" s="7"/>
      <c r="B79" s="8" t="s">
        <v>164</v>
      </c>
      <c r="C79" s="9">
        <f t="shared" si="1"/>
        <v>16080</v>
      </c>
      <c r="D79" s="10"/>
      <c r="E79" s="31"/>
      <c r="F79" s="2"/>
      <c r="G79" s="2"/>
      <c r="H79" s="2"/>
      <c r="I79" s="12"/>
      <c r="J79" s="2"/>
      <c r="K79" s="2"/>
      <c r="L79" s="2"/>
      <c r="M79" s="26"/>
      <c r="N79" s="32"/>
      <c r="O79" s="18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>
      <c r="A80" s="7"/>
      <c r="B80" s="8" t="s">
        <v>165</v>
      </c>
      <c r="C80" s="9">
        <f t="shared" si="1"/>
        <v>16081</v>
      </c>
      <c r="D80" s="10"/>
      <c r="E80" s="31"/>
      <c r="F80" s="2"/>
      <c r="G80" s="2"/>
      <c r="H80" s="2"/>
      <c r="I80" s="12"/>
      <c r="J80" s="2"/>
      <c r="K80" s="2"/>
      <c r="L80" s="2"/>
      <c r="M80" s="26"/>
      <c r="N80" s="32"/>
      <c r="O80" s="18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>
      <c r="A81" s="7"/>
      <c r="B81" s="8" t="s">
        <v>166</v>
      </c>
      <c r="C81" s="9">
        <f t="shared" si="1"/>
        <v>16082</v>
      </c>
      <c r="D81" s="10"/>
      <c r="E81" s="31"/>
      <c r="F81" s="2"/>
      <c r="G81" s="2"/>
      <c r="H81" s="2"/>
      <c r="I81" s="12"/>
      <c r="J81" s="2"/>
      <c r="K81" s="2"/>
      <c r="L81" s="2"/>
      <c r="M81" s="26"/>
      <c r="N81" s="32"/>
      <c r="O81" s="18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>
      <c r="A82" s="7"/>
      <c r="B82" s="8" t="s">
        <v>167</v>
      </c>
      <c r="C82" s="9">
        <f t="shared" si="1"/>
        <v>16083</v>
      </c>
      <c r="D82" s="10"/>
      <c r="E82" s="31"/>
      <c r="F82" s="2"/>
      <c r="G82" s="2"/>
      <c r="H82" s="2"/>
      <c r="I82" s="12"/>
      <c r="J82" s="2"/>
      <c r="K82" s="2"/>
      <c r="L82" s="2"/>
      <c r="M82" s="26"/>
      <c r="N82" s="32"/>
      <c r="O82" s="18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>
      <c r="A83" s="7"/>
      <c r="B83" s="8" t="s">
        <v>168</v>
      </c>
      <c r="C83" s="9">
        <f t="shared" si="1"/>
        <v>16084</v>
      </c>
      <c r="D83" s="10"/>
      <c r="E83" s="31"/>
      <c r="F83" s="2"/>
      <c r="G83" s="2"/>
      <c r="H83" s="2"/>
      <c r="I83" s="12"/>
      <c r="J83" s="2"/>
      <c r="K83" s="2"/>
      <c r="L83" s="2"/>
      <c r="M83" s="26"/>
      <c r="N83" s="32"/>
      <c r="O83" s="18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>
      <c r="A84" s="7"/>
      <c r="B84" s="8" t="s">
        <v>169</v>
      </c>
      <c r="C84" s="9">
        <f t="shared" si="1"/>
        <v>16085</v>
      </c>
      <c r="D84" s="10"/>
      <c r="E84" s="31"/>
      <c r="F84" s="2"/>
      <c r="G84" s="2"/>
      <c r="H84" s="2"/>
      <c r="I84" s="12"/>
      <c r="J84" s="2"/>
      <c r="K84" s="2"/>
      <c r="L84" s="2"/>
      <c r="M84" s="26"/>
      <c r="N84" s="32"/>
      <c r="O84" s="18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>
      <c r="A85" s="7"/>
      <c r="B85" s="8" t="s">
        <v>170</v>
      </c>
      <c r="C85" s="9">
        <f t="shared" si="1"/>
        <v>16086</v>
      </c>
      <c r="D85" s="10"/>
      <c r="E85" s="11"/>
      <c r="F85" s="2"/>
      <c r="G85" s="2"/>
      <c r="H85" s="2"/>
      <c r="I85" s="25"/>
      <c r="J85" s="18"/>
      <c r="K85" s="2"/>
      <c r="L85" s="2"/>
      <c r="M85" s="21"/>
      <c r="N85" s="37"/>
      <c r="O85" s="18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>
      <c r="A86" s="7"/>
      <c r="B86" s="8" t="s">
        <v>171</v>
      </c>
      <c r="C86" s="9">
        <f t="shared" si="1"/>
        <v>16087</v>
      </c>
      <c r="D86" s="10"/>
      <c r="E86" s="11"/>
      <c r="F86" s="2"/>
      <c r="G86" s="2"/>
      <c r="H86" s="2"/>
      <c r="I86" s="25"/>
      <c r="J86" s="18"/>
      <c r="K86" s="2"/>
      <c r="N86" s="18"/>
      <c r="O86" s="18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>
      <c r="A87" s="7"/>
      <c r="B87" s="8" t="s">
        <v>172</v>
      </c>
      <c r="C87" s="9">
        <f t="shared" si="1"/>
        <v>16088</v>
      </c>
      <c r="D87" s="28"/>
      <c r="E87" s="29"/>
      <c r="F87" s="18"/>
      <c r="G87" s="18"/>
      <c r="H87" s="18"/>
      <c r="I87" s="25"/>
      <c r="J87" s="18"/>
      <c r="K87" s="18"/>
      <c r="L87" s="18"/>
      <c r="M87" s="18"/>
      <c r="N87" s="18"/>
      <c r="O87" s="18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>
      <c r="A88" s="7"/>
      <c r="B88" s="8" t="s">
        <v>173</v>
      </c>
      <c r="C88" s="9">
        <f t="shared" si="1"/>
        <v>16089</v>
      </c>
      <c r="D88" s="28"/>
      <c r="E88" s="29"/>
      <c r="F88" s="18"/>
      <c r="G88" s="18"/>
      <c r="H88" s="18"/>
      <c r="I88" s="25"/>
      <c r="J88" s="18"/>
      <c r="K88" s="18"/>
      <c r="L88" s="18"/>
      <c r="M88" s="18"/>
      <c r="N88" s="18"/>
      <c r="O88" s="18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>
      <c r="A89" s="7"/>
      <c r="B89" s="8" t="s">
        <v>174</v>
      </c>
      <c r="C89" s="9">
        <f t="shared" si="1"/>
        <v>16090</v>
      </c>
      <c r="D89" s="28"/>
      <c r="E89" s="29"/>
      <c r="F89" s="18"/>
      <c r="G89" s="18"/>
      <c r="H89" s="18"/>
      <c r="I89" s="25"/>
      <c r="J89" s="18"/>
      <c r="K89" s="18"/>
      <c r="L89" s="18"/>
      <c r="M89" s="18"/>
      <c r="N89" s="18"/>
      <c r="O89" s="18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>
      <c r="A90" s="7"/>
      <c r="B90" s="8" t="s">
        <v>175</v>
      </c>
      <c r="C90" s="9">
        <f t="shared" si="1"/>
        <v>16091</v>
      </c>
      <c r="D90" s="28"/>
      <c r="E90" s="29"/>
      <c r="F90" s="18"/>
      <c r="G90" s="18"/>
      <c r="H90" s="18"/>
      <c r="I90" s="25"/>
      <c r="J90" s="18"/>
      <c r="K90" s="18"/>
      <c r="L90" s="18"/>
      <c r="M90" s="18"/>
      <c r="N90" s="18"/>
      <c r="O90" s="18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>
      <c r="A91" s="7"/>
      <c r="B91" s="8" t="s">
        <v>176</v>
      </c>
      <c r="C91" s="9">
        <f t="shared" si="1"/>
        <v>16092</v>
      </c>
      <c r="D91" s="28"/>
      <c r="E91" s="29"/>
      <c r="F91" s="18"/>
      <c r="G91" s="18"/>
      <c r="H91" s="18"/>
      <c r="I91" s="25"/>
      <c r="J91" s="18"/>
      <c r="K91" s="18"/>
      <c r="L91" s="18"/>
      <c r="M91" s="18"/>
      <c r="N91" s="18"/>
      <c r="O91" s="18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>
      <c r="A92" s="7"/>
      <c r="B92" s="8" t="s">
        <v>177</v>
      </c>
      <c r="C92" s="9">
        <f t="shared" si="1"/>
        <v>16093</v>
      </c>
      <c r="D92" s="28"/>
      <c r="E92" s="29"/>
      <c r="F92" s="18"/>
      <c r="G92" s="18"/>
      <c r="H92" s="18"/>
      <c r="I92" s="25"/>
      <c r="J92" s="18"/>
      <c r="K92" s="18"/>
      <c r="L92" s="18"/>
      <c r="M92" s="18"/>
      <c r="N92" s="18"/>
      <c r="O92" s="18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>
      <c r="A93" s="7"/>
      <c r="B93" s="8" t="s">
        <v>178</v>
      </c>
      <c r="C93" s="9">
        <f t="shared" si="1"/>
        <v>16094</v>
      </c>
      <c r="D93" s="28"/>
      <c r="E93" s="29"/>
      <c r="F93" s="18"/>
      <c r="G93" s="18"/>
      <c r="H93" s="18"/>
      <c r="I93" s="25"/>
      <c r="J93" s="18"/>
      <c r="K93" s="18"/>
      <c r="L93" s="18"/>
      <c r="M93" s="18"/>
      <c r="N93" s="18"/>
      <c r="O93" s="18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>
      <c r="A94" s="7"/>
      <c r="B94" s="8" t="s">
        <v>179</v>
      </c>
      <c r="C94" s="9">
        <f t="shared" si="1"/>
        <v>16095</v>
      </c>
      <c r="D94" s="28"/>
      <c r="E94" s="29"/>
      <c r="F94" s="18"/>
      <c r="G94" s="18"/>
      <c r="H94" s="18"/>
      <c r="I94" s="25"/>
      <c r="J94" s="18"/>
      <c r="K94" s="18"/>
      <c r="L94" s="18"/>
      <c r="M94" s="18"/>
      <c r="N94" s="18"/>
      <c r="O94" s="18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>
      <c r="A95" s="7"/>
      <c r="B95" s="8" t="s">
        <v>180</v>
      </c>
      <c r="C95" s="9">
        <f t="shared" si="1"/>
        <v>16096</v>
      </c>
      <c r="D95" s="28"/>
      <c r="E95" s="29"/>
      <c r="F95" s="18"/>
      <c r="G95" s="18"/>
      <c r="H95" s="18"/>
      <c r="I95" s="25"/>
      <c r="J95" s="18"/>
      <c r="K95" s="18"/>
      <c r="L95" s="18"/>
      <c r="M95" s="18"/>
      <c r="N95" s="18"/>
      <c r="O95" s="18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>
      <c r="A96" s="7"/>
      <c r="B96" s="8" t="s">
        <v>181</v>
      </c>
      <c r="C96" s="9">
        <f t="shared" si="1"/>
        <v>16097</v>
      </c>
      <c r="D96" s="28"/>
      <c r="E96" s="29"/>
      <c r="F96" s="18"/>
      <c r="G96" s="18"/>
      <c r="H96" s="18"/>
      <c r="I96" s="25"/>
      <c r="J96" s="18"/>
      <c r="K96" s="18"/>
      <c r="L96" s="18"/>
      <c r="M96" s="18"/>
      <c r="N96" s="18"/>
      <c r="O96" s="18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>
      <c r="A97" s="7"/>
      <c r="B97" s="8" t="s">
        <v>182</v>
      </c>
      <c r="C97" s="9">
        <f t="shared" si="1"/>
        <v>16098</v>
      </c>
      <c r="D97" s="28"/>
      <c r="E97" s="29"/>
      <c r="F97" s="18"/>
      <c r="G97" s="18"/>
      <c r="H97" s="18"/>
      <c r="I97" s="25"/>
      <c r="J97" s="18"/>
      <c r="K97" s="18"/>
      <c r="L97" s="18"/>
      <c r="M97" s="18"/>
      <c r="N97" s="18"/>
      <c r="O97" s="18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>
      <c r="A98" s="7"/>
      <c r="B98" s="8" t="s">
        <v>183</v>
      </c>
      <c r="C98" s="9">
        <f t="shared" si="1"/>
        <v>16099</v>
      </c>
      <c r="D98" s="28"/>
      <c r="E98" s="29"/>
      <c r="F98" s="18"/>
      <c r="G98" s="18"/>
      <c r="H98" s="18"/>
      <c r="I98" s="25"/>
      <c r="J98" s="18"/>
      <c r="K98" s="18"/>
      <c r="L98" s="18"/>
      <c r="M98" s="18"/>
      <c r="N98" s="18"/>
      <c r="O98" s="18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>
      <c r="A99" s="7"/>
      <c r="B99" s="8" t="s">
        <v>184</v>
      </c>
      <c r="C99" s="9">
        <f t="shared" si="1"/>
        <v>16100</v>
      </c>
      <c r="D99" s="28"/>
      <c r="E99" s="29"/>
      <c r="F99" s="18"/>
      <c r="G99" s="18"/>
      <c r="H99" s="18"/>
      <c r="I99" s="25"/>
      <c r="J99" s="18"/>
      <c r="K99" s="18"/>
      <c r="L99" s="18"/>
      <c r="M99" s="18"/>
      <c r="N99" s="18"/>
      <c r="O99" s="18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>
      <c r="A100" s="7"/>
      <c r="B100" s="8" t="s">
        <v>185</v>
      </c>
      <c r="C100" s="9">
        <f t="shared" si="1"/>
        <v>16101</v>
      </c>
      <c r="D100" s="10"/>
      <c r="E100" s="11"/>
      <c r="F100" s="2"/>
      <c r="G100" s="2"/>
      <c r="H100" s="2"/>
      <c r="I100" s="25"/>
      <c r="J100" s="2"/>
      <c r="K100" s="2"/>
      <c r="L100" s="2"/>
      <c r="M100" s="26"/>
      <c r="N100" s="18"/>
      <c r="O100" s="18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>
      <c r="A101" s="7"/>
      <c r="B101" s="8" t="s">
        <v>186</v>
      </c>
      <c r="C101" s="9">
        <f t="shared" si="1"/>
        <v>16102</v>
      </c>
      <c r="D101" s="10"/>
      <c r="E101" s="11"/>
      <c r="F101" s="2"/>
      <c r="G101" s="2"/>
      <c r="H101" s="2"/>
      <c r="I101" s="12"/>
      <c r="J101" s="2"/>
      <c r="K101" s="2"/>
      <c r="L101" s="2"/>
      <c r="M101" s="26"/>
      <c r="N101" s="18"/>
      <c r="O101" s="18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>
      <c r="A102" s="7"/>
      <c r="B102" s="8" t="s">
        <v>187</v>
      </c>
      <c r="C102" s="9">
        <f t="shared" si="1"/>
        <v>16103</v>
      </c>
      <c r="D102" s="10"/>
      <c r="E102" s="11"/>
      <c r="F102" s="2"/>
      <c r="G102" s="2"/>
      <c r="H102" s="2"/>
      <c r="I102" s="25"/>
      <c r="J102" s="2"/>
      <c r="K102" s="2"/>
      <c r="L102" s="2"/>
      <c r="M102" s="26"/>
      <c r="N102" s="18"/>
      <c r="O102" s="18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>
      <c r="A103" s="7"/>
      <c r="B103" s="8" t="s">
        <v>188</v>
      </c>
      <c r="C103" s="9">
        <f t="shared" si="1"/>
        <v>16104</v>
      </c>
      <c r="D103" s="10"/>
      <c r="E103" s="11"/>
      <c r="F103" s="2"/>
      <c r="G103" s="2"/>
      <c r="H103" s="2"/>
      <c r="I103" s="25"/>
      <c r="J103" s="2"/>
      <c r="K103" s="2"/>
      <c r="L103" s="2"/>
      <c r="M103" s="26"/>
      <c r="N103" s="18"/>
      <c r="O103" s="18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>
      <c r="A104" s="7"/>
      <c r="B104" s="8" t="s">
        <v>189</v>
      </c>
      <c r="C104" s="9">
        <f t="shared" si="1"/>
        <v>16105</v>
      </c>
      <c r="D104" s="10"/>
      <c r="E104" s="11"/>
      <c r="F104" s="2"/>
      <c r="G104" s="2"/>
      <c r="H104" s="2"/>
      <c r="I104" s="12"/>
      <c r="J104" s="2"/>
      <c r="K104" s="2"/>
      <c r="L104" s="2"/>
      <c r="M104" s="21"/>
      <c r="N104" s="2"/>
      <c r="O104" s="18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>
      <c r="A105" s="7"/>
      <c r="B105" s="8" t="s">
        <v>190</v>
      </c>
      <c r="C105" s="9">
        <f t="shared" si="1"/>
        <v>16106</v>
      </c>
      <c r="D105" s="10"/>
      <c r="E105" s="11"/>
      <c r="F105" s="2"/>
      <c r="G105" s="2"/>
      <c r="H105" s="2"/>
      <c r="I105" s="12"/>
      <c r="J105" s="2"/>
      <c r="K105" s="2"/>
      <c r="L105" s="2"/>
      <c r="M105" s="21"/>
      <c r="N105" s="2"/>
      <c r="O105" s="18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>
      <c r="A106" s="7"/>
      <c r="B106" s="8" t="s">
        <v>191</v>
      </c>
      <c r="C106" s="9">
        <f t="shared" si="1"/>
        <v>16107</v>
      </c>
      <c r="D106" s="10"/>
      <c r="E106" s="11"/>
      <c r="F106" s="2"/>
      <c r="G106" s="2"/>
      <c r="H106" s="2"/>
      <c r="I106" s="12"/>
      <c r="J106" s="2"/>
      <c r="K106" s="2"/>
      <c r="L106" s="2"/>
      <c r="M106" s="21"/>
      <c r="N106" s="2"/>
      <c r="O106" s="18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>
      <c r="A107" s="7"/>
      <c r="B107" s="8" t="s">
        <v>192</v>
      </c>
      <c r="C107" s="9">
        <f t="shared" si="1"/>
        <v>16108</v>
      </c>
      <c r="D107" s="10"/>
      <c r="E107" s="11"/>
      <c r="F107" s="2"/>
      <c r="G107" s="2"/>
      <c r="H107" s="2"/>
      <c r="I107" s="12"/>
      <c r="J107" s="2"/>
      <c r="K107" s="2"/>
      <c r="L107" s="2"/>
      <c r="M107" s="26"/>
      <c r="N107" s="2"/>
      <c r="O107" s="18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>
      <c r="A108" s="7"/>
      <c r="B108" s="8" t="s">
        <v>193</v>
      </c>
      <c r="C108" s="9">
        <f t="shared" si="1"/>
        <v>16109</v>
      </c>
      <c r="D108" s="10"/>
      <c r="E108" s="11"/>
      <c r="F108" s="2"/>
      <c r="G108" s="2"/>
      <c r="H108" s="2"/>
      <c r="I108" s="12"/>
      <c r="J108" s="2"/>
      <c r="K108" s="2"/>
      <c r="L108" s="2"/>
      <c r="M108" s="26"/>
      <c r="N108" s="2"/>
      <c r="O108" s="18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>
      <c r="A109" s="7"/>
      <c r="B109" s="8" t="s">
        <v>194</v>
      </c>
      <c r="C109" s="9">
        <f t="shared" si="1"/>
        <v>16110</v>
      </c>
      <c r="D109" s="10"/>
      <c r="E109" s="11"/>
      <c r="F109" s="2"/>
      <c r="G109" s="2"/>
      <c r="H109" s="2"/>
      <c r="I109" s="12"/>
      <c r="J109" s="2"/>
      <c r="K109" s="2"/>
      <c r="L109" s="2"/>
      <c r="M109" s="26"/>
      <c r="N109" s="2"/>
      <c r="O109" s="18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>
      <c r="A110" s="7"/>
      <c r="B110" s="8" t="s">
        <v>195</v>
      </c>
      <c r="C110" s="9">
        <f t="shared" si="1"/>
        <v>16111</v>
      </c>
      <c r="D110" s="10"/>
      <c r="E110" s="11"/>
      <c r="F110" s="2"/>
      <c r="G110" s="2"/>
      <c r="H110" s="2"/>
      <c r="I110" s="12"/>
      <c r="J110" s="2"/>
      <c r="K110" s="2"/>
      <c r="L110" s="2"/>
      <c r="M110" s="26"/>
      <c r="N110" s="2"/>
      <c r="O110" s="18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>
      <c r="A111" s="7"/>
      <c r="B111" s="8" t="s">
        <v>196</v>
      </c>
      <c r="C111" s="9">
        <f t="shared" si="1"/>
        <v>16112</v>
      </c>
      <c r="D111" s="10"/>
      <c r="E111" s="11"/>
      <c r="F111" s="2"/>
      <c r="G111" s="2"/>
      <c r="H111" s="2"/>
      <c r="I111" s="12"/>
      <c r="J111" s="2"/>
      <c r="K111" s="2"/>
      <c r="L111" s="2"/>
      <c r="M111" s="26"/>
      <c r="N111" s="2"/>
      <c r="O111" s="18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>
      <c r="A112" s="7"/>
      <c r="B112" s="8" t="s">
        <v>197</v>
      </c>
      <c r="C112" s="9">
        <f t="shared" si="1"/>
        <v>16113</v>
      </c>
      <c r="D112" s="10"/>
      <c r="E112" s="11"/>
      <c r="F112" s="2"/>
      <c r="G112" s="2"/>
      <c r="H112" s="2"/>
      <c r="I112" s="12"/>
      <c r="J112" s="2"/>
      <c r="K112" s="2"/>
      <c r="L112" s="2"/>
      <c r="M112" s="26"/>
      <c r="N112" s="2"/>
      <c r="O112" s="18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>
      <c r="A113" s="7"/>
      <c r="B113" s="8" t="s">
        <v>198</v>
      </c>
      <c r="C113" s="9">
        <f t="shared" si="1"/>
        <v>16114</v>
      </c>
      <c r="D113" s="28"/>
      <c r="E113" s="11"/>
      <c r="F113" s="2"/>
      <c r="G113" s="2"/>
      <c r="H113" s="2"/>
      <c r="I113" s="12"/>
      <c r="J113" s="2"/>
      <c r="K113" s="2"/>
      <c r="L113" s="2"/>
      <c r="M113" s="26"/>
      <c r="N113" s="2"/>
      <c r="O113" s="18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>
      <c r="A114" s="7"/>
      <c r="B114" s="8" t="s">
        <v>199</v>
      </c>
      <c r="C114" s="9">
        <f t="shared" si="1"/>
        <v>16115</v>
      </c>
      <c r="D114" s="28"/>
      <c r="E114" s="11"/>
      <c r="F114" s="2"/>
      <c r="G114" s="2"/>
      <c r="H114" s="2"/>
      <c r="I114" s="12"/>
      <c r="J114" s="2"/>
      <c r="K114" s="2"/>
      <c r="L114" s="2"/>
      <c r="M114" s="26"/>
      <c r="N114" s="2"/>
      <c r="O114" s="18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>
      <c r="A115" s="7"/>
      <c r="B115" s="8" t="s">
        <v>200</v>
      </c>
      <c r="C115" s="9">
        <f t="shared" si="1"/>
        <v>16116</v>
      </c>
      <c r="D115" s="28"/>
      <c r="E115" s="11"/>
      <c r="F115" s="2"/>
      <c r="G115" s="2"/>
      <c r="H115" s="2"/>
      <c r="I115" s="12"/>
      <c r="J115" s="2"/>
      <c r="K115" s="2"/>
      <c r="L115" s="2"/>
      <c r="M115" s="26"/>
      <c r="N115" s="2"/>
      <c r="O115" s="18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>
      <c r="A116" s="7"/>
      <c r="B116" s="8" t="s">
        <v>201</v>
      </c>
      <c r="C116" s="9">
        <f t="shared" si="1"/>
        <v>16117</v>
      </c>
      <c r="D116" s="28"/>
      <c r="E116" s="11"/>
      <c r="F116" s="2"/>
      <c r="G116" s="2"/>
      <c r="H116" s="2"/>
      <c r="I116" s="12"/>
      <c r="J116" s="2"/>
      <c r="K116" s="2"/>
      <c r="L116" s="2"/>
      <c r="M116" s="26"/>
      <c r="N116" s="2"/>
      <c r="O116" s="18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>
      <c r="A117" s="7"/>
      <c r="B117" s="8" t="s">
        <v>202</v>
      </c>
      <c r="C117" s="9">
        <f t="shared" si="1"/>
        <v>16118</v>
      </c>
      <c r="D117" s="28"/>
      <c r="E117" s="11"/>
      <c r="F117" s="2"/>
      <c r="G117" s="2"/>
      <c r="H117" s="2"/>
      <c r="I117" s="12"/>
      <c r="J117" s="2"/>
      <c r="K117" s="2"/>
      <c r="L117" s="2"/>
      <c r="M117" s="26"/>
      <c r="N117" s="2"/>
      <c r="O117" s="18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>
      <c r="A118" s="7"/>
      <c r="B118" s="8" t="s">
        <v>203</v>
      </c>
      <c r="C118" s="9">
        <f t="shared" si="1"/>
        <v>16119</v>
      </c>
      <c r="D118" s="28"/>
      <c r="E118" s="11"/>
      <c r="F118" s="2"/>
      <c r="G118" s="2"/>
      <c r="H118" s="2"/>
      <c r="I118" s="12"/>
      <c r="J118" s="2"/>
      <c r="K118" s="2"/>
      <c r="L118" s="2"/>
      <c r="M118" s="26"/>
      <c r="N118" s="2"/>
      <c r="O118" s="18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>
      <c r="A119" s="7"/>
      <c r="B119" s="8" t="s">
        <v>204</v>
      </c>
      <c r="C119" s="9">
        <f t="shared" si="1"/>
        <v>16120</v>
      </c>
      <c r="D119" s="28"/>
      <c r="E119" s="11"/>
      <c r="F119" s="2"/>
      <c r="G119" s="2"/>
      <c r="H119" s="2"/>
      <c r="I119" s="12"/>
      <c r="J119" s="2"/>
      <c r="K119" s="2"/>
      <c r="L119" s="2"/>
      <c r="M119" s="26"/>
      <c r="N119" s="2"/>
      <c r="O119" s="18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>
      <c r="A120" s="7"/>
      <c r="B120" s="8" t="s">
        <v>205</v>
      </c>
      <c r="C120" s="9">
        <f t="shared" si="1"/>
        <v>16121</v>
      </c>
      <c r="D120" s="28"/>
      <c r="E120" s="11"/>
      <c r="F120" s="2"/>
      <c r="G120" s="2"/>
      <c r="H120" s="2"/>
      <c r="I120" s="12"/>
      <c r="J120" s="2"/>
      <c r="K120" s="2"/>
      <c r="L120" s="2"/>
      <c r="M120" s="26"/>
      <c r="N120" s="2"/>
      <c r="O120" s="18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>
      <c r="A121" s="7"/>
      <c r="B121" s="8" t="s">
        <v>206</v>
      </c>
      <c r="C121" s="9">
        <f t="shared" si="1"/>
        <v>16122</v>
      </c>
      <c r="D121" s="28"/>
      <c r="E121" s="11"/>
      <c r="F121" s="2"/>
      <c r="G121" s="2"/>
      <c r="H121" s="2"/>
      <c r="I121" s="12"/>
      <c r="J121" s="2"/>
      <c r="K121" s="2"/>
      <c r="L121" s="2"/>
      <c r="M121" s="26"/>
      <c r="N121" s="2"/>
      <c r="O121" s="18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>
      <c r="A122" s="7"/>
      <c r="B122" s="8" t="s">
        <v>207</v>
      </c>
      <c r="C122" s="9">
        <f t="shared" si="1"/>
        <v>16123</v>
      </c>
      <c r="D122" s="28"/>
      <c r="E122" s="11"/>
      <c r="F122" s="2"/>
      <c r="G122" s="2"/>
      <c r="H122" s="2"/>
      <c r="I122" s="12"/>
      <c r="J122" s="2"/>
      <c r="K122" s="2"/>
      <c r="L122" s="2"/>
      <c r="M122" s="26"/>
      <c r="N122" s="2"/>
      <c r="O122" s="18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>
      <c r="A123" s="7"/>
      <c r="B123" s="8" t="s">
        <v>208</v>
      </c>
      <c r="C123" s="9">
        <f t="shared" si="1"/>
        <v>16124</v>
      </c>
      <c r="D123" s="28"/>
      <c r="E123" s="11"/>
      <c r="F123" s="2"/>
      <c r="G123" s="2"/>
      <c r="H123" s="2"/>
      <c r="I123" s="12"/>
      <c r="J123" s="2"/>
      <c r="K123" s="2"/>
      <c r="L123" s="2"/>
      <c r="M123" s="26"/>
      <c r="N123" s="2"/>
      <c r="O123" s="18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>
      <c r="A124" s="7"/>
      <c r="B124" s="8" t="s">
        <v>209</v>
      </c>
      <c r="C124" s="9">
        <f t="shared" si="1"/>
        <v>16125</v>
      </c>
      <c r="D124" s="28"/>
      <c r="E124" s="11"/>
      <c r="F124" s="2"/>
      <c r="G124" s="2"/>
      <c r="H124" s="2"/>
      <c r="I124" s="12"/>
      <c r="J124" s="2"/>
      <c r="K124" s="2"/>
      <c r="L124" s="2"/>
      <c r="M124" s="26"/>
      <c r="N124" s="2"/>
      <c r="O124" s="18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>
      <c r="A125" s="7"/>
      <c r="B125" s="8" t="s">
        <v>210</v>
      </c>
      <c r="C125" s="9">
        <f t="shared" si="1"/>
        <v>16126</v>
      </c>
      <c r="D125" s="28"/>
      <c r="E125" s="11"/>
      <c r="F125" s="2"/>
      <c r="G125" s="2"/>
      <c r="H125" s="2"/>
      <c r="I125" s="12"/>
      <c r="J125" s="2"/>
      <c r="K125" s="2"/>
      <c r="L125" s="2"/>
      <c r="M125" s="26"/>
      <c r="N125" s="2"/>
      <c r="O125" s="18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>
      <c r="A126" s="7"/>
      <c r="B126" s="8" t="s">
        <v>211</v>
      </c>
      <c r="C126" s="9">
        <f t="shared" si="1"/>
        <v>16127</v>
      </c>
      <c r="D126" s="28"/>
      <c r="E126" s="11"/>
      <c r="F126" s="2"/>
      <c r="G126" s="2"/>
      <c r="H126" s="2"/>
      <c r="I126" s="12"/>
      <c r="J126" s="2"/>
      <c r="K126" s="2"/>
      <c r="L126" s="2"/>
      <c r="M126" s="26"/>
      <c r="N126" s="2"/>
      <c r="O126" s="18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>
      <c r="A127" s="7"/>
      <c r="B127" s="8" t="s">
        <v>212</v>
      </c>
      <c r="C127" s="9">
        <f t="shared" si="1"/>
        <v>16128</v>
      </c>
      <c r="D127" s="28"/>
      <c r="E127" s="11"/>
      <c r="F127" s="2"/>
      <c r="G127" s="2"/>
      <c r="H127" s="2"/>
      <c r="I127" s="12"/>
      <c r="J127" s="2"/>
      <c r="K127" s="2"/>
      <c r="L127" s="2"/>
      <c r="M127" s="26"/>
      <c r="N127" s="2"/>
      <c r="O127" s="18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>
      <c r="A128" s="7"/>
      <c r="B128" s="8" t="s">
        <v>213</v>
      </c>
      <c r="C128" s="9">
        <f t="shared" si="1"/>
        <v>16129</v>
      </c>
      <c r="D128" s="28"/>
      <c r="E128" s="11"/>
      <c r="F128" s="2"/>
      <c r="G128" s="2"/>
      <c r="H128" s="2"/>
      <c r="I128" s="12"/>
      <c r="J128" s="2"/>
      <c r="K128" s="2"/>
      <c r="L128" s="2"/>
      <c r="M128" s="26"/>
      <c r="N128" s="2"/>
      <c r="O128" s="18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>
      <c r="A129" s="7"/>
      <c r="B129" s="8" t="s">
        <v>214</v>
      </c>
      <c r="C129" s="9">
        <f t="shared" si="1"/>
        <v>16130</v>
      </c>
      <c r="D129" s="10"/>
      <c r="E129" s="11"/>
      <c r="F129" s="2"/>
      <c r="G129" s="2"/>
      <c r="H129" s="2"/>
      <c r="I129" s="12"/>
      <c r="J129" s="2"/>
      <c r="K129" s="2"/>
      <c r="L129" s="2"/>
      <c r="M129" s="26"/>
      <c r="N129" s="18"/>
      <c r="O129" s="18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>
      <c r="A130" s="7"/>
      <c r="B130" s="8" t="s">
        <v>215</v>
      </c>
      <c r="C130" s="9">
        <f t="shared" si="1"/>
        <v>16131</v>
      </c>
      <c r="D130" s="10"/>
      <c r="E130" s="11"/>
      <c r="F130" s="2"/>
      <c r="G130" s="2"/>
      <c r="H130" s="2"/>
      <c r="I130" s="25"/>
      <c r="J130" s="2"/>
      <c r="K130" s="2"/>
      <c r="L130" s="2"/>
      <c r="M130" s="26"/>
      <c r="N130" s="18"/>
      <c r="O130" s="18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>
      <c r="A131" s="7"/>
      <c r="B131" s="8" t="s">
        <v>216</v>
      </c>
      <c r="C131" s="9">
        <f t="shared" si="1"/>
        <v>16132</v>
      </c>
      <c r="D131" s="28"/>
      <c r="E131" s="29"/>
      <c r="F131" s="18"/>
      <c r="G131" s="18"/>
      <c r="H131" s="18"/>
      <c r="I131" s="25"/>
      <c r="J131" s="18"/>
      <c r="K131" s="18"/>
      <c r="L131" s="18"/>
      <c r="M131" s="18"/>
      <c r="N131" s="18"/>
      <c r="O131" s="18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>
      <c r="A132" s="7"/>
      <c r="B132" s="8" t="s">
        <v>217</v>
      </c>
      <c r="C132" s="9">
        <f t="shared" si="1"/>
        <v>16133</v>
      </c>
      <c r="D132" s="28"/>
      <c r="E132" s="29"/>
      <c r="F132" s="18"/>
      <c r="G132" s="18"/>
      <c r="H132" s="18"/>
      <c r="I132" s="25"/>
      <c r="J132" s="18"/>
      <c r="K132" s="18"/>
      <c r="L132" s="18"/>
      <c r="M132" s="18"/>
      <c r="N132" s="18"/>
      <c r="O132" s="18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>
      <c r="A133" s="7"/>
      <c r="B133" s="8" t="s">
        <v>218</v>
      </c>
      <c r="C133" s="9">
        <f t="shared" si="1"/>
        <v>16134</v>
      </c>
      <c r="D133" s="10"/>
      <c r="E133" s="11"/>
      <c r="F133" s="18"/>
      <c r="G133" s="2"/>
      <c r="H133" s="2"/>
      <c r="I133" s="12"/>
      <c r="J133" s="2"/>
      <c r="K133" s="2"/>
      <c r="L133" s="2"/>
      <c r="M133" s="21"/>
      <c r="N133" s="2"/>
      <c r="O133" s="18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>
      <c r="A134" s="7"/>
      <c r="B134" s="8" t="s">
        <v>219</v>
      </c>
      <c r="C134" s="9">
        <f t="shared" si="1"/>
        <v>16135</v>
      </c>
      <c r="D134" s="10"/>
      <c r="E134" s="11"/>
      <c r="F134" s="18"/>
      <c r="G134" s="2"/>
      <c r="H134" s="2"/>
      <c r="I134" s="12"/>
      <c r="J134" s="2"/>
      <c r="K134" s="2"/>
      <c r="L134" s="2"/>
      <c r="M134" s="41"/>
      <c r="N134" s="2"/>
      <c r="O134" s="18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>
      <c r="A135" s="7"/>
      <c r="B135" s="8" t="s">
        <v>220</v>
      </c>
      <c r="C135" s="9">
        <f t="shared" si="1"/>
        <v>16136</v>
      </c>
      <c r="D135" s="28"/>
      <c r="E135" s="11"/>
      <c r="F135" s="18"/>
      <c r="G135" s="2"/>
      <c r="H135" s="2"/>
      <c r="I135" s="12"/>
      <c r="J135" s="2"/>
      <c r="K135" s="2"/>
      <c r="L135" s="2"/>
      <c r="M135" s="21"/>
      <c r="N135" s="2"/>
      <c r="O135" s="18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>
      <c r="A136" s="7"/>
      <c r="B136" s="8" t="s">
        <v>221</v>
      </c>
      <c r="C136" s="9">
        <f t="shared" si="1"/>
        <v>16137</v>
      </c>
      <c r="D136" s="28"/>
      <c r="E136" s="11"/>
      <c r="F136" s="18"/>
      <c r="G136" s="2"/>
      <c r="H136" s="2"/>
      <c r="I136" s="12"/>
      <c r="J136" s="18"/>
      <c r="K136" s="2"/>
      <c r="L136" s="2"/>
      <c r="M136" s="21"/>
      <c r="N136" s="2"/>
      <c r="O136" s="18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>
      <c r="A137" s="7"/>
      <c r="B137" s="8" t="s">
        <v>222</v>
      </c>
      <c r="C137" s="9">
        <f t="shared" si="1"/>
        <v>16138</v>
      </c>
      <c r="D137" s="28"/>
      <c r="E137" s="11"/>
      <c r="F137" s="18"/>
      <c r="G137" s="2"/>
      <c r="H137" s="2"/>
      <c r="I137" s="12"/>
      <c r="J137" s="2"/>
      <c r="K137" s="2"/>
      <c r="L137" s="2"/>
      <c r="M137" s="21"/>
      <c r="N137" s="2"/>
      <c r="O137" s="18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>
      <c r="A138" s="7"/>
      <c r="B138" s="8" t="s">
        <v>223</v>
      </c>
      <c r="C138" s="9">
        <f t="shared" si="1"/>
        <v>16139</v>
      </c>
      <c r="D138" s="28"/>
      <c r="E138" s="11"/>
      <c r="F138" s="18"/>
      <c r="G138" s="2"/>
      <c r="H138" s="2"/>
      <c r="I138" s="12"/>
      <c r="J138" s="2"/>
      <c r="K138" s="2"/>
      <c r="L138" s="2"/>
      <c r="M138" s="21"/>
      <c r="N138" s="2"/>
      <c r="O138" s="18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>
      <c r="A139" s="7"/>
      <c r="B139" s="8" t="s">
        <v>224</v>
      </c>
      <c r="C139" s="9">
        <f t="shared" si="1"/>
        <v>16140</v>
      </c>
      <c r="D139" s="28"/>
      <c r="E139" s="11"/>
      <c r="F139" s="18"/>
      <c r="G139" s="2"/>
      <c r="H139" s="2"/>
      <c r="I139" s="12"/>
      <c r="J139" s="18"/>
      <c r="K139" s="2"/>
      <c r="L139" s="2"/>
      <c r="M139" s="21"/>
      <c r="N139" s="2"/>
      <c r="O139" s="18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>
      <c r="A140" s="7"/>
      <c r="B140" s="8" t="s">
        <v>225</v>
      </c>
      <c r="C140" s="9">
        <f t="shared" si="1"/>
        <v>16141</v>
      </c>
      <c r="D140" s="28"/>
      <c r="E140" s="11"/>
      <c r="F140" s="18"/>
      <c r="G140" s="2"/>
      <c r="H140" s="2"/>
      <c r="I140" s="12"/>
      <c r="J140" s="2"/>
      <c r="K140" s="2"/>
      <c r="L140" s="2"/>
      <c r="M140" s="21"/>
      <c r="N140" s="2"/>
      <c r="O140" s="18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>
      <c r="A141" s="7"/>
      <c r="B141" s="8" t="s">
        <v>226</v>
      </c>
      <c r="C141" s="9">
        <f t="shared" si="1"/>
        <v>16142</v>
      </c>
      <c r="D141" s="28"/>
      <c r="E141" s="11"/>
      <c r="F141" s="18"/>
      <c r="G141" s="2"/>
      <c r="H141" s="2"/>
      <c r="I141" s="12"/>
      <c r="J141" s="2"/>
      <c r="K141" s="2"/>
      <c r="L141" s="2"/>
      <c r="M141" s="21"/>
      <c r="N141" s="2"/>
      <c r="O141" s="18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>
      <c r="A142" s="7"/>
      <c r="B142" s="8" t="s">
        <v>227</v>
      </c>
      <c r="C142" s="9">
        <f t="shared" si="1"/>
        <v>16143</v>
      </c>
      <c r="D142" s="28"/>
      <c r="E142" s="11"/>
      <c r="F142" s="18"/>
      <c r="G142" s="2"/>
      <c r="H142" s="2"/>
      <c r="I142" s="12"/>
      <c r="J142" s="2"/>
      <c r="K142" s="2"/>
      <c r="L142" s="2"/>
      <c r="M142" s="21"/>
      <c r="N142" s="2"/>
      <c r="O142" s="18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>
      <c r="A143" s="7"/>
      <c r="B143" s="8" t="s">
        <v>228</v>
      </c>
      <c r="C143" s="9">
        <f t="shared" si="1"/>
        <v>16144</v>
      </c>
      <c r="D143" s="28"/>
      <c r="E143" s="11"/>
      <c r="F143" s="18"/>
      <c r="G143" s="2"/>
      <c r="H143" s="2"/>
      <c r="I143" s="12"/>
      <c r="J143" s="2"/>
      <c r="K143" s="2"/>
      <c r="L143" s="2"/>
      <c r="M143" s="21"/>
      <c r="N143" s="2"/>
      <c r="O143" s="18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>
      <c r="A144" s="7"/>
      <c r="B144" s="8" t="s">
        <v>229</v>
      </c>
      <c r="C144" s="9">
        <f t="shared" si="1"/>
        <v>16145</v>
      </c>
      <c r="D144" s="28"/>
      <c r="E144" s="11"/>
      <c r="F144" s="18"/>
      <c r="G144" s="2"/>
      <c r="H144" s="2"/>
      <c r="I144" s="12"/>
      <c r="J144" s="18"/>
      <c r="K144" s="2"/>
      <c r="L144" s="2"/>
      <c r="M144" s="21"/>
      <c r="N144" s="2"/>
      <c r="O144" s="18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>
      <c r="A145" s="7"/>
      <c r="B145" s="8" t="s">
        <v>230</v>
      </c>
      <c r="C145" s="9">
        <f t="shared" si="1"/>
        <v>16146</v>
      </c>
      <c r="D145" s="28"/>
      <c r="E145" s="11"/>
      <c r="F145" s="18"/>
      <c r="G145" s="2"/>
      <c r="H145" s="2"/>
      <c r="I145" s="12"/>
      <c r="J145" s="2"/>
      <c r="K145" s="2"/>
      <c r="L145" s="2"/>
      <c r="M145" s="21"/>
      <c r="N145" s="2"/>
      <c r="O145" s="18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>
      <c r="A146" s="7"/>
      <c r="B146" s="8" t="s">
        <v>231</v>
      </c>
      <c r="C146" s="9">
        <f t="shared" si="1"/>
        <v>16148</v>
      </c>
      <c r="D146" s="28"/>
      <c r="E146" s="11"/>
      <c r="F146" s="18"/>
      <c r="G146" s="2"/>
      <c r="H146" s="2"/>
      <c r="I146" s="12"/>
      <c r="J146" s="2"/>
      <c r="K146" s="2"/>
      <c r="L146" s="2"/>
      <c r="M146" s="21"/>
      <c r="N146" s="12"/>
      <c r="O146" s="18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>
      <c r="A147" s="7"/>
      <c r="B147" s="8" t="s">
        <v>232</v>
      </c>
      <c r="C147" s="9">
        <f t="shared" si="1"/>
        <v>16149</v>
      </c>
      <c r="D147" s="28"/>
      <c r="E147" s="11"/>
      <c r="F147" s="18"/>
      <c r="G147" s="2"/>
      <c r="H147" s="2"/>
      <c r="I147" s="12"/>
      <c r="J147" s="2"/>
      <c r="K147" s="2"/>
      <c r="L147" s="2"/>
      <c r="M147" s="21"/>
      <c r="N147" s="12"/>
      <c r="O147" s="18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>
      <c r="A148" s="7"/>
      <c r="B148" s="8" t="s">
        <v>233</v>
      </c>
      <c r="C148" s="9">
        <f t="shared" si="1"/>
        <v>16150</v>
      </c>
      <c r="D148" s="28"/>
      <c r="E148" s="23"/>
      <c r="F148" s="18"/>
      <c r="G148" s="2"/>
      <c r="H148" s="2"/>
      <c r="I148" s="12"/>
      <c r="J148" s="2"/>
      <c r="K148" s="2"/>
      <c r="L148" s="2"/>
      <c r="M148" s="21"/>
      <c r="N148" s="12"/>
      <c r="O148" s="18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>
      <c r="A149" s="7"/>
      <c r="B149" s="8" t="s">
        <v>234</v>
      </c>
      <c r="C149" s="9">
        <f t="shared" si="1"/>
        <v>16151</v>
      </c>
      <c r="D149" s="28"/>
      <c r="E149" s="11"/>
      <c r="F149" s="18"/>
      <c r="G149" s="2"/>
      <c r="H149" s="2"/>
      <c r="I149" s="12"/>
      <c r="J149" s="2"/>
      <c r="K149" s="2"/>
      <c r="L149" s="2"/>
      <c r="M149" s="21"/>
      <c r="N149" s="12"/>
      <c r="O149" s="18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>
      <c r="A150" s="7"/>
      <c r="B150" s="8" t="s">
        <v>235</v>
      </c>
      <c r="C150" s="9">
        <f t="shared" si="1"/>
        <v>16152</v>
      </c>
      <c r="D150" s="28"/>
      <c r="E150" s="11"/>
      <c r="F150" s="18"/>
      <c r="G150" s="2"/>
      <c r="H150" s="2"/>
      <c r="I150" s="12"/>
      <c r="J150" s="2"/>
      <c r="K150" s="2"/>
      <c r="L150" s="2"/>
      <c r="M150" s="21"/>
      <c r="N150" s="12"/>
      <c r="O150" s="18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>
      <c r="A151" s="7"/>
      <c r="B151" s="8" t="s">
        <v>236</v>
      </c>
      <c r="C151" s="9">
        <f t="shared" si="1"/>
        <v>16153</v>
      </c>
      <c r="D151" s="28"/>
      <c r="E151" s="11"/>
      <c r="F151" s="18"/>
      <c r="G151" s="2"/>
      <c r="H151" s="2"/>
      <c r="I151" s="12"/>
      <c r="J151" s="2"/>
      <c r="K151" s="2"/>
      <c r="L151" s="2"/>
      <c r="M151" s="21"/>
      <c r="N151" s="12"/>
      <c r="O151" s="18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>
      <c r="A152" s="7"/>
      <c r="B152" s="8" t="s">
        <v>237</v>
      </c>
      <c r="C152" s="9">
        <f t="shared" si="1"/>
        <v>16154</v>
      </c>
      <c r="D152" s="28"/>
      <c r="E152" s="11"/>
      <c r="F152" s="18"/>
      <c r="G152" s="2"/>
      <c r="H152" s="2"/>
      <c r="I152" s="12"/>
      <c r="J152" s="2"/>
      <c r="K152" s="2"/>
      <c r="L152" s="2"/>
      <c r="M152" s="21"/>
      <c r="N152" s="12"/>
      <c r="O152" s="18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>
      <c r="A153" s="7"/>
      <c r="B153" s="8" t="s">
        <v>238</v>
      </c>
      <c r="C153" s="9">
        <f t="shared" si="1"/>
        <v>16155</v>
      </c>
      <c r="D153" s="28"/>
      <c r="E153" s="11"/>
      <c r="F153" s="18"/>
      <c r="G153" s="2"/>
      <c r="H153" s="2"/>
      <c r="I153" s="12"/>
      <c r="J153" s="2"/>
      <c r="K153" s="2"/>
      <c r="L153" s="2"/>
      <c r="M153" s="21"/>
      <c r="N153" s="12"/>
      <c r="O153" s="18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>
      <c r="A154" s="7"/>
      <c r="B154" s="8" t="s">
        <v>239</v>
      </c>
      <c r="C154" s="9">
        <f t="shared" si="1"/>
        <v>16156</v>
      </c>
      <c r="D154" s="28"/>
      <c r="E154" s="11"/>
      <c r="F154" s="18"/>
      <c r="G154" s="2"/>
      <c r="H154" s="2"/>
      <c r="I154" s="12"/>
      <c r="J154" s="2"/>
      <c r="K154" s="2"/>
      <c r="L154" s="2"/>
      <c r="M154" s="21"/>
      <c r="N154" s="12"/>
      <c r="O154" s="18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>
      <c r="A155" s="7"/>
      <c r="B155" s="8" t="s">
        <v>240</v>
      </c>
      <c r="C155" s="9">
        <f t="shared" si="1"/>
        <v>16157</v>
      </c>
      <c r="D155" s="28"/>
      <c r="E155" s="11"/>
      <c r="F155" s="18"/>
      <c r="G155" s="2"/>
      <c r="H155" s="2"/>
      <c r="I155" s="12"/>
      <c r="J155" s="2"/>
      <c r="K155" s="2"/>
      <c r="L155" s="2"/>
      <c r="M155" s="21"/>
      <c r="N155" s="12"/>
      <c r="O155" s="18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>
      <c r="A156" s="7"/>
      <c r="B156" s="8" t="s">
        <v>241</v>
      </c>
      <c r="C156" s="9">
        <f t="shared" si="1"/>
        <v>16158</v>
      </c>
      <c r="D156" s="28"/>
      <c r="E156" s="11"/>
      <c r="F156" s="18"/>
      <c r="G156" s="2"/>
      <c r="H156" s="2"/>
      <c r="I156" s="12"/>
      <c r="J156" s="2"/>
      <c r="K156" s="2"/>
      <c r="L156" s="2"/>
      <c r="M156" s="21"/>
      <c r="N156" s="12"/>
      <c r="O156" s="18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>
      <c r="A157" s="7"/>
      <c r="B157" s="8" t="s">
        <v>242</v>
      </c>
      <c r="C157" s="9">
        <f t="shared" si="1"/>
        <v>16159</v>
      </c>
      <c r="D157" s="28"/>
      <c r="E157" s="11"/>
      <c r="F157" s="18"/>
      <c r="G157" s="2"/>
      <c r="H157" s="2"/>
      <c r="I157" s="12"/>
      <c r="J157" s="2"/>
      <c r="K157" s="2"/>
      <c r="L157" s="2"/>
      <c r="M157" s="21"/>
      <c r="N157" s="12"/>
      <c r="O157" s="18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>
      <c r="A158" s="7"/>
      <c r="B158" s="8" t="s">
        <v>243</v>
      </c>
      <c r="C158" s="9">
        <f t="shared" si="1"/>
        <v>16160</v>
      </c>
      <c r="D158" s="28"/>
      <c r="E158" s="11"/>
      <c r="F158" s="18"/>
      <c r="G158" s="2"/>
      <c r="H158" s="2"/>
      <c r="I158" s="12"/>
      <c r="J158" s="2"/>
      <c r="K158" s="2"/>
      <c r="L158" s="2"/>
      <c r="M158" s="21"/>
      <c r="N158" s="12"/>
      <c r="O158" s="18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>
      <c r="A159" s="7"/>
      <c r="B159" s="8" t="s">
        <v>244</v>
      </c>
      <c r="C159" s="9">
        <f t="shared" si="1"/>
        <v>16161</v>
      </c>
      <c r="D159" s="28"/>
      <c r="E159" s="11"/>
      <c r="F159" s="18"/>
      <c r="G159" s="2"/>
      <c r="H159" s="2"/>
      <c r="I159" s="12"/>
      <c r="J159" s="2"/>
      <c r="K159" s="2"/>
      <c r="L159" s="2"/>
      <c r="M159" s="21"/>
      <c r="N159" s="12"/>
      <c r="O159" s="18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>
      <c r="A160" s="7"/>
      <c r="B160" s="8" t="s">
        <v>245</v>
      </c>
      <c r="C160" s="9">
        <f t="shared" si="1"/>
        <v>16162</v>
      </c>
      <c r="D160" s="28"/>
      <c r="E160" s="23"/>
      <c r="F160" s="18"/>
      <c r="G160" s="2"/>
      <c r="H160" s="2"/>
      <c r="I160" s="12"/>
      <c r="J160" s="2"/>
      <c r="K160" s="2"/>
      <c r="L160" s="2"/>
      <c r="M160" s="21"/>
      <c r="N160" s="2"/>
      <c r="O160" s="18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>
      <c r="A161" s="7"/>
      <c r="B161" s="8" t="s">
        <v>246</v>
      </c>
      <c r="C161" s="9">
        <f t="shared" si="1"/>
        <v>16163</v>
      </c>
      <c r="D161" s="28"/>
      <c r="E161" s="11"/>
      <c r="F161" s="18"/>
      <c r="G161" s="2"/>
      <c r="H161" s="2"/>
      <c r="I161" s="12"/>
      <c r="J161" s="2"/>
      <c r="K161" s="2"/>
      <c r="L161" s="2"/>
      <c r="M161" s="21"/>
      <c r="N161" s="2"/>
      <c r="O161" s="18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>
      <c r="A162" s="7"/>
      <c r="B162" s="8" t="s">
        <v>247</v>
      </c>
      <c r="C162" s="9">
        <f t="shared" si="1"/>
        <v>16164</v>
      </c>
      <c r="D162" s="28"/>
      <c r="E162" s="11"/>
      <c r="F162" s="18"/>
      <c r="G162" s="2"/>
      <c r="H162" s="2"/>
      <c r="I162" s="12"/>
      <c r="J162" s="2"/>
      <c r="K162" s="2"/>
      <c r="L162" s="2"/>
      <c r="M162" s="21"/>
      <c r="N162" s="2"/>
      <c r="O162" s="18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>
      <c r="A163" s="7"/>
      <c r="B163" s="8" t="s">
        <v>248</v>
      </c>
      <c r="C163" s="9">
        <f t="shared" si="1"/>
        <v>16165</v>
      </c>
      <c r="D163" s="28"/>
      <c r="E163" s="11"/>
      <c r="F163" s="18"/>
      <c r="G163" s="2"/>
      <c r="H163" s="2"/>
      <c r="I163" s="12"/>
      <c r="J163" s="2"/>
      <c r="K163" s="2"/>
      <c r="L163" s="2"/>
      <c r="M163" s="21"/>
      <c r="N163" s="2"/>
      <c r="O163" s="18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>
      <c r="A164" s="7"/>
      <c r="B164" s="8" t="s">
        <v>249</v>
      </c>
      <c r="C164" s="9">
        <f t="shared" si="1"/>
        <v>16166</v>
      </c>
      <c r="D164" s="28"/>
      <c r="E164" s="11"/>
      <c r="F164" s="18"/>
      <c r="G164" s="2"/>
      <c r="H164" s="2"/>
      <c r="I164" s="12"/>
      <c r="J164" s="2"/>
      <c r="K164" s="2"/>
      <c r="L164" s="2"/>
      <c r="M164" s="21"/>
      <c r="N164" s="2"/>
      <c r="O164" s="18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>
      <c r="A165" s="7"/>
      <c r="B165" s="8" t="s">
        <v>250</v>
      </c>
      <c r="C165" s="9">
        <f t="shared" si="1"/>
        <v>16167</v>
      </c>
      <c r="D165" s="28"/>
      <c r="E165" s="11"/>
      <c r="F165" s="18"/>
      <c r="G165" s="18"/>
      <c r="H165" s="18"/>
      <c r="I165" s="25"/>
      <c r="J165" s="18"/>
      <c r="K165" s="18"/>
      <c r="L165" s="18"/>
      <c r="M165" s="18"/>
      <c r="N165" s="18"/>
      <c r="O165" s="18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>
      <c r="A166" s="7"/>
      <c r="B166" s="8" t="s">
        <v>251</v>
      </c>
      <c r="C166" s="9">
        <f t="shared" si="1"/>
        <v>16168</v>
      </c>
      <c r="D166" s="28"/>
      <c r="E166" s="11"/>
      <c r="F166" s="18"/>
      <c r="G166" s="18"/>
      <c r="H166" s="18"/>
      <c r="I166" s="25"/>
      <c r="J166" s="18"/>
      <c r="K166" s="18"/>
      <c r="L166" s="18"/>
      <c r="M166" s="18"/>
      <c r="N166" s="18"/>
      <c r="O166" s="18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>
      <c r="A167" s="7"/>
      <c r="B167" s="8" t="s">
        <v>252</v>
      </c>
      <c r="C167" s="9">
        <f t="shared" si="1"/>
        <v>16169</v>
      </c>
      <c r="D167" s="10"/>
      <c r="E167" s="11"/>
      <c r="F167" s="2"/>
      <c r="G167" s="2"/>
      <c r="H167" s="2"/>
      <c r="I167" s="12"/>
      <c r="J167" s="2"/>
      <c r="K167" s="2"/>
      <c r="L167" s="2"/>
      <c r="M167" s="26"/>
      <c r="N167" s="18"/>
      <c r="O167" s="18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>
      <c r="A168" s="7"/>
      <c r="B168" s="8" t="s">
        <v>253</v>
      </c>
      <c r="C168" s="9">
        <f t="shared" si="1"/>
        <v>16170</v>
      </c>
      <c r="D168" s="28"/>
      <c r="E168" s="29"/>
      <c r="F168" s="18"/>
      <c r="G168" s="18"/>
      <c r="H168" s="18"/>
      <c r="I168" s="25"/>
      <c r="J168" s="18"/>
      <c r="K168" s="18"/>
      <c r="L168" s="18"/>
      <c r="M168" s="18"/>
      <c r="N168" s="18"/>
      <c r="O168" s="18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>
      <c r="A169" s="7"/>
      <c r="B169" s="8" t="s">
        <v>254</v>
      </c>
      <c r="C169" s="9">
        <f t="shared" si="1"/>
        <v>16171</v>
      </c>
      <c r="D169" s="28"/>
      <c r="E169" s="29"/>
      <c r="F169" s="18"/>
      <c r="G169" s="18"/>
      <c r="H169" s="18"/>
      <c r="I169" s="25"/>
      <c r="J169" s="18"/>
      <c r="K169" s="18"/>
      <c r="L169" s="18"/>
      <c r="M169" s="18"/>
      <c r="N169" s="18"/>
      <c r="O169" s="18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>
      <c r="A170" s="7"/>
      <c r="B170" s="8" t="s">
        <v>255</v>
      </c>
      <c r="C170" s="9">
        <f t="shared" si="1"/>
        <v>16172</v>
      </c>
      <c r="D170" s="28"/>
      <c r="E170" s="29"/>
      <c r="F170" s="18"/>
      <c r="G170" s="18"/>
      <c r="H170" s="18"/>
      <c r="I170" s="25"/>
      <c r="J170" s="18"/>
      <c r="K170" s="18"/>
      <c r="L170" s="18"/>
      <c r="M170" s="18"/>
      <c r="N170" s="18"/>
      <c r="O170" s="18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>
      <c r="A171" s="7"/>
      <c r="B171" s="8" t="s">
        <v>256</v>
      </c>
      <c r="C171" s="9">
        <f t="shared" si="1"/>
        <v>16173</v>
      </c>
      <c r="D171" s="28"/>
      <c r="E171" s="29"/>
      <c r="F171" s="18"/>
      <c r="G171" s="18"/>
      <c r="H171" s="18"/>
      <c r="I171" s="25"/>
      <c r="J171" s="18"/>
      <c r="K171" s="18"/>
      <c r="L171" s="18"/>
      <c r="M171" s="18"/>
      <c r="N171" s="18"/>
      <c r="O171" s="18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>
      <c r="A172" s="7"/>
      <c r="B172" s="8" t="s">
        <v>257</v>
      </c>
      <c r="C172" s="9">
        <f t="shared" si="1"/>
        <v>16174</v>
      </c>
      <c r="D172" s="28"/>
      <c r="E172" s="29"/>
      <c r="F172" s="18"/>
      <c r="G172" s="18"/>
      <c r="H172" s="18"/>
      <c r="I172" s="25"/>
      <c r="J172" s="18"/>
      <c r="K172" s="18"/>
      <c r="L172" s="18"/>
      <c r="M172" s="18"/>
      <c r="N172" s="18"/>
      <c r="O172" s="18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>
      <c r="A173" s="7"/>
      <c r="B173" s="8" t="s">
        <v>258</v>
      </c>
      <c r="C173" s="9">
        <f t="shared" si="1"/>
        <v>16175</v>
      </c>
      <c r="D173" s="28"/>
      <c r="E173" s="29"/>
      <c r="F173" s="18"/>
      <c r="G173" s="18"/>
      <c r="H173" s="18"/>
      <c r="I173" s="25"/>
      <c r="J173" s="18"/>
      <c r="K173" s="18"/>
      <c r="L173" s="18"/>
      <c r="M173" s="18"/>
      <c r="N173" s="18"/>
      <c r="O173" s="18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>
      <c r="A174" s="7"/>
      <c r="B174" s="8" t="s">
        <v>259</v>
      </c>
      <c r="C174" s="9">
        <f t="shared" si="1"/>
        <v>16176</v>
      </c>
      <c r="D174" s="28"/>
      <c r="E174" s="29"/>
      <c r="F174" s="18"/>
      <c r="G174" s="18"/>
      <c r="H174" s="18"/>
      <c r="I174" s="25"/>
      <c r="J174" s="18"/>
      <c r="K174" s="18"/>
      <c r="L174" s="18"/>
      <c r="M174" s="18"/>
      <c r="N174" s="18"/>
      <c r="O174" s="18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>
      <c r="A175" s="7"/>
      <c r="B175" s="8" t="s">
        <v>260</v>
      </c>
      <c r="C175" s="9">
        <f t="shared" si="1"/>
        <v>16177</v>
      </c>
      <c r="D175" s="28"/>
      <c r="E175" s="29"/>
      <c r="F175" s="18"/>
      <c r="G175" s="18"/>
      <c r="H175" s="18"/>
      <c r="I175" s="25"/>
      <c r="J175" s="18"/>
      <c r="K175" s="18"/>
      <c r="L175" s="18"/>
      <c r="M175" s="18"/>
      <c r="N175" s="18"/>
      <c r="O175" s="18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>
      <c r="A176" s="7"/>
      <c r="B176" s="8" t="s">
        <v>261</v>
      </c>
      <c r="C176" s="9">
        <f t="shared" si="1"/>
        <v>16178</v>
      </c>
      <c r="D176" s="28"/>
      <c r="E176" s="29"/>
      <c r="F176" s="18"/>
      <c r="G176" s="18"/>
      <c r="H176" s="18"/>
      <c r="I176" s="25"/>
      <c r="J176" s="18"/>
      <c r="K176" s="18"/>
      <c r="L176" s="18"/>
      <c r="M176" s="18"/>
      <c r="N176" s="18"/>
      <c r="O176" s="18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>
      <c r="A177" s="7"/>
      <c r="B177" s="8" t="s">
        <v>262</v>
      </c>
      <c r="C177" s="9">
        <f t="shared" si="1"/>
        <v>16179</v>
      </c>
      <c r="D177" s="28"/>
      <c r="E177" s="29"/>
      <c r="F177" s="18"/>
      <c r="G177" s="18"/>
      <c r="H177" s="18"/>
      <c r="I177" s="25"/>
      <c r="J177" s="18"/>
      <c r="K177" s="18"/>
      <c r="L177" s="18"/>
      <c r="M177" s="18"/>
      <c r="N177" s="18"/>
      <c r="O177" s="18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>
      <c r="A178" s="7"/>
      <c r="B178" s="8" t="s">
        <v>263</v>
      </c>
      <c r="C178" s="9">
        <f t="shared" si="1"/>
        <v>16180</v>
      </c>
      <c r="D178" s="28"/>
      <c r="E178" s="29"/>
      <c r="F178" s="18"/>
      <c r="G178" s="18"/>
      <c r="H178" s="18"/>
      <c r="I178" s="25"/>
      <c r="J178" s="18"/>
      <c r="K178" s="18"/>
      <c r="L178" s="18"/>
      <c r="M178" s="18"/>
      <c r="N178" s="18"/>
      <c r="O178" s="18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>
      <c r="A179" s="7"/>
      <c r="B179" s="8" t="s">
        <v>264</v>
      </c>
      <c r="C179" s="9">
        <f t="shared" si="1"/>
        <v>16181</v>
      </c>
      <c r="D179" s="28"/>
      <c r="E179" s="29"/>
      <c r="F179" s="18"/>
      <c r="G179" s="18"/>
      <c r="H179" s="18"/>
      <c r="I179" s="25"/>
      <c r="J179" s="18"/>
      <c r="K179" s="18"/>
      <c r="L179" s="18"/>
      <c r="M179" s="18"/>
      <c r="N179" s="18"/>
      <c r="O179" s="18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>
      <c r="A180" s="7"/>
      <c r="B180" s="8" t="s">
        <v>265</v>
      </c>
      <c r="C180" s="9">
        <f t="shared" si="1"/>
        <v>16182</v>
      </c>
      <c r="D180" s="28"/>
      <c r="E180" s="29"/>
      <c r="F180" s="18"/>
      <c r="G180" s="18"/>
      <c r="H180" s="18"/>
      <c r="I180" s="25"/>
      <c r="J180" s="18"/>
      <c r="K180" s="18"/>
      <c r="L180" s="18"/>
      <c r="M180" s="18"/>
      <c r="N180" s="18"/>
      <c r="O180" s="18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>
      <c r="A181" s="7"/>
      <c r="B181" s="8" t="s">
        <v>266</v>
      </c>
      <c r="C181" s="9">
        <f t="shared" si="1"/>
        <v>16183</v>
      </c>
      <c r="D181" s="28"/>
      <c r="E181" s="29"/>
      <c r="F181" s="18"/>
      <c r="G181" s="18"/>
      <c r="H181" s="18"/>
      <c r="I181" s="25"/>
      <c r="J181" s="18"/>
      <c r="K181" s="18"/>
      <c r="L181" s="18"/>
      <c r="M181" s="18"/>
      <c r="N181" s="18"/>
      <c r="O181" s="18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>
      <c r="A182" s="7"/>
      <c r="B182" s="8" t="s">
        <v>267</v>
      </c>
      <c r="C182" s="9">
        <f t="shared" si="1"/>
        <v>16184</v>
      </c>
      <c r="D182" s="28"/>
      <c r="E182" s="29"/>
      <c r="F182" s="18"/>
      <c r="G182" s="18"/>
      <c r="H182" s="18"/>
      <c r="I182" s="25"/>
      <c r="J182" s="18"/>
      <c r="K182" s="18"/>
      <c r="L182" s="18"/>
      <c r="M182" s="18"/>
      <c r="N182" s="18"/>
      <c r="O182" s="18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>
      <c r="A183" s="7"/>
      <c r="B183" s="8" t="s">
        <v>268</v>
      </c>
      <c r="C183" s="9">
        <f t="shared" si="1"/>
        <v>16185</v>
      </c>
      <c r="D183" s="28"/>
      <c r="E183" s="29"/>
      <c r="F183" s="18"/>
      <c r="G183" s="18"/>
      <c r="H183" s="18"/>
      <c r="I183" s="25"/>
      <c r="J183" s="18"/>
      <c r="K183" s="18"/>
      <c r="L183" s="18"/>
      <c r="M183" s="18"/>
      <c r="N183" s="18"/>
      <c r="O183" s="18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>
      <c r="A184" s="7"/>
      <c r="B184" s="8" t="s">
        <v>269</v>
      </c>
      <c r="C184" s="9">
        <f t="shared" si="1"/>
        <v>16186</v>
      </c>
      <c r="D184" s="28"/>
      <c r="E184" s="29"/>
      <c r="F184" s="18"/>
      <c r="G184" s="18"/>
      <c r="H184" s="18"/>
      <c r="I184" s="25"/>
      <c r="J184" s="18"/>
      <c r="K184" s="18"/>
      <c r="L184" s="18"/>
      <c r="M184" s="18"/>
      <c r="N184" s="18"/>
      <c r="O184" s="18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>
      <c r="A185" s="7"/>
      <c r="B185" s="8" t="s">
        <v>270</v>
      </c>
      <c r="C185" s="9">
        <f t="shared" si="1"/>
        <v>16187</v>
      </c>
      <c r="D185" s="28"/>
      <c r="E185" s="29"/>
      <c r="F185" s="18"/>
      <c r="G185" s="18"/>
      <c r="H185" s="18"/>
      <c r="I185" s="25"/>
      <c r="J185" s="18"/>
      <c r="K185" s="18"/>
      <c r="L185" s="18"/>
      <c r="M185" s="18"/>
      <c r="N185" s="18"/>
      <c r="O185" s="18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>
      <c r="A186" s="7"/>
      <c r="B186" s="8" t="s">
        <v>271</v>
      </c>
      <c r="C186" s="9">
        <f t="shared" si="1"/>
        <v>16188</v>
      </c>
      <c r="D186" s="28"/>
      <c r="E186" s="29"/>
      <c r="F186" s="18"/>
      <c r="G186" s="18"/>
      <c r="H186" s="18"/>
      <c r="I186" s="25"/>
      <c r="J186" s="18"/>
      <c r="K186" s="18"/>
      <c r="L186" s="18"/>
      <c r="M186" s="18"/>
      <c r="N186" s="18"/>
      <c r="O186" s="18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>
      <c r="A187" s="7"/>
      <c r="B187" s="8" t="s">
        <v>272</v>
      </c>
      <c r="C187" s="9">
        <f t="shared" si="1"/>
        <v>16189</v>
      </c>
      <c r="D187" s="28"/>
      <c r="E187" s="29"/>
      <c r="F187" s="18"/>
      <c r="G187" s="18"/>
      <c r="H187" s="18"/>
      <c r="I187" s="25"/>
      <c r="J187" s="18"/>
      <c r="K187" s="18"/>
      <c r="L187" s="18"/>
      <c r="M187" s="18"/>
      <c r="N187" s="18"/>
      <c r="O187" s="18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>
      <c r="A188" s="7"/>
      <c r="B188" s="8" t="s">
        <v>273</v>
      </c>
      <c r="C188" s="9">
        <f t="shared" si="1"/>
        <v>16190</v>
      </c>
      <c r="D188" s="28"/>
      <c r="E188" s="29"/>
      <c r="F188" s="18"/>
      <c r="G188" s="18"/>
      <c r="H188" s="18"/>
      <c r="I188" s="25"/>
      <c r="J188" s="18"/>
      <c r="K188" s="18"/>
      <c r="L188" s="18"/>
      <c r="M188" s="18"/>
      <c r="N188" s="18"/>
      <c r="O188" s="18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>
      <c r="A189" s="7"/>
      <c r="B189" s="8" t="s">
        <v>274</v>
      </c>
      <c r="C189" s="9">
        <f t="shared" si="1"/>
        <v>16191</v>
      </c>
      <c r="D189" s="28"/>
      <c r="E189" s="29"/>
      <c r="F189" s="18"/>
      <c r="G189" s="18"/>
      <c r="H189" s="18"/>
      <c r="I189" s="25"/>
      <c r="J189" s="18"/>
      <c r="K189" s="18"/>
      <c r="L189" s="18"/>
      <c r="M189" s="18"/>
      <c r="N189" s="18"/>
      <c r="O189" s="18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>
      <c r="A190" s="7"/>
      <c r="B190" s="8" t="s">
        <v>275</v>
      </c>
      <c r="C190" s="9">
        <f t="shared" si="1"/>
        <v>16192</v>
      </c>
      <c r="D190" s="28"/>
      <c r="E190" s="29"/>
      <c r="F190" s="18"/>
      <c r="G190" s="18"/>
      <c r="H190" s="18"/>
      <c r="I190" s="25"/>
      <c r="J190" s="18"/>
      <c r="K190" s="18"/>
      <c r="L190" s="18"/>
      <c r="M190" s="18"/>
      <c r="N190" s="18"/>
      <c r="O190" s="18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>
      <c r="A191" s="7"/>
      <c r="B191" s="8" t="s">
        <v>276</v>
      </c>
      <c r="C191" s="9">
        <f t="shared" si="1"/>
        <v>16193</v>
      </c>
      <c r="D191" s="28"/>
      <c r="E191" s="29"/>
      <c r="F191" s="18"/>
      <c r="G191" s="18"/>
      <c r="H191" s="18"/>
      <c r="I191" s="25"/>
      <c r="J191" s="18"/>
      <c r="K191" s="18"/>
      <c r="L191" s="18"/>
      <c r="M191" s="18"/>
      <c r="N191" s="18"/>
      <c r="O191" s="18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>
      <c r="A192" s="7"/>
      <c r="B192" s="8" t="s">
        <v>277</v>
      </c>
      <c r="C192" s="9">
        <f t="shared" si="1"/>
        <v>16194</v>
      </c>
      <c r="D192" s="28"/>
      <c r="E192" s="29"/>
      <c r="F192" s="18"/>
      <c r="G192" s="18"/>
      <c r="H192" s="18"/>
      <c r="I192" s="25"/>
      <c r="J192" s="18"/>
      <c r="K192" s="18"/>
      <c r="L192" s="18"/>
      <c r="M192" s="18"/>
      <c r="N192" s="18"/>
      <c r="O192" s="18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>
      <c r="A193" s="7"/>
      <c r="B193" s="8" t="s">
        <v>278</v>
      </c>
      <c r="C193" s="9">
        <f t="shared" si="1"/>
        <v>16195</v>
      </c>
      <c r="D193" s="28"/>
      <c r="E193" s="29"/>
      <c r="F193" s="18"/>
      <c r="G193" s="18"/>
      <c r="H193" s="18"/>
      <c r="I193" s="25"/>
      <c r="J193" s="18"/>
      <c r="K193" s="18"/>
      <c r="L193" s="18"/>
      <c r="M193" s="18"/>
      <c r="N193" s="18"/>
      <c r="O193" s="18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>
      <c r="A194" s="7"/>
      <c r="B194" s="8" t="s">
        <v>279</v>
      </c>
      <c r="C194" s="9">
        <f t="shared" si="1"/>
        <v>16196</v>
      </c>
      <c r="D194" s="28"/>
      <c r="E194" s="29"/>
      <c r="F194" s="18"/>
      <c r="G194" s="18"/>
      <c r="H194" s="18"/>
      <c r="I194" s="25"/>
      <c r="J194" s="18"/>
      <c r="K194" s="18"/>
      <c r="L194" s="18"/>
      <c r="M194" s="18"/>
      <c r="N194" s="18"/>
      <c r="O194" s="18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>
      <c r="A195" s="7"/>
      <c r="B195" s="8" t="s">
        <v>280</v>
      </c>
      <c r="C195" s="9">
        <f t="shared" si="1"/>
        <v>16197</v>
      </c>
      <c r="D195" s="28"/>
      <c r="E195" s="29"/>
      <c r="F195" s="18"/>
      <c r="G195" s="18"/>
      <c r="H195" s="18"/>
      <c r="I195" s="25"/>
      <c r="J195" s="18"/>
      <c r="K195" s="18"/>
      <c r="L195" s="18"/>
      <c r="M195" s="18"/>
      <c r="N195" s="18"/>
      <c r="O195" s="18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>
      <c r="A196" s="7"/>
      <c r="B196" s="8" t="s">
        <v>281</v>
      </c>
      <c r="C196" s="9">
        <f t="shared" si="1"/>
        <v>16198</v>
      </c>
      <c r="D196" s="28"/>
      <c r="E196" s="29"/>
      <c r="F196" s="18"/>
      <c r="G196" s="18"/>
      <c r="H196" s="18"/>
      <c r="I196" s="25"/>
      <c r="J196" s="18"/>
      <c r="K196" s="18"/>
      <c r="L196" s="18"/>
      <c r="M196" s="18"/>
      <c r="N196" s="18"/>
      <c r="O196" s="18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>
      <c r="A197" s="7"/>
      <c r="B197" s="8" t="s">
        <v>282</v>
      </c>
      <c r="C197" s="9">
        <f t="shared" si="1"/>
        <v>16199</v>
      </c>
      <c r="D197" s="28"/>
      <c r="E197" s="29"/>
      <c r="F197" s="18"/>
      <c r="G197" s="18"/>
      <c r="H197" s="18"/>
      <c r="I197" s="25"/>
      <c r="J197" s="18"/>
      <c r="K197" s="18"/>
      <c r="L197" s="18"/>
      <c r="M197" s="18"/>
      <c r="N197" s="18"/>
      <c r="O197" s="18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>
      <c r="A198" s="7"/>
      <c r="B198" s="8" t="s">
        <v>283</v>
      </c>
      <c r="C198" s="9">
        <f t="shared" si="1"/>
        <v>16200</v>
      </c>
      <c r="D198" s="10"/>
      <c r="E198" s="11"/>
      <c r="F198" s="2"/>
      <c r="G198" s="2"/>
      <c r="H198" s="2"/>
      <c r="I198" s="25"/>
      <c r="J198" s="2"/>
      <c r="K198" s="2"/>
      <c r="L198" s="2"/>
      <c r="M198" s="26"/>
      <c r="N198" s="18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>
      <c r="A199" s="7"/>
      <c r="B199" s="8" t="s">
        <v>284</v>
      </c>
      <c r="C199" s="9">
        <f t="shared" si="1"/>
        <v>16201</v>
      </c>
      <c r="D199" s="10"/>
      <c r="E199" s="11"/>
      <c r="F199" s="2"/>
      <c r="G199" s="2"/>
      <c r="H199" s="2"/>
      <c r="I199" s="25"/>
      <c r="J199" s="2"/>
      <c r="K199" s="2"/>
      <c r="L199" s="2"/>
      <c r="M199" s="26"/>
      <c r="N199" s="18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>
      <c r="A200" s="7"/>
      <c r="B200" s="8" t="s">
        <v>285</v>
      </c>
      <c r="C200" s="9">
        <f t="shared" si="1"/>
        <v>16202</v>
      </c>
      <c r="D200" s="10"/>
      <c r="E200" s="11"/>
      <c r="F200" s="2"/>
      <c r="G200" s="2"/>
      <c r="H200" s="2"/>
      <c r="I200" s="25"/>
      <c r="J200" s="2"/>
      <c r="K200" s="2"/>
      <c r="L200" s="2"/>
      <c r="M200" s="26"/>
      <c r="N200" s="18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>
      <c r="A201" s="7"/>
      <c r="B201" s="8" t="s">
        <v>286</v>
      </c>
      <c r="C201" s="9">
        <f t="shared" si="1"/>
        <v>16203</v>
      </c>
      <c r="D201" s="10"/>
      <c r="E201" s="11"/>
      <c r="F201" s="2"/>
      <c r="G201" s="2"/>
      <c r="H201" s="2"/>
      <c r="I201" s="25"/>
      <c r="J201" s="2"/>
      <c r="K201" s="2"/>
      <c r="L201" s="2"/>
      <c r="M201" s="26"/>
      <c r="N201" s="18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>
      <c r="A202" s="7"/>
      <c r="B202" s="8" t="s">
        <v>287</v>
      </c>
      <c r="C202" s="9">
        <f t="shared" si="1"/>
        <v>16204</v>
      </c>
      <c r="D202" s="10"/>
      <c r="E202" s="11"/>
      <c r="F202" s="2"/>
      <c r="G202" s="2"/>
      <c r="H202" s="2"/>
      <c r="I202" s="25"/>
      <c r="J202" s="2"/>
      <c r="K202" s="2"/>
      <c r="L202" s="2"/>
      <c r="M202" s="26"/>
      <c r="N202" s="18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>
      <c r="A203" s="7"/>
      <c r="B203" s="8" t="s">
        <v>288</v>
      </c>
      <c r="C203" s="9">
        <f t="shared" si="1"/>
        <v>16205</v>
      </c>
      <c r="D203" s="10"/>
      <c r="E203" s="11"/>
      <c r="F203" s="2"/>
      <c r="G203" s="2"/>
      <c r="H203" s="2"/>
      <c r="I203" s="25"/>
      <c r="J203" s="2"/>
      <c r="K203" s="2"/>
      <c r="L203" s="2"/>
      <c r="M203" s="26"/>
      <c r="N203" s="18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>
      <c r="A204" s="7"/>
      <c r="B204" s="8" t="s">
        <v>289</v>
      </c>
      <c r="C204" s="9">
        <f t="shared" si="1"/>
        <v>16206</v>
      </c>
      <c r="D204" s="10"/>
      <c r="E204" s="11"/>
      <c r="F204" s="2"/>
      <c r="G204" s="2"/>
      <c r="H204" s="2"/>
      <c r="I204" s="25"/>
      <c r="J204" s="2"/>
      <c r="K204" s="2"/>
      <c r="L204" s="2"/>
      <c r="M204" s="26"/>
      <c r="N204" s="18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>
      <c r="A205" s="7"/>
      <c r="B205" s="8" t="s">
        <v>290</v>
      </c>
      <c r="C205" s="9">
        <f t="shared" si="1"/>
        <v>16207</v>
      </c>
      <c r="D205" s="10"/>
      <c r="E205" s="11"/>
      <c r="F205" s="2"/>
      <c r="G205" s="2"/>
      <c r="H205" s="2"/>
      <c r="I205" s="25"/>
      <c r="J205" s="2"/>
      <c r="K205" s="2"/>
      <c r="L205" s="2"/>
      <c r="M205" s="26"/>
      <c r="N205" s="18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>
      <c r="A206" s="7"/>
      <c r="B206" s="8" t="s">
        <v>291</v>
      </c>
      <c r="C206" s="9">
        <f t="shared" si="1"/>
        <v>16208</v>
      </c>
      <c r="D206" s="28"/>
      <c r="E206" s="29"/>
      <c r="F206" s="18"/>
      <c r="G206" s="18"/>
      <c r="H206" s="18"/>
      <c r="I206" s="25"/>
      <c r="J206" s="18"/>
      <c r="K206" s="18"/>
      <c r="L206" s="18"/>
      <c r="M206" s="18"/>
      <c r="N206" s="18"/>
      <c r="O206" s="18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>
      <c r="A207" s="7"/>
      <c r="B207" s="8" t="s">
        <v>292</v>
      </c>
      <c r="C207" s="9">
        <f t="shared" si="1"/>
        <v>16209</v>
      </c>
      <c r="D207" s="28"/>
      <c r="E207" s="29"/>
      <c r="F207" s="18"/>
      <c r="G207" s="18"/>
      <c r="H207" s="18"/>
      <c r="I207" s="25"/>
      <c r="J207" s="18"/>
      <c r="K207" s="18"/>
      <c r="L207" s="18"/>
      <c r="M207" s="18"/>
      <c r="N207" s="18"/>
      <c r="O207" s="18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>
      <c r="A208" s="7"/>
      <c r="B208" s="8" t="s">
        <v>293</v>
      </c>
      <c r="C208" s="9">
        <f t="shared" si="1"/>
        <v>16210</v>
      </c>
      <c r="D208" s="28"/>
      <c r="E208" s="29"/>
      <c r="F208" s="18"/>
      <c r="G208" s="18"/>
      <c r="H208" s="18"/>
      <c r="I208" s="25"/>
      <c r="J208" s="18"/>
      <c r="K208" s="18"/>
      <c r="L208" s="18"/>
      <c r="M208" s="18"/>
      <c r="N208" s="18"/>
      <c r="O208" s="18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>
      <c r="A209" s="7"/>
      <c r="B209" s="8" t="s">
        <v>294</v>
      </c>
      <c r="C209" s="9">
        <f t="shared" si="1"/>
        <v>16211</v>
      </c>
      <c r="D209" s="28"/>
      <c r="E209" s="29"/>
      <c r="F209" s="18"/>
      <c r="G209" s="18"/>
      <c r="H209" s="18"/>
      <c r="I209" s="25"/>
      <c r="J209" s="18"/>
      <c r="K209" s="18"/>
      <c r="L209" s="18"/>
      <c r="M209" s="18"/>
      <c r="N209" s="18"/>
      <c r="O209" s="18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>
      <c r="A210" s="7"/>
      <c r="B210" s="8" t="s">
        <v>295</v>
      </c>
      <c r="C210" s="9">
        <f t="shared" si="1"/>
        <v>16212</v>
      </c>
      <c r="D210" s="28"/>
      <c r="E210" s="29"/>
      <c r="F210" s="18"/>
      <c r="G210" s="18"/>
      <c r="H210" s="18"/>
      <c r="I210" s="25"/>
      <c r="J210" s="18"/>
      <c r="K210" s="18"/>
      <c r="L210" s="18"/>
      <c r="M210" s="18"/>
      <c r="N210" s="18"/>
      <c r="O210" s="18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>
      <c r="A211" s="7"/>
      <c r="B211" s="8" t="s">
        <v>296</v>
      </c>
      <c r="C211" s="9">
        <f t="shared" si="1"/>
        <v>16213</v>
      </c>
      <c r="D211" s="28"/>
      <c r="E211" s="29"/>
      <c r="F211" s="18"/>
      <c r="G211" s="18"/>
      <c r="H211" s="18"/>
      <c r="I211" s="25"/>
      <c r="J211" s="18"/>
      <c r="K211" s="18"/>
      <c r="L211" s="18"/>
      <c r="M211" s="18"/>
      <c r="N211" s="18"/>
      <c r="O211" s="18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>
      <c r="A212" s="7"/>
      <c r="B212" s="8" t="s">
        <v>297</v>
      </c>
      <c r="C212" s="9">
        <f t="shared" si="1"/>
        <v>16214</v>
      </c>
      <c r="D212" s="28"/>
      <c r="E212" s="29"/>
      <c r="F212" s="18"/>
      <c r="G212" s="18"/>
      <c r="H212" s="18"/>
      <c r="I212" s="25"/>
      <c r="J212" s="18"/>
      <c r="K212" s="18"/>
      <c r="L212" s="18"/>
      <c r="M212" s="18"/>
      <c r="N212" s="18"/>
      <c r="O212" s="18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>
      <c r="A213" s="7"/>
      <c r="B213" s="8" t="s">
        <v>298</v>
      </c>
      <c r="C213" s="9">
        <f t="shared" si="1"/>
        <v>16215</v>
      </c>
      <c r="D213" s="28"/>
      <c r="E213" s="29"/>
      <c r="F213" s="18"/>
      <c r="G213" s="18"/>
      <c r="H213" s="18"/>
      <c r="I213" s="25"/>
      <c r="J213" s="18"/>
      <c r="K213" s="18"/>
      <c r="L213" s="18"/>
      <c r="M213" s="18"/>
      <c r="N213" s="18"/>
      <c r="O213" s="18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>
      <c r="A214" s="7"/>
      <c r="B214" s="8" t="s">
        <v>299</v>
      </c>
      <c r="C214" s="9">
        <f t="shared" si="1"/>
        <v>16216</v>
      </c>
      <c r="D214" s="28"/>
      <c r="E214" s="29"/>
      <c r="F214" s="18"/>
      <c r="G214" s="18"/>
      <c r="H214" s="18"/>
      <c r="I214" s="25"/>
      <c r="J214" s="18"/>
      <c r="K214" s="18"/>
      <c r="L214" s="18"/>
      <c r="M214" s="18"/>
      <c r="N214" s="18"/>
      <c r="O214" s="18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>
      <c r="A215" s="7"/>
      <c r="B215" s="8" t="s">
        <v>300</v>
      </c>
      <c r="C215" s="9">
        <f t="shared" si="1"/>
        <v>16217</v>
      </c>
      <c r="D215" s="28"/>
      <c r="E215" s="29"/>
      <c r="F215" s="18"/>
      <c r="G215" s="18"/>
      <c r="H215" s="18"/>
      <c r="I215" s="25"/>
      <c r="J215" s="18"/>
      <c r="K215" s="18"/>
      <c r="L215" s="18"/>
      <c r="M215" s="18"/>
      <c r="N215" s="18"/>
      <c r="O215" s="18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>
      <c r="A216" s="7"/>
      <c r="B216" s="8" t="s">
        <v>301</v>
      </c>
      <c r="C216" s="9">
        <f t="shared" si="1"/>
        <v>16218</v>
      </c>
      <c r="D216" s="28"/>
      <c r="E216" s="29"/>
      <c r="F216" s="18"/>
      <c r="G216" s="18"/>
      <c r="H216" s="18"/>
      <c r="I216" s="25"/>
      <c r="J216" s="18"/>
      <c r="K216" s="18"/>
      <c r="L216" s="18"/>
      <c r="M216" s="18"/>
      <c r="N216" s="18"/>
      <c r="O216" s="18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>
      <c r="A217" s="7"/>
      <c r="B217" s="8" t="s">
        <v>302</v>
      </c>
      <c r="C217" s="9">
        <f t="shared" si="1"/>
        <v>16219</v>
      </c>
      <c r="D217" s="28"/>
      <c r="E217" s="29"/>
      <c r="F217" s="18"/>
      <c r="G217" s="18"/>
      <c r="H217" s="18"/>
      <c r="I217" s="25"/>
      <c r="J217" s="18"/>
      <c r="K217" s="18"/>
      <c r="L217" s="18"/>
      <c r="M217" s="18"/>
      <c r="N217" s="18"/>
      <c r="O217" s="18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>
      <c r="A218" s="7"/>
      <c r="B218" s="8" t="s">
        <v>303</v>
      </c>
      <c r="C218" s="9">
        <f t="shared" si="1"/>
        <v>16220</v>
      </c>
      <c r="D218" s="28"/>
      <c r="E218" s="29"/>
      <c r="F218" s="18"/>
      <c r="G218" s="18"/>
      <c r="H218" s="18"/>
      <c r="I218" s="25"/>
      <c r="J218" s="18"/>
      <c r="K218" s="18"/>
      <c r="L218" s="18"/>
      <c r="M218" s="18"/>
      <c r="N218" s="18"/>
      <c r="O218" s="18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>
      <c r="A219" s="7"/>
      <c r="B219" s="8" t="s">
        <v>304</v>
      </c>
      <c r="C219" s="9">
        <f t="shared" si="1"/>
        <v>16221</v>
      </c>
      <c r="D219" s="28"/>
      <c r="E219" s="29"/>
      <c r="F219" s="18"/>
      <c r="G219" s="18"/>
      <c r="H219" s="18"/>
      <c r="I219" s="25"/>
      <c r="J219" s="18"/>
      <c r="K219" s="18"/>
      <c r="L219" s="18"/>
      <c r="M219" s="18"/>
      <c r="N219" s="18"/>
      <c r="O219" s="18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>
      <c r="A220" s="7"/>
      <c r="B220" s="8" t="s">
        <v>305</v>
      </c>
      <c r="C220" s="9">
        <f t="shared" si="1"/>
        <v>16222</v>
      </c>
      <c r="D220" s="28"/>
      <c r="E220" s="29"/>
      <c r="F220" s="18"/>
      <c r="G220" s="18"/>
      <c r="H220" s="18"/>
      <c r="I220" s="25"/>
      <c r="J220" s="18"/>
      <c r="K220" s="18"/>
      <c r="L220" s="18"/>
      <c r="M220" s="18"/>
      <c r="N220" s="18"/>
      <c r="O220" s="18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>
      <c r="A221" s="7"/>
      <c r="B221" s="8" t="s">
        <v>306</v>
      </c>
      <c r="C221" s="9">
        <f t="shared" si="1"/>
        <v>16223</v>
      </c>
      <c r="D221" s="28"/>
      <c r="E221" s="29"/>
      <c r="F221" s="18"/>
      <c r="G221" s="18"/>
      <c r="H221" s="18"/>
      <c r="I221" s="25"/>
      <c r="J221" s="18"/>
      <c r="K221" s="18"/>
      <c r="L221" s="18"/>
      <c r="M221" s="18"/>
      <c r="N221" s="18"/>
      <c r="O221" s="18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>
      <c r="A222" s="7"/>
      <c r="B222" s="8" t="s">
        <v>307</v>
      </c>
      <c r="C222" s="9">
        <f t="shared" si="1"/>
        <v>16224</v>
      </c>
      <c r="D222" s="28"/>
      <c r="E222" s="29"/>
      <c r="F222" s="18"/>
      <c r="G222" s="18"/>
      <c r="H222" s="18"/>
      <c r="I222" s="25"/>
      <c r="J222" s="18"/>
      <c r="K222" s="18"/>
      <c r="L222" s="18"/>
      <c r="M222" s="18"/>
      <c r="N222" s="18"/>
      <c r="O222" s="18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>
      <c r="A223" s="7"/>
      <c r="B223" s="8" t="s">
        <v>308</v>
      </c>
      <c r="C223" s="9">
        <f t="shared" si="1"/>
        <v>16225</v>
      </c>
      <c r="D223" s="28"/>
      <c r="E223" s="29"/>
      <c r="F223" s="18"/>
      <c r="G223" s="18"/>
      <c r="H223" s="18"/>
      <c r="I223" s="25"/>
      <c r="J223" s="18"/>
      <c r="K223" s="18"/>
      <c r="L223" s="18"/>
      <c r="M223" s="18"/>
      <c r="N223" s="18"/>
      <c r="O223" s="18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>
      <c r="A224" s="7"/>
      <c r="B224" s="8" t="s">
        <v>309</v>
      </c>
      <c r="C224" s="9">
        <f t="shared" si="1"/>
        <v>16226</v>
      </c>
      <c r="D224" s="28"/>
      <c r="E224" s="29"/>
      <c r="F224" s="18"/>
      <c r="G224" s="18"/>
      <c r="H224" s="18"/>
      <c r="I224" s="25"/>
      <c r="J224" s="18"/>
      <c r="K224" s="18"/>
      <c r="L224" s="18"/>
      <c r="M224" s="18"/>
      <c r="N224" s="18"/>
      <c r="O224" s="18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>
      <c r="A225" s="7"/>
      <c r="B225" s="8" t="s">
        <v>310</v>
      </c>
      <c r="C225" s="9">
        <f t="shared" si="1"/>
        <v>16227</v>
      </c>
      <c r="D225" s="28"/>
      <c r="E225" s="29"/>
      <c r="F225" s="18"/>
      <c r="G225" s="18"/>
      <c r="H225" s="18"/>
      <c r="I225" s="25"/>
      <c r="J225" s="18"/>
      <c r="K225" s="18"/>
      <c r="L225" s="18"/>
      <c r="M225" s="18"/>
      <c r="N225" s="18"/>
      <c r="O225" s="18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>
      <c r="A226" s="7"/>
      <c r="B226" s="8" t="s">
        <v>311</v>
      </c>
      <c r="C226" s="9">
        <f t="shared" si="1"/>
        <v>16228</v>
      </c>
      <c r="D226" s="28"/>
      <c r="E226" s="29"/>
      <c r="F226" s="18"/>
      <c r="G226" s="18"/>
      <c r="H226" s="18"/>
      <c r="I226" s="25"/>
      <c r="J226" s="18"/>
      <c r="K226" s="18"/>
      <c r="L226" s="18"/>
      <c r="M226" s="18"/>
      <c r="N226" s="18"/>
      <c r="O226" s="18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>
      <c r="A227" s="7"/>
      <c r="B227" s="8" t="s">
        <v>312</v>
      </c>
      <c r="C227" s="9">
        <f t="shared" si="1"/>
        <v>16229</v>
      </c>
      <c r="D227" s="28"/>
      <c r="E227" s="29"/>
      <c r="F227" s="18"/>
      <c r="G227" s="18"/>
      <c r="H227" s="18"/>
      <c r="I227" s="25"/>
      <c r="J227" s="18"/>
      <c r="K227" s="18"/>
      <c r="L227" s="18"/>
      <c r="M227" s="18"/>
      <c r="N227" s="18"/>
      <c r="O227" s="18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>
      <c r="A228" s="7"/>
      <c r="B228" s="8" t="s">
        <v>313</v>
      </c>
      <c r="C228" s="9">
        <f t="shared" si="1"/>
        <v>16230</v>
      </c>
      <c r="D228" s="28"/>
      <c r="E228" s="29"/>
      <c r="F228" s="18"/>
      <c r="G228" s="18"/>
      <c r="H228" s="18"/>
      <c r="I228" s="25"/>
      <c r="J228" s="18"/>
      <c r="K228" s="18"/>
      <c r="L228" s="18"/>
      <c r="M228" s="18"/>
      <c r="N228" s="18"/>
      <c r="O228" s="18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>
      <c r="A229" s="7"/>
      <c r="B229" s="8" t="s">
        <v>314</v>
      </c>
      <c r="C229" s="9">
        <f t="shared" si="1"/>
        <v>16231</v>
      </c>
      <c r="D229" s="28"/>
      <c r="E229" s="29"/>
      <c r="F229" s="18"/>
      <c r="G229" s="18"/>
      <c r="H229" s="18"/>
      <c r="I229" s="25"/>
      <c r="J229" s="18"/>
      <c r="K229" s="18"/>
      <c r="L229" s="18"/>
      <c r="M229" s="18"/>
      <c r="N229" s="18"/>
      <c r="O229" s="18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>
      <c r="A230" s="7"/>
      <c r="B230" s="8" t="s">
        <v>315</v>
      </c>
      <c r="C230" s="9">
        <f t="shared" si="1"/>
        <v>16232</v>
      </c>
      <c r="D230" s="28"/>
      <c r="E230" s="29"/>
      <c r="F230" s="18"/>
      <c r="G230" s="18"/>
      <c r="H230" s="18"/>
      <c r="I230" s="25"/>
      <c r="J230" s="18"/>
      <c r="K230" s="18"/>
      <c r="L230" s="18"/>
      <c r="M230" s="18"/>
      <c r="N230" s="18"/>
      <c r="O230" s="18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>
      <c r="A231" s="7"/>
      <c r="B231" s="8" t="s">
        <v>316</v>
      </c>
      <c r="C231" s="9">
        <f t="shared" si="1"/>
        <v>16233</v>
      </c>
      <c r="D231" s="28"/>
      <c r="E231" s="29"/>
      <c r="F231" s="18"/>
      <c r="G231" s="18"/>
      <c r="H231" s="18"/>
      <c r="I231" s="25"/>
      <c r="J231" s="18"/>
      <c r="K231" s="18"/>
      <c r="L231" s="18"/>
      <c r="M231" s="18"/>
      <c r="N231" s="18"/>
      <c r="O231" s="18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>
      <c r="A232" s="7"/>
      <c r="B232" s="8" t="s">
        <v>317</v>
      </c>
      <c r="C232" s="9">
        <f t="shared" si="1"/>
        <v>16234</v>
      </c>
      <c r="D232" s="28"/>
      <c r="E232" s="29"/>
      <c r="F232" s="18"/>
      <c r="G232" s="18"/>
      <c r="H232" s="18"/>
      <c r="I232" s="25"/>
      <c r="J232" s="18"/>
      <c r="K232" s="18"/>
      <c r="L232" s="18"/>
      <c r="M232" s="18"/>
      <c r="N232" s="18"/>
      <c r="O232" s="18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>
      <c r="A233" s="7"/>
      <c r="B233" s="8" t="s">
        <v>318</v>
      </c>
      <c r="C233" s="9">
        <f t="shared" si="1"/>
        <v>16235</v>
      </c>
      <c r="D233" s="28"/>
      <c r="E233" s="29"/>
      <c r="F233" s="18"/>
      <c r="G233" s="18"/>
      <c r="H233" s="18"/>
      <c r="I233" s="25"/>
      <c r="J233" s="18"/>
      <c r="K233" s="18"/>
      <c r="L233" s="18"/>
      <c r="M233" s="18"/>
      <c r="N233" s="18"/>
      <c r="O233" s="18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>
      <c r="A234" s="7"/>
      <c r="B234" s="8" t="s">
        <v>319</v>
      </c>
      <c r="C234" s="9">
        <f t="shared" si="1"/>
        <v>16236</v>
      </c>
      <c r="D234" s="28"/>
      <c r="E234" s="29"/>
      <c r="F234" s="18"/>
      <c r="G234" s="18"/>
      <c r="H234" s="18"/>
      <c r="I234" s="25"/>
      <c r="J234" s="18"/>
      <c r="K234" s="18"/>
      <c r="L234" s="18"/>
      <c r="M234" s="18"/>
      <c r="N234" s="18"/>
      <c r="O234" s="18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>
      <c r="A235" s="7"/>
      <c r="B235" s="8" t="s">
        <v>320</v>
      </c>
      <c r="C235" s="9">
        <f t="shared" si="1"/>
        <v>16237</v>
      </c>
      <c r="D235" s="28"/>
      <c r="E235" s="29"/>
      <c r="F235" s="18"/>
      <c r="G235" s="18"/>
      <c r="H235" s="18"/>
      <c r="I235" s="25"/>
      <c r="J235" s="18"/>
      <c r="K235" s="18"/>
      <c r="L235" s="18"/>
      <c r="M235" s="18"/>
      <c r="N235" s="18"/>
      <c r="O235" s="18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>
      <c r="A236" s="7"/>
      <c r="B236" s="8" t="s">
        <v>321</v>
      </c>
      <c r="C236" s="9">
        <f t="shared" si="1"/>
        <v>16238</v>
      </c>
      <c r="D236" s="28"/>
      <c r="E236" s="29"/>
      <c r="F236" s="18"/>
      <c r="G236" s="18"/>
      <c r="H236" s="18"/>
      <c r="I236" s="25"/>
      <c r="J236" s="18"/>
      <c r="K236" s="18"/>
      <c r="L236" s="18"/>
      <c r="M236" s="18"/>
      <c r="N236" s="18"/>
      <c r="O236" s="18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>
      <c r="A237" s="7"/>
      <c r="B237" s="8" t="s">
        <v>322</v>
      </c>
      <c r="C237" s="9">
        <f t="shared" si="1"/>
        <v>16239</v>
      </c>
      <c r="D237" s="28"/>
      <c r="E237" s="29"/>
      <c r="F237" s="18"/>
      <c r="G237" s="18"/>
      <c r="H237" s="18"/>
      <c r="I237" s="25"/>
      <c r="J237" s="18"/>
      <c r="K237" s="18"/>
      <c r="L237" s="18"/>
      <c r="M237" s="18"/>
      <c r="N237" s="18"/>
      <c r="O237" s="18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>
      <c r="A238" s="7"/>
      <c r="B238" s="8" t="s">
        <v>323</v>
      </c>
      <c r="C238" s="9">
        <f t="shared" si="1"/>
        <v>16240</v>
      </c>
      <c r="D238" s="28"/>
      <c r="E238" s="29"/>
      <c r="F238" s="18"/>
      <c r="G238" s="18"/>
      <c r="H238" s="18"/>
      <c r="I238" s="25"/>
      <c r="J238" s="18"/>
      <c r="K238" s="18"/>
      <c r="L238" s="18"/>
      <c r="M238" s="18"/>
      <c r="N238" s="18"/>
      <c r="O238" s="18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>
      <c r="A239" s="7"/>
      <c r="B239" s="8" t="s">
        <v>324</v>
      </c>
      <c r="C239" s="9">
        <f t="shared" si="1"/>
        <v>16241</v>
      </c>
      <c r="D239" s="28"/>
      <c r="E239" s="29"/>
      <c r="F239" s="18"/>
      <c r="G239" s="18"/>
      <c r="H239" s="18"/>
      <c r="I239" s="25"/>
      <c r="J239" s="18"/>
      <c r="K239" s="18"/>
      <c r="L239" s="18"/>
      <c r="M239" s="18"/>
      <c r="N239" s="18"/>
      <c r="O239" s="18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>
      <c r="A240" s="7"/>
      <c r="B240" s="8" t="s">
        <v>325</v>
      </c>
      <c r="C240" s="9">
        <f t="shared" si="1"/>
        <v>16242</v>
      </c>
      <c r="D240" s="28"/>
      <c r="E240" s="29"/>
      <c r="F240" s="18"/>
      <c r="G240" s="18"/>
      <c r="H240" s="18"/>
      <c r="I240" s="25"/>
      <c r="J240" s="18"/>
      <c r="K240" s="18"/>
      <c r="L240" s="18"/>
      <c r="M240" s="18"/>
      <c r="N240" s="18"/>
      <c r="O240" s="18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>
      <c r="A241" s="7"/>
      <c r="B241" s="8" t="s">
        <v>326</v>
      </c>
      <c r="C241" s="9">
        <f t="shared" si="1"/>
        <v>16243</v>
      </c>
      <c r="D241" s="28"/>
      <c r="E241" s="29"/>
      <c r="F241" s="18"/>
      <c r="G241" s="18"/>
      <c r="H241" s="18"/>
      <c r="I241" s="25"/>
      <c r="J241" s="18"/>
      <c r="K241" s="18"/>
      <c r="L241" s="18"/>
      <c r="M241" s="18"/>
      <c r="N241" s="18"/>
      <c r="O241" s="18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>
      <c r="A242" s="7"/>
      <c r="B242" s="8" t="s">
        <v>327</v>
      </c>
      <c r="C242" s="9">
        <f t="shared" si="1"/>
        <v>16244</v>
      </c>
      <c r="D242" s="28"/>
      <c r="E242" s="29"/>
      <c r="F242" s="18"/>
      <c r="G242" s="18"/>
      <c r="H242" s="18"/>
      <c r="I242" s="25"/>
      <c r="J242" s="18"/>
      <c r="K242" s="18"/>
      <c r="L242" s="18"/>
      <c r="M242" s="18"/>
      <c r="N242" s="18"/>
      <c r="O242" s="18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>
      <c r="A243" s="7"/>
      <c r="B243" s="8" t="s">
        <v>328</v>
      </c>
      <c r="C243" s="9">
        <f t="shared" si="1"/>
        <v>16245</v>
      </c>
      <c r="D243" s="28"/>
      <c r="E243" s="29"/>
      <c r="F243" s="18"/>
      <c r="G243" s="18"/>
      <c r="H243" s="18"/>
      <c r="I243" s="25"/>
      <c r="J243" s="18"/>
      <c r="K243" s="18"/>
      <c r="L243" s="18"/>
      <c r="M243" s="18"/>
      <c r="N243" s="18"/>
      <c r="O243" s="18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>
      <c r="A244" s="7"/>
      <c r="B244" s="8" t="s">
        <v>329</v>
      </c>
      <c r="C244" s="9">
        <f t="shared" si="1"/>
        <v>16246</v>
      </c>
      <c r="D244" s="28"/>
      <c r="E244" s="29"/>
      <c r="F244" s="18"/>
      <c r="G244" s="18"/>
      <c r="H244" s="18"/>
      <c r="I244" s="25"/>
      <c r="J244" s="18"/>
      <c r="K244" s="18"/>
      <c r="L244" s="18"/>
      <c r="M244" s="18"/>
      <c r="N244" s="18"/>
      <c r="O244" s="18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>
      <c r="A245" s="7"/>
      <c r="B245" s="8" t="s">
        <v>330</v>
      </c>
      <c r="C245" s="9">
        <f t="shared" si="1"/>
        <v>16247</v>
      </c>
      <c r="D245" s="28"/>
      <c r="E245" s="29"/>
      <c r="F245" s="18"/>
      <c r="G245" s="18"/>
      <c r="H245" s="18"/>
      <c r="I245" s="25"/>
      <c r="J245" s="18"/>
      <c r="K245" s="18"/>
      <c r="L245" s="18"/>
      <c r="M245" s="18"/>
      <c r="N245" s="18"/>
      <c r="O245" s="18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>
      <c r="A246" s="7"/>
      <c r="B246" s="8" t="s">
        <v>331</v>
      </c>
      <c r="C246" s="9">
        <f t="shared" si="1"/>
        <v>16248</v>
      </c>
      <c r="D246" s="28"/>
      <c r="E246" s="29"/>
      <c r="F246" s="18"/>
      <c r="G246" s="18"/>
      <c r="H246" s="18"/>
      <c r="I246" s="25"/>
      <c r="J246" s="18"/>
      <c r="K246" s="18"/>
      <c r="L246" s="18"/>
      <c r="M246" s="18"/>
      <c r="N246" s="18"/>
      <c r="O246" s="18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>
      <c r="A247" s="7"/>
      <c r="B247" s="8" t="s">
        <v>332</v>
      </c>
      <c r="C247" s="9">
        <f t="shared" si="1"/>
        <v>16249</v>
      </c>
      <c r="D247" s="28"/>
      <c r="E247" s="29"/>
      <c r="F247" s="18"/>
      <c r="G247" s="18"/>
      <c r="H247" s="18"/>
      <c r="I247" s="25"/>
      <c r="J247" s="18"/>
      <c r="K247" s="18"/>
      <c r="L247" s="18"/>
      <c r="M247" s="18"/>
      <c r="N247" s="18"/>
      <c r="O247" s="18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>
      <c r="A248" s="7"/>
      <c r="B248" s="8" t="s">
        <v>333</v>
      </c>
      <c r="C248" s="9">
        <f t="shared" si="1"/>
        <v>16250</v>
      </c>
      <c r="D248" s="28"/>
      <c r="E248" s="29"/>
      <c r="F248" s="18"/>
      <c r="G248" s="18"/>
      <c r="H248" s="18"/>
      <c r="I248" s="25"/>
      <c r="J248" s="18"/>
      <c r="K248" s="18"/>
      <c r="L248" s="18"/>
      <c r="M248" s="18"/>
      <c r="N248" s="18"/>
      <c r="O248" s="18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>
      <c r="A249" s="1"/>
      <c r="B249" s="1"/>
      <c r="C249" s="18"/>
      <c r="D249" s="47"/>
      <c r="E249" s="18"/>
      <c r="F249" s="18"/>
      <c r="G249" s="18"/>
      <c r="H249" s="18"/>
      <c r="I249" s="25"/>
      <c r="J249" s="18"/>
      <c r="K249" s="18"/>
      <c r="L249" s="18"/>
      <c r="M249" s="18"/>
      <c r="N249" s="18"/>
      <c r="O249" s="18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>
      <c r="A250" s="1"/>
      <c r="B250" s="1"/>
      <c r="C250" s="18"/>
      <c r="D250" s="47"/>
      <c r="E250" s="18"/>
      <c r="F250" s="18"/>
      <c r="G250" s="18"/>
      <c r="H250" s="18"/>
      <c r="I250" s="25"/>
      <c r="J250" s="18"/>
      <c r="K250" s="18"/>
      <c r="L250" s="18"/>
      <c r="M250" s="18"/>
      <c r="N250" s="18"/>
      <c r="O250" s="18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>
      <c r="A251" s="1"/>
      <c r="B251" s="1"/>
      <c r="C251" s="18"/>
      <c r="D251" s="47"/>
      <c r="E251" s="18"/>
      <c r="F251" s="18"/>
      <c r="G251" s="18"/>
      <c r="H251" s="18"/>
      <c r="I251" s="25"/>
      <c r="J251" s="18"/>
      <c r="K251" s="18"/>
      <c r="L251" s="18"/>
      <c r="M251" s="18"/>
      <c r="N251" s="18"/>
      <c r="O251" s="18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>
      <c r="A252" s="1"/>
      <c r="B252" s="1"/>
      <c r="C252" s="18"/>
      <c r="D252" s="47"/>
      <c r="E252" s="18"/>
      <c r="F252" s="18"/>
      <c r="G252" s="18"/>
      <c r="H252" s="18"/>
      <c r="I252" s="25"/>
      <c r="J252" s="18"/>
      <c r="K252" s="18"/>
      <c r="L252" s="18"/>
      <c r="M252" s="18"/>
      <c r="N252" s="18"/>
      <c r="O252" s="18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>
      <c r="A253" s="1"/>
      <c r="B253" s="1"/>
      <c r="C253" s="18"/>
      <c r="D253" s="47"/>
      <c r="E253" s="18"/>
      <c r="F253" s="18"/>
      <c r="G253" s="18"/>
      <c r="H253" s="18"/>
      <c r="I253" s="25"/>
      <c r="J253" s="18"/>
      <c r="K253" s="18"/>
      <c r="L253" s="18"/>
      <c r="M253" s="18"/>
      <c r="N253" s="18"/>
      <c r="O253" s="18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>
      <c r="A254" s="1"/>
      <c r="B254" s="1"/>
      <c r="C254" s="18"/>
      <c r="D254" s="47"/>
      <c r="E254" s="18"/>
      <c r="F254" s="18"/>
      <c r="G254" s="18"/>
      <c r="H254" s="18"/>
      <c r="I254" s="25"/>
      <c r="J254" s="18"/>
      <c r="K254" s="18"/>
      <c r="L254" s="18"/>
      <c r="M254" s="18"/>
      <c r="N254" s="18"/>
      <c r="O254" s="18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>
      <c r="A255" s="1"/>
      <c r="B255" s="1"/>
      <c r="C255" s="18"/>
      <c r="D255" s="47"/>
      <c r="E255" s="18"/>
      <c r="F255" s="18"/>
      <c r="G255" s="18"/>
      <c r="H255" s="18"/>
      <c r="I255" s="25"/>
      <c r="J255" s="18"/>
      <c r="K255" s="18"/>
      <c r="L255" s="18"/>
      <c r="M255" s="18"/>
      <c r="N255" s="18"/>
      <c r="O255" s="18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>
      <c r="A256" s="1"/>
      <c r="B256" s="1"/>
      <c r="C256" s="18"/>
      <c r="D256" s="47"/>
      <c r="E256" s="18"/>
      <c r="F256" s="18"/>
      <c r="G256" s="18"/>
      <c r="H256" s="18"/>
      <c r="I256" s="25"/>
      <c r="J256" s="18"/>
      <c r="K256" s="18"/>
      <c r="L256" s="18"/>
      <c r="M256" s="18"/>
      <c r="N256" s="18"/>
      <c r="O256" s="18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>
      <c r="A257" s="1"/>
      <c r="B257" s="1"/>
      <c r="C257" s="18"/>
      <c r="D257" s="47"/>
      <c r="E257" s="18"/>
      <c r="F257" s="18"/>
      <c r="G257" s="18"/>
      <c r="H257" s="18"/>
      <c r="I257" s="25"/>
      <c r="J257" s="18"/>
      <c r="K257" s="18"/>
      <c r="L257" s="18"/>
      <c r="M257" s="18"/>
      <c r="N257" s="18"/>
      <c r="O257" s="18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>
      <c r="A258" s="1"/>
      <c r="B258" s="1"/>
      <c r="C258" s="18"/>
      <c r="D258" s="47"/>
      <c r="E258" s="18"/>
      <c r="F258" s="18"/>
      <c r="G258" s="18"/>
      <c r="H258" s="18"/>
      <c r="I258" s="25"/>
      <c r="J258" s="18"/>
      <c r="K258" s="18"/>
      <c r="L258" s="18"/>
      <c r="M258" s="18"/>
      <c r="N258" s="18"/>
      <c r="O258" s="18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>
      <c r="A259" s="1"/>
      <c r="B259" s="1"/>
      <c r="C259" s="18"/>
      <c r="D259" s="47"/>
      <c r="E259" s="18"/>
      <c r="F259" s="18"/>
      <c r="G259" s="18"/>
      <c r="H259" s="18"/>
      <c r="I259" s="25"/>
      <c r="J259" s="18"/>
      <c r="K259" s="18"/>
      <c r="L259" s="18"/>
      <c r="M259" s="18"/>
      <c r="N259" s="18"/>
      <c r="O259" s="18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>
      <c r="A260" s="1"/>
      <c r="B260" s="1"/>
      <c r="C260" s="18"/>
      <c r="D260" s="47"/>
      <c r="E260" s="18"/>
      <c r="F260" s="18"/>
      <c r="G260" s="18"/>
      <c r="H260" s="18"/>
      <c r="I260" s="25"/>
      <c r="J260" s="18"/>
      <c r="K260" s="18"/>
      <c r="L260" s="18"/>
      <c r="M260" s="18"/>
      <c r="N260" s="18"/>
      <c r="O260" s="18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>
      <c r="A261" s="1"/>
      <c r="B261" s="1"/>
      <c r="C261" s="18"/>
      <c r="D261" s="47"/>
      <c r="E261" s="18"/>
      <c r="F261" s="18"/>
      <c r="G261" s="18"/>
      <c r="H261" s="18"/>
      <c r="I261" s="25"/>
      <c r="J261" s="18"/>
      <c r="K261" s="18"/>
      <c r="L261" s="18"/>
      <c r="M261" s="18"/>
      <c r="N261" s="18"/>
      <c r="O261" s="18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>
      <c r="A262" s="1"/>
      <c r="B262" s="1"/>
      <c r="C262" s="18"/>
      <c r="D262" s="47"/>
      <c r="E262" s="18"/>
      <c r="F262" s="18"/>
      <c r="G262" s="18"/>
      <c r="H262" s="18"/>
      <c r="I262" s="25"/>
      <c r="J262" s="18"/>
      <c r="K262" s="18"/>
      <c r="L262" s="18"/>
      <c r="M262" s="18"/>
      <c r="N262" s="18"/>
      <c r="O262" s="18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>
      <c r="A263" s="1"/>
      <c r="B263" s="1"/>
      <c r="C263" s="18"/>
      <c r="D263" s="47"/>
      <c r="E263" s="18"/>
      <c r="F263" s="18"/>
      <c r="G263" s="18"/>
      <c r="H263" s="18"/>
      <c r="I263" s="25"/>
      <c r="J263" s="18"/>
      <c r="K263" s="18"/>
      <c r="L263" s="18"/>
      <c r="M263" s="18"/>
      <c r="N263" s="18"/>
      <c r="O263" s="18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>
      <c r="A264" s="1"/>
      <c r="B264" s="1"/>
      <c r="C264" s="18"/>
      <c r="D264" s="47"/>
      <c r="E264" s="18"/>
      <c r="F264" s="18"/>
      <c r="G264" s="18"/>
      <c r="H264" s="18"/>
      <c r="I264" s="25"/>
      <c r="J264" s="18"/>
      <c r="K264" s="18"/>
      <c r="L264" s="18"/>
      <c r="M264" s="18"/>
      <c r="N264" s="18"/>
      <c r="O264" s="18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>
      <c r="A265" s="1"/>
      <c r="B265" s="1"/>
      <c r="C265" s="18"/>
      <c r="D265" s="47"/>
      <c r="E265" s="18"/>
      <c r="F265" s="18"/>
      <c r="G265" s="18"/>
      <c r="H265" s="18"/>
      <c r="I265" s="25"/>
      <c r="J265" s="18"/>
      <c r="K265" s="18"/>
      <c r="L265" s="18"/>
      <c r="M265" s="18"/>
      <c r="N265" s="18"/>
      <c r="O265" s="18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>
      <c r="A266" s="1"/>
      <c r="B266" s="1"/>
      <c r="C266" s="18"/>
      <c r="D266" s="47"/>
      <c r="E266" s="18"/>
      <c r="F266" s="18"/>
      <c r="G266" s="18"/>
      <c r="H266" s="18"/>
      <c r="I266" s="25"/>
      <c r="J266" s="18"/>
      <c r="K266" s="18"/>
      <c r="L266" s="18"/>
      <c r="M266" s="18"/>
      <c r="N266" s="18"/>
      <c r="O266" s="18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>
      <c r="A267" s="1"/>
      <c r="B267" s="1"/>
      <c r="C267" s="18"/>
      <c r="D267" s="47"/>
      <c r="E267" s="18"/>
      <c r="F267" s="18"/>
      <c r="G267" s="18"/>
      <c r="H267" s="18"/>
      <c r="I267" s="25"/>
      <c r="J267" s="18"/>
      <c r="K267" s="18"/>
      <c r="L267" s="18"/>
      <c r="M267" s="18"/>
      <c r="N267" s="18"/>
      <c r="O267" s="18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>
      <c r="A268" s="1"/>
      <c r="B268" s="1"/>
      <c r="C268" s="18"/>
      <c r="D268" s="47"/>
      <c r="E268" s="18"/>
      <c r="F268" s="18"/>
      <c r="G268" s="18"/>
      <c r="H268" s="18"/>
      <c r="I268" s="25"/>
      <c r="J268" s="18"/>
      <c r="K268" s="18"/>
      <c r="L268" s="18"/>
      <c r="M268" s="18"/>
      <c r="N268" s="18"/>
      <c r="O268" s="18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>
      <c r="A269" s="1"/>
      <c r="B269" s="1"/>
      <c r="C269" s="18"/>
      <c r="D269" s="47"/>
      <c r="E269" s="18"/>
      <c r="F269" s="18"/>
      <c r="G269" s="18"/>
      <c r="H269" s="18"/>
      <c r="I269" s="25"/>
      <c r="J269" s="18"/>
      <c r="K269" s="18"/>
      <c r="L269" s="18"/>
      <c r="M269" s="18"/>
      <c r="N269" s="18"/>
      <c r="O269" s="18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>
      <c r="A270" s="1"/>
      <c r="B270" s="1"/>
      <c r="C270" s="18"/>
      <c r="D270" s="47"/>
      <c r="E270" s="18"/>
      <c r="F270" s="18"/>
      <c r="G270" s="18"/>
      <c r="H270" s="18"/>
      <c r="I270" s="25"/>
      <c r="J270" s="18"/>
      <c r="K270" s="18"/>
      <c r="L270" s="18"/>
      <c r="M270" s="18"/>
      <c r="N270" s="18"/>
      <c r="O270" s="18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>
      <c r="A271" s="1"/>
      <c r="B271" s="1"/>
      <c r="C271" s="18"/>
      <c r="D271" s="47"/>
      <c r="E271" s="18"/>
      <c r="F271" s="18"/>
      <c r="G271" s="18"/>
      <c r="H271" s="18"/>
      <c r="I271" s="25"/>
      <c r="J271" s="18"/>
      <c r="K271" s="18"/>
      <c r="L271" s="18"/>
      <c r="M271" s="18"/>
      <c r="N271" s="18"/>
      <c r="O271" s="18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>
      <c r="A272" s="1"/>
      <c r="B272" s="1"/>
      <c r="C272" s="18"/>
      <c r="D272" s="47"/>
      <c r="E272" s="18"/>
      <c r="F272" s="18"/>
      <c r="G272" s="18"/>
      <c r="H272" s="18"/>
      <c r="I272" s="25"/>
      <c r="J272" s="18"/>
      <c r="K272" s="18"/>
      <c r="L272" s="18"/>
      <c r="M272" s="18"/>
      <c r="N272" s="18"/>
      <c r="O272" s="18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>
      <c r="A273" s="1"/>
      <c r="B273" s="1"/>
      <c r="C273" s="18"/>
      <c r="D273" s="47"/>
      <c r="E273" s="18"/>
      <c r="F273" s="18"/>
      <c r="G273" s="18"/>
      <c r="H273" s="18"/>
      <c r="I273" s="25"/>
      <c r="J273" s="18"/>
      <c r="K273" s="18"/>
      <c r="L273" s="18"/>
      <c r="M273" s="18"/>
      <c r="N273" s="18"/>
      <c r="O273" s="18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>
      <c r="A274" s="1"/>
      <c r="B274" s="1"/>
      <c r="C274" s="18"/>
      <c r="D274" s="47"/>
      <c r="E274" s="18"/>
      <c r="F274" s="18"/>
      <c r="G274" s="18"/>
      <c r="H274" s="18"/>
      <c r="I274" s="25"/>
      <c r="J274" s="18"/>
      <c r="K274" s="18"/>
      <c r="L274" s="18"/>
      <c r="M274" s="18"/>
      <c r="N274" s="18"/>
      <c r="O274" s="18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>
      <c r="A275" s="1"/>
      <c r="B275" s="1"/>
      <c r="C275" s="18"/>
      <c r="D275" s="47"/>
      <c r="E275" s="18"/>
      <c r="F275" s="18"/>
      <c r="G275" s="18"/>
      <c r="H275" s="18"/>
      <c r="I275" s="25"/>
      <c r="J275" s="18"/>
      <c r="K275" s="18"/>
      <c r="L275" s="18"/>
      <c r="M275" s="18"/>
      <c r="N275" s="18"/>
      <c r="O275" s="18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>
      <c r="A276" s="1"/>
      <c r="B276" s="1"/>
      <c r="C276" s="18"/>
      <c r="D276" s="47"/>
      <c r="E276" s="18"/>
      <c r="F276" s="18"/>
      <c r="G276" s="18"/>
      <c r="H276" s="18"/>
      <c r="I276" s="25"/>
      <c r="J276" s="18"/>
      <c r="K276" s="18"/>
      <c r="L276" s="18"/>
      <c r="M276" s="18"/>
      <c r="N276" s="18"/>
      <c r="O276" s="18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>
      <c r="A277" s="1"/>
      <c r="B277" s="1"/>
      <c r="C277" s="18"/>
      <c r="D277" s="47"/>
      <c r="E277" s="18"/>
      <c r="F277" s="18"/>
      <c r="G277" s="18"/>
      <c r="H277" s="18"/>
      <c r="I277" s="25"/>
      <c r="J277" s="18"/>
      <c r="K277" s="18"/>
      <c r="L277" s="18"/>
      <c r="M277" s="18"/>
      <c r="N277" s="18"/>
      <c r="O277" s="18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>
      <c r="A278" s="1"/>
      <c r="B278" s="1"/>
      <c r="C278" s="18"/>
      <c r="D278" s="47"/>
      <c r="E278" s="18"/>
      <c r="F278" s="18"/>
      <c r="G278" s="18"/>
      <c r="H278" s="18"/>
      <c r="I278" s="25"/>
      <c r="J278" s="18"/>
      <c r="K278" s="18"/>
      <c r="L278" s="18"/>
      <c r="M278" s="18"/>
      <c r="N278" s="18"/>
      <c r="O278" s="18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>
      <c r="A279" s="1"/>
      <c r="B279" s="1"/>
      <c r="C279" s="18"/>
      <c r="D279" s="47"/>
      <c r="E279" s="18"/>
      <c r="F279" s="18"/>
      <c r="G279" s="18"/>
      <c r="H279" s="18"/>
      <c r="I279" s="25"/>
      <c r="J279" s="18"/>
      <c r="K279" s="18"/>
      <c r="L279" s="18"/>
      <c r="M279" s="18"/>
      <c r="N279" s="18"/>
      <c r="O279" s="18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>
      <c r="A280" s="1"/>
      <c r="B280" s="1"/>
      <c r="C280" s="18"/>
      <c r="D280" s="47"/>
      <c r="E280" s="18"/>
      <c r="F280" s="18"/>
      <c r="G280" s="18"/>
      <c r="H280" s="18"/>
      <c r="I280" s="25"/>
      <c r="J280" s="18"/>
      <c r="K280" s="18"/>
      <c r="L280" s="18"/>
      <c r="M280" s="18"/>
      <c r="N280" s="18"/>
      <c r="O280" s="18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>
      <c r="A281" s="1"/>
      <c r="B281" s="1"/>
      <c r="C281" s="18"/>
      <c r="D281" s="47"/>
      <c r="E281" s="18"/>
      <c r="F281" s="18"/>
      <c r="G281" s="18"/>
      <c r="H281" s="18"/>
      <c r="I281" s="25"/>
      <c r="J281" s="18"/>
      <c r="K281" s="18"/>
      <c r="L281" s="18"/>
      <c r="M281" s="18"/>
      <c r="N281" s="18"/>
      <c r="O281" s="18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>
      <c r="A282" s="1"/>
      <c r="B282" s="1"/>
      <c r="C282" s="18"/>
      <c r="D282" s="47"/>
      <c r="E282" s="18"/>
      <c r="F282" s="18"/>
      <c r="G282" s="18"/>
      <c r="H282" s="18"/>
      <c r="I282" s="25"/>
      <c r="J282" s="18"/>
      <c r="K282" s="18"/>
      <c r="L282" s="18"/>
      <c r="M282" s="18"/>
      <c r="N282" s="18"/>
      <c r="O282" s="18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>
      <c r="A283" s="1"/>
      <c r="B283" s="1"/>
      <c r="C283" s="18"/>
      <c r="D283" s="47"/>
      <c r="E283" s="18"/>
      <c r="F283" s="18"/>
      <c r="G283" s="18"/>
      <c r="H283" s="18"/>
      <c r="I283" s="25"/>
      <c r="J283" s="18"/>
      <c r="K283" s="18"/>
      <c r="L283" s="18"/>
      <c r="M283" s="18"/>
      <c r="N283" s="18"/>
      <c r="O283" s="18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>
      <c r="A284" s="1"/>
      <c r="B284" s="1"/>
      <c r="C284" s="18"/>
      <c r="D284" s="47"/>
      <c r="E284" s="18"/>
      <c r="F284" s="18"/>
      <c r="G284" s="18"/>
      <c r="H284" s="18"/>
      <c r="I284" s="25"/>
      <c r="J284" s="18"/>
      <c r="K284" s="18"/>
      <c r="L284" s="18"/>
      <c r="M284" s="18"/>
      <c r="N284" s="18"/>
      <c r="O284" s="18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>
      <c r="A285" s="1"/>
      <c r="B285" s="1"/>
      <c r="C285" s="18"/>
      <c r="D285" s="47"/>
      <c r="E285" s="18"/>
      <c r="F285" s="18"/>
      <c r="G285" s="18"/>
      <c r="H285" s="18"/>
      <c r="I285" s="25"/>
      <c r="J285" s="18"/>
      <c r="K285" s="18"/>
      <c r="L285" s="18"/>
      <c r="M285" s="18"/>
      <c r="N285" s="18"/>
      <c r="O285" s="18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>
      <c r="A286" s="1"/>
      <c r="B286" s="1"/>
      <c r="C286" s="18"/>
      <c r="D286" s="47"/>
      <c r="E286" s="18"/>
      <c r="F286" s="18"/>
      <c r="G286" s="18"/>
      <c r="H286" s="18"/>
      <c r="I286" s="25"/>
      <c r="J286" s="18"/>
      <c r="K286" s="18"/>
      <c r="L286" s="18"/>
      <c r="M286" s="18"/>
      <c r="N286" s="18"/>
      <c r="O286" s="18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>
      <c r="A287" s="1"/>
      <c r="B287" s="1"/>
      <c r="C287" s="18"/>
      <c r="D287" s="47"/>
      <c r="E287" s="18"/>
      <c r="F287" s="18"/>
      <c r="G287" s="18"/>
      <c r="H287" s="18"/>
      <c r="I287" s="25"/>
      <c r="J287" s="18"/>
      <c r="K287" s="18"/>
      <c r="L287" s="18"/>
      <c r="M287" s="18"/>
      <c r="N287" s="18"/>
      <c r="O287" s="18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>
      <c r="A288" s="1"/>
      <c r="B288" s="1"/>
      <c r="C288" s="18"/>
      <c r="D288" s="47"/>
      <c r="E288" s="18"/>
      <c r="F288" s="18"/>
      <c r="G288" s="18"/>
      <c r="H288" s="18"/>
      <c r="I288" s="25"/>
      <c r="J288" s="18"/>
      <c r="K288" s="18"/>
      <c r="L288" s="18"/>
      <c r="M288" s="18"/>
      <c r="N288" s="18"/>
      <c r="O288" s="18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>
      <c r="A289" s="1"/>
      <c r="B289" s="1"/>
      <c r="C289" s="18"/>
      <c r="D289" s="47"/>
      <c r="E289" s="18"/>
      <c r="F289" s="18"/>
      <c r="G289" s="18"/>
      <c r="H289" s="18"/>
      <c r="I289" s="25"/>
      <c r="J289" s="18"/>
      <c r="K289" s="18"/>
      <c r="L289" s="18"/>
      <c r="M289" s="18"/>
      <c r="N289" s="18"/>
      <c r="O289" s="18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>
      <c r="A290" s="1"/>
      <c r="B290" s="1"/>
      <c r="C290" s="18"/>
      <c r="D290" s="47"/>
      <c r="E290" s="18"/>
      <c r="F290" s="18"/>
      <c r="G290" s="18"/>
      <c r="H290" s="18"/>
      <c r="I290" s="25"/>
      <c r="J290" s="18"/>
      <c r="K290" s="18"/>
      <c r="L290" s="18"/>
      <c r="M290" s="18"/>
      <c r="N290" s="18"/>
      <c r="O290" s="18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>
      <c r="A291" s="1"/>
      <c r="B291" s="1"/>
      <c r="C291" s="18"/>
      <c r="D291" s="47"/>
      <c r="E291" s="18"/>
      <c r="F291" s="18"/>
      <c r="G291" s="18"/>
      <c r="H291" s="18"/>
      <c r="I291" s="25"/>
      <c r="J291" s="18"/>
      <c r="K291" s="18"/>
      <c r="L291" s="18"/>
      <c r="M291" s="18"/>
      <c r="N291" s="18"/>
      <c r="O291" s="18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>
      <c r="A292" s="1"/>
      <c r="B292" s="1"/>
      <c r="C292" s="18"/>
      <c r="D292" s="47"/>
      <c r="E292" s="18"/>
      <c r="F292" s="18"/>
      <c r="G292" s="18"/>
      <c r="H292" s="18"/>
      <c r="I292" s="25"/>
      <c r="J292" s="18"/>
      <c r="K292" s="18"/>
      <c r="L292" s="18"/>
      <c r="M292" s="18"/>
      <c r="N292" s="18"/>
      <c r="O292" s="18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>
      <c r="A293" s="1"/>
      <c r="B293" s="1"/>
      <c r="C293" s="18"/>
      <c r="D293" s="47"/>
      <c r="E293" s="18"/>
      <c r="F293" s="18"/>
      <c r="G293" s="18"/>
      <c r="H293" s="18"/>
      <c r="I293" s="25"/>
      <c r="J293" s="18"/>
      <c r="K293" s="18"/>
      <c r="L293" s="18"/>
      <c r="M293" s="18"/>
      <c r="N293" s="18"/>
      <c r="O293" s="18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>
      <c r="A294" s="1"/>
      <c r="B294" s="1"/>
      <c r="C294" s="18"/>
      <c r="D294" s="47"/>
      <c r="E294" s="18"/>
      <c r="F294" s="18"/>
      <c r="G294" s="18"/>
      <c r="H294" s="18"/>
      <c r="I294" s="25"/>
      <c r="J294" s="18"/>
      <c r="K294" s="18"/>
      <c r="L294" s="18"/>
      <c r="M294" s="18"/>
      <c r="N294" s="18"/>
      <c r="O294" s="18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>
      <c r="A295" s="1"/>
      <c r="B295" s="1"/>
      <c r="C295" s="18"/>
      <c r="D295" s="47"/>
      <c r="E295" s="18"/>
      <c r="F295" s="18"/>
      <c r="G295" s="18"/>
      <c r="H295" s="18"/>
      <c r="I295" s="25"/>
      <c r="J295" s="18"/>
      <c r="K295" s="18"/>
      <c r="L295" s="18"/>
      <c r="M295" s="18"/>
      <c r="N295" s="18"/>
      <c r="O295" s="18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>
      <c r="A296" s="1"/>
      <c r="B296" s="1"/>
      <c r="C296" s="18"/>
      <c r="D296" s="47"/>
      <c r="E296" s="18"/>
      <c r="F296" s="18"/>
      <c r="G296" s="18"/>
      <c r="H296" s="18"/>
      <c r="I296" s="25"/>
      <c r="J296" s="18"/>
      <c r="K296" s="18"/>
      <c r="L296" s="18"/>
      <c r="M296" s="18"/>
      <c r="N296" s="18"/>
      <c r="O296" s="18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>
      <c r="A297" s="1"/>
      <c r="B297" s="1"/>
      <c r="C297" s="18"/>
      <c r="D297" s="47"/>
      <c r="E297" s="18"/>
      <c r="F297" s="18"/>
      <c r="G297" s="18"/>
      <c r="H297" s="18"/>
      <c r="I297" s="25"/>
      <c r="J297" s="18"/>
      <c r="K297" s="18"/>
      <c r="L297" s="18"/>
      <c r="M297" s="18"/>
      <c r="N297" s="18"/>
      <c r="O297" s="18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>
      <c r="A298" s="1"/>
      <c r="B298" s="1"/>
      <c r="C298" s="18"/>
      <c r="D298" s="47"/>
      <c r="E298" s="18"/>
      <c r="F298" s="18"/>
      <c r="G298" s="18"/>
      <c r="H298" s="18"/>
      <c r="I298" s="25"/>
      <c r="J298" s="18"/>
      <c r="K298" s="18"/>
      <c r="L298" s="18"/>
      <c r="M298" s="18"/>
      <c r="N298" s="18"/>
      <c r="O298" s="18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>
      <c r="A299" s="1"/>
      <c r="B299" s="1"/>
      <c r="C299" s="18"/>
      <c r="D299" s="47"/>
      <c r="E299" s="18"/>
      <c r="F299" s="18"/>
      <c r="G299" s="18"/>
      <c r="H299" s="18"/>
      <c r="I299" s="25"/>
      <c r="J299" s="18"/>
      <c r="K299" s="18"/>
      <c r="L299" s="18"/>
      <c r="M299" s="18"/>
      <c r="N299" s="18"/>
      <c r="O299" s="18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>
      <c r="A300" s="1"/>
      <c r="B300" s="1"/>
      <c r="C300" s="18"/>
      <c r="D300" s="47"/>
      <c r="E300" s="18"/>
      <c r="F300" s="18"/>
      <c r="G300" s="18"/>
      <c r="H300" s="18"/>
      <c r="I300" s="25"/>
      <c r="J300" s="18"/>
      <c r="K300" s="18"/>
      <c r="L300" s="18"/>
      <c r="M300" s="18"/>
      <c r="N300" s="18"/>
      <c r="O300" s="18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>
      <c r="A301" s="1"/>
      <c r="B301" s="1"/>
      <c r="C301" s="18"/>
      <c r="D301" s="47"/>
      <c r="E301" s="18"/>
      <c r="F301" s="18"/>
      <c r="G301" s="18"/>
      <c r="H301" s="18"/>
      <c r="I301" s="25"/>
      <c r="J301" s="18"/>
      <c r="K301" s="18"/>
      <c r="L301" s="18"/>
      <c r="M301" s="18"/>
      <c r="N301" s="18"/>
      <c r="O301" s="18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>
      <c r="A302" s="1"/>
      <c r="B302" s="1"/>
      <c r="C302" s="18"/>
      <c r="D302" s="47"/>
      <c r="E302" s="18"/>
      <c r="F302" s="18"/>
      <c r="G302" s="18"/>
      <c r="H302" s="18"/>
      <c r="I302" s="25"/>
      <c r="J302" s="18"/>
      <c r="K302" s="18"/>
      <c r="L302" s="18"/>
      <c r="M302" s="18"/>
      <c r="N302" s="18"/>
      <c r="O302" s="18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>
      <c r="A303" s="1"/>
      <c r="B303" s="1"/>
      <c r="C303" s="18"/>
      <c r="D303" s="47"/>
      <c r="E303" s="18"/>
      <c r="F303" s="18"/>
      <c r="G303" s="18"/>
      <c r="H303" s="18"/>
      <c r="I303" s="25"/>
      <c r="J303" s="18"/>
      <c r="K303" s="18"/>
      <c r="L303" s="18"/>
      <c r="M303" s="18"/>
      <c r="N303" s="18"/>
      <c r="O303" s="18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>
      <c r="A304" s="1"/>
      <c r="B304" s="1"/>
      <c r="C304" s="18"/>
      <c r="D304" s="47"/>
      <c r="E304" s="18"/>
      <c r="F304" s="18"/>
      <c r="G304" s="18"/>
      <c r="H304" s="18"/>
      <c r="I304" s="25"/>
      <c r="J304" s="18"/>
      <c r="K304" s="18"/>
      <c r="L304" s="18"/>
      <c r="M304" s="18"/>
      <c r="N304" s="18"/>
      <c r="O304" s="18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>
      <c r="A305" s="1"/>
      <c r="B305" s="1"/>
      <c r="C305" s="18"/>
      <c r="D305" s="47"/>
      <c r="E305" s="18"/>
      <c r="F305" s="18"/>
      <c r="G305" s="18"/>
      <c r="H305" s="18"/>
      <c r="I305" s="25"/>
      <c r="J305" s="18"/>
      <c r="K305" s="18"/>
      <c r="L305" s="18"/>
      <c r="M305" s="18"/>
      <c r="N305" s="18"/>
      <c r="O305" s="18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>
      <c r="A306" s="1"/>
      <c r="B306" s="1"/>
      <c r="C306" s="18"/>
      <c r="D306" s="47"/>
      <c r="E306" s="18"/>
      <c r="F306" s="18"/>
      <c r="G306" s="18"/>
      <c r="H306" s="18"/>
      <c r="I306" s="25"/>
      <c r="J306" s="18"/>
      <c r="K306" s="18"/>
      <c r="L306" s="18"/>
      <c r="M306" s="18"/>
      <c r="N306" s="18"/>
      <c r="O306" s="18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>
      <c r="A307" s="1"/>
      <c r="B307" s="1"/>
      <c r="C307" s="18"/>
      <c r="D307" s="47"/>
      <c r="E307" s="18"/>
      <c r="F307" s="18"/>
      <c r="G307" s="18"/>
      <c r="H307" s="18"/>
      <c r="I307" s="25"/>
      <c r="J307" s="18"/>
      <c r="K307" s="18"/>
      <c r="L307" s="18"/>
      <c r="M307" s="18"/>
      <c r="N307" s="18"/>
      <c r="O307" s="18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>
      <c r="A308" s="1"/>
      <c r="B308" s="1"/>
      <c r="C308" s="18"/>
      <c r="D308" s="47"/>
      <c r="E308" s="18"/>
      <c r="F308" s="18"/>
      <c r="G308" s="18"/>
      <c r="H308" s="18"/>
      <c r="I308" s="25"/>
      <c r="J308" s="18"/>
      <c r="K308" s="18"/>
      <c r="L308" s="18"/>
      <c r="M308" s="18"/>
      <c r="N308" s="18"/>
      <c r="O308" s="18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>
      <c r="A309" s="1"/>
      <c r="B309" s="1"/>
      <c r="C309" s="18"/>
      <c r="D309" s="47"/>
      <c r="E309" s="18"/>
      <c r="F309" s="18"/>
      <c r="G309" s="18"/>
      <c r="H309" s="18"/>
      <c r="I309" s="25"/>
      <c r="J309" s="18"/>
      <c r="K309" s="18"/>
      <c r="L309" s="18"/>
      <c r="M309" s="18"/>
      <c r="N309" s="18"/>
      <c r="O309" s="18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>
      <c r="A310" s="1"/>
      <c r="B310" s="1"/>
      <c r="C310" s="18"/>
      <c r="D310" s="47"/>
      <c r="E310" s="18"/>
      <c r="F310" s="18"/>
      <c r="G310" s="18"/>
      <c r="H310" s="18"/>
      <c r="I310" s="25"/>
      <c r="J310" s="18"/>
      <c r="K310" s="18"/>
      <c r="L310" s="18"/>
      <c r="M310" s="18"/>
      <c r="N310" s="18"/>
      <c r="O310" s="18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>
      <c r="A311" s="1"/>
      <c r="B311" s="1"/>
      <c r="C311" s="18"/>
      <c r="D311" s="47"/>
      <c r="E311" s="18"/>
      <c r="F311" s="18"/>
      <c r="G311" s="18"/>
      <c r="H311" s="18"/>
      <c r="I311" s="25"/>
      <c r="J311" s="18"/>
      <c r="K311" s="18"/>
      <c r="L311" s="18"/>
      <c r="M311" s="18"/>
      <c r="N311" s="18"/>
      <c r="O311" s="18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>
      <c r="A312" s="1"/>
      <c r="B312" s="1"/>
      <c r="C312" s="18"/>
      <c r="D312" s="47"/>
      <c r="E312" s="18"/>
      <c r="F312" s="18"/>
      <c r="G312" s="18"/>
      <c r="H312" s="18"/>
      <c r="I312" s="25"/>
      <c r="J312" s="18"/>
      <c r="K312" s="18"/>
      <c r="L312" s="18"/>
      <c r="M312" s="18"/>
      <c r="N312" s="18"/>
      <c r="O312" s="18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>
      <c r="A313" s="1"/>
      <c r="B313" s="1"/>
      <c r="C313" s="18"/>
      <c r="D313" s="47"/>
      <c r="E313" s="18"/>
      <c r="F313" s="18"/>
      <c r="G313" s="18"/>
      <c r="H313" s="18"/>
      <c r="I313" s="25"/>
      <c r="J313" s="18"/>
      <c r="K313" s="18"/>
      <c r="L313" s="18"/>
      <c r="M313" s="18"/>
      <c r="N313" s="18"/>
      <c r="O313" s="18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>
      <c r="A314" s="1"/>
      <c r="B314" s="1"/>
      <c r="C314" s="18"/>
      <c r="D314" s="47"/>
      <c r="E314" s="18"/>
      <c r="F314" s="18"/>
      <c r="G314" s="18"/>
      <c r="H314" s="18"/>
      <c r="I314" s="25"/>
      <c r="J314" s="18"/>
      <c r="K314" s="18"/>
      <c r="L314" s="18"/>
      <c r="M314" s="18"/>
      <c r="N314" s="18"/>
      <c r="O314" s="18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>
      <c r="A315" s="1"/>
      <c r="B315" s="1"/>
      <c r="C315" s="18"/>
      <c r="D315" s="47"/>
      <c r="E315" s="18"/>
      <c r="F315" s="18"/>
      <c r="G315" s="18"/>
      <c r="H315" s="18"/>
      <c r="I315" s="25"/>
      <c r="J315" s="18"/>
      <c r="K315" s="18"/>
      <c r="L315" s="18"/>
      <c r="M315" s="18"/>
      <c r="N315" s="18"/>
      <c r="O315" s="18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>
      <c r="A316" s="1"/>
      <c r="B316" s="1"/>
      <c r="C316" s="18"/>
      <c r="D316" s="47"/>
      <c r="E316" s="18"/>
      <c r="F316" s="18"/>
      <c r="G316" s="18"/>
      <c r="H316" s="18"/>
      <c r="I316" s="25"/>
      <c r="J316" s="18"/>
      <c r="K316" s="18"/>
      <c r="L316" s="18"/>
      <c r="M316" s="18"/>
      <c r="N316" s="18"/>
      <c r="O316" s="18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>
      <c r="A317" s="1"/>
      <c r="B317" s="1"/>
      <c r="C317" s="18"/>
      <c r="D317" s="47"/>
      <c r="E317" s="18"/>
      <c r="F317" s="18"/>
      <c r="G317" s="18"/>
      <c r="H317" s="18"/>
      <c r="I317" s="25"/>
      <c r="J317" s="18"/>
      <c r="K317" s="18"/>
      <c r="L317" s="18"/>
      <c r="M317" s="18"/>
      <c r="N317" s="18"/>
      <c r="O317" s="18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>
      <c r="A318" s="1"/>
      <c r="B318" s="1"/>
      <c r="C318" s="18"/>
      <c r="D318" s="47"/>
      <c r="E318" s="18"/>
      <c r="F318" s="18"/>
      <c r="G318" s="18"/>
      <c r="H318" s="18"/>
      <c r="I318" s="25"/>
      <c r="J318" s="18"/>
      <c r="K318" s="18"/>
      <c r="L318" s="18"/>
      <c r="M318" s="18"/>
      <c r="N318" s="18"/>
      <c r="O318" s="18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>
      <c r="A319" s="1"/>
      <c r="B319" s="1"/>
      <c r="C319" s="18"/>
      <c r="D319" s="47"/>
      <c r="E319" s="18"/>
      <c r="F319" s="18"/>
      <c r="G319" s="18"/>
      <c r="H319" s="18"/>
      <c r="I319" s="25"/>
      <c r="J319" s="18"/>
      <c r="K319" s="18"/>
      <c r="L319" s="18"/>
      <c r="M319" s="18"/>
      <c r="N319" s="18"/>
      <c r="O319" s="18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>
      <c r="A320" s="1"/>
      <c r="B320" s="1"/>
      <c r="C320" s="18"/>
      <c r="D320" s="47"/>
      <c r="E320" s="18"/>
      <c r="F320" s="18"/>
      <c r="G320" s="18"/>
      <c r="H320" s="18"/>
      <c r="I320" s="25"/>
      <c r="J320" s="18"/>
      <c r="K320" s="18"/>
      <c r="L320" s="18"/>
      <c r="M320" s="18"/>
      <c r="N320" s="18"/>
      <c r="O320" s="18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>
      <c r="A321" s="1"/>
      <c r="B321" s="1"/>
      <c r="C321" s="18"/>
      <c r="D321" s="47"/>
      <c r="E321" s="18"/>
      <c r="F321" s="18"/>
      <c r="G321" s="18"/>
      <c r="H321" s="18"/>
      <c r="I321" s="25"/>
      <c r="J321" s="18"/>
      <c r="K321" s="18"/>
      <c r="L321" s="18"/>
      <c r="M321" s="18"/>
      <c r="N321" s="18"/>
      <c r="O321" s="18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>
      <c r="A322" s="1"/>
      <c r="B322" s="1"/>
      <c r="C322" s="18"/>
      <c r="D322" s="47"/>
      <c r="E322" s="18"/>
      <c r="F322" s="18"/>
      <c r="G322" s="18"/>
      <c r="H322" s="18"/>
      <c r="I322" s="25"/>
      <c r="J322" s="18"/>
      <c r="K322" s="18"/>
      <c r="L322" s="18"/>
      <c r="M322" s="18"/>
      <c r="N322" s="18"/>
      <c r="O322" s="18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>
      <c r="A323" s="1"/>
      <c r="B323" s="1"/>
      <c r="C323" s="18"/>
      <c r="D323" s="47"/>
      <c r="E323" s="18"/>
      <c r="F323" s="18"/>
      <c r="G323" s="18"/>
      <c r="H323" s="18"/>
      <c r="I323" s="25"/>
      <c r="J323" s="18"/>
      <c r="K323" s="18"/>
      <c r="L323" s="18"/>
      <c r="M323" s="18"/>
      <c r="N323" s="18"/>
      <c r="O323" s="18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>
      <c r="A324" s="1"/>
      <c r="B324" s="1"/>
      <c r="C324" s="18"/>
      <c r="D324" s="47"/>
      <c r="E324" s="18"/>
      <c r="F324" s="18"/>
      <c r="G324" s="18"/>
      <c r="H324" s="18"/>
      <c r="I324" s="25"/>
      <c r="J324" s="18"/>
      <c r="K324" s="18"/>
      <c r="L324" s="18"/>
      <c r="M324" s="18"/>
      <c r="N324" s="18"/>
      <c r="O324" s="18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>
      <c r="A325" s="1"/>
      <c r="B325" s="1"/>
      <c r="C325" s="18"/>
      <c r="D325" s="47"/>
      <c r="E325" s="18"/>
      <c r="F325" s="18"/>
      <c r="G325" s="18"/>
      <c r="H325" s="18"/>
      <c r="I325" s="25"/>
      <c r="J325" s="18"/>
      <c r="K325" s="18"/>
      <c r="L325" s="18"/>
      <c r="M325" s="18"/>
      <c r="N325" s="18"/>
      <c r="O325" s="18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>
      <c r="A326" s="1"/>
      <c r="B326" s="1"/>
      <c r="C326" s="18"/>
      <c r="D326" s="47"/>
      <c r="E326" s="18"/>
      <c r="F326" s="18"/>
      <c r="G326" s="18"/>
      <c r="H326" s="18"/>
      <c r="I326" s="25"/>
      <c r="J326" s="18"/>
      <c r="K326" s="18"/>
      <c r="L326" s="18"/>
      <c r="M326" s="18"/>
      <c r="N326" s="18"/>
      <c r="O326" s="18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>
      <c r="A327" s="1"/>
      <c r="B327" s="1"/>
      <c r="C327" s="18"/>
      <c r="D327" s="47"/>
      <c r="E327" s="18"/>
      <c r="F327" s="18"/>
      <c r="G327" s="18"/>
      <c r="H327" s="18"/>
      <c r="I327" s="25"/>
      <c r="J327" s="18"/>
      <c r="K327" s="18"/>
      <c r="L327" s="18"/>
      <c r="M327" s="18"/>
      <c r="N327" s="18"/>
      <c r="O327" s="18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>
      <c r="A328" s="1"/>
      <c r="B328" s="1"/>
      <c r="C328" s="18"/>
      <c r="D328" s="47"/>
      <c r="E328" s="18"/>
      <c r="F328" s="18"/>
      <c r="G328" s="18"/>
      <c r="H328" s="18"/>
      <c r="I328" s="25"/>
      <c r="J328" s="18"/>
      <c r="K328" s="18"/>
      <c r="L328" s="18"/>
      <c r="M328" s="18"/>
      <c r="N328" s="18"/>
      <c r="O328" s="18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>
      <c r="A329" s="1"/>
      <c r="B329" s="1"/>
      <c r="C329" s="18"/>
      <c r="D329" s="47"/>
      <c r="E329" s="18"/>
      <c r="F329" s="18"/>
      <c r="G329" s="18"/>
      <c r="H329" s="18"/>
      <c r="I329" s="25"/>
      <c r="J329" s="18"/>
      <c r="K329" s="18"/>
      <c r="L329" s="18"/>
      <c r="M329" s="18"/>
      <c r="N329" s="18"/>
      <c r="O329" s="18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>
      <c r="A330" s="1"/>
      <c r="B330" s="1"/>
      <c r="C330" s="18"/>
      <c r="D330" s="47"/>
      <c r="E330" s="18"/>
      <c r="F330" s="18"/>
      <c r="G330" s="18"/>
      <c r="H330" s="18"/>
      <c r="I330" s="25"/>
      <c r="J330" s="18"/>
      <c r="K330" s="18"/>
      <c r="L330" s="18"/>
      <c r="M330" s="18"/>
      <c r="N330" s="18"/>
      <c r="O330" s="18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>
      <c r="A331" s="1"/>
      <c r="B331" s="1"/>
      <c r="C331" s="18"/>
      <c r="D331" s="47"/>
      <c r="E331" s="18"/>
      <c r="F331" s="18"/>
      <c r="G331" s="18"/>
      <c r="H331" s="18"/>
      <c r="I331" s="25"/>
      <c r="J331" s="18"/>
      <c r="K331" s="18"/>
      <c r="L331" s="18"/>
      <c r="M331" s="18"/>
      <c r="N331" s="18"/>
      <c r="O331" s="18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>
      <c r="A332" s="1"/>
      <c r="B332" s="1"/>
      <c r="C332" s="18"/>
      <c r="D332" s="47"/>
      <c r="E332" s="18"/>
      <c r="F332" s="18"/>
      <c r="G332" s="18"/>
      <c r="H332" s="18"/>
      <c r="I332" s="25"/>
      <c r="J332" s="18"/>
      <c r="K332" s="18"/>
      <c r="L332" s="18"/>
      <c r="M332" s="18"/>
      <c r="N332" s="18"/>
      <c r="O332" s="18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>
      <c r="A333" s="1"/>
      <c r="B333" s="1"/>
      <c r="C333" s="18"/>
      <c r="D333" s="47"/>
      <c r="E333" s="18"/>
      <c r="F333" s="18"/>
      <c r="G333" s="18"/>
      <c r="H333" s="18"/>
      <c r="I333" s="25"/>
      <c r="J333" s="18"/>
      <c r="K333" s="18"/>
      <c r="L333" s="18"/>
      <c r="M333" s="18"/>
      <c r="N333" s="18"/>
      <c r="O333" s="18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>
      <c r="A334" s="1"/>
      <c r="B334" s="1"/>
      <c r="C334" s="18"/>
      <c r="D334" s="47"/>
      <c r="E334" s="18"/>
      <c r="F334" s="18"/>
      <c r="G334" s="18"/>
      <c r="H334" s="18"/>
      <c r="I334" s="25"/>
      <c r="J334" s="18"/>
      <c r="K334" s="18"/>
      <c r="L334" s="18"/>
      <c r="M334" s="18"/>
      <c r="N334" s="18"/>
      <c r="O334" s="18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>
      <c r="A335" s="1"/>
      <c r="B335" s="1"/>
      <c r="C335" s="18"/>
      <c r="D335" s="47"/>
      <c r="E335" s="18"/>
      <c r="F335" s="18"/>
      <c r="G335" s="18"/>
      <c r="H335" s="18"/>
      <c r="I335" s="25"/>
      <c r="J335" s="18"/>
      <c r="K335" s="18"/>
      <c r="L335" s="18"/>
      <c r="M335" s="18"/>
      <c r="N335" s="18"/>
      <c r="O335" s="18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>
      <c r="A336" s="1"/>
      <c r="B336" s="1"/>
      <c r="C336" s="18"/>
      <c r="D336" s="47"/>
      <c r="E336" s="18"/>
      <c r="F336" s="18"/>
      <c r="G336" s="18"/>
      <c r="H336" s="18"/>
      <c r="I336" s="25"/>
      <c r="J336" s="18"/>
      <c r="K336" s="18"/>
      <c r="L336" s="18"/>
      <c r="M336" s="18"/>
      <c r="N336" s="18"/>
      <c r="O336" s="18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>
      <c r="A337" s="1"/>
      <c r="B337" s="1"/>
      <c r="C337" s="18"/>
      <c r="D337" s="47"/>
      <c r="E337" s="18"/>
      <c r="F337" s="18"/>
      <c r="G337" s="18"/>
      <c r="H337" s="18"/>
      <c r="I337" s="25"/>
      <c r="J337" s="18"/>
      <c r="K337" s="18"/>
      <c r="L337" s="18"/>
      <c r="M337" s="18"/>
      <c r="N337" s="18"/>
      <c r="O337" s="18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>
      <c r="A338" s="1"/>
      <c r="B338" s="1"/>
      <c r="C338" s="18"/>
      <c r="D338" s="47"/>
      <c r="E338" s="18"/>
      <c r="F338" s="18"/>
      <c r="G338" s="18"/>
      <c r="H338" s="18"/>
      <c r="I338" s="25"/>
      <c r="J338" s="18"/>
      <c r="K338" s="18"/>
      <c r="L338" s="18"/>
      <c r="M338" s="18"/>
      <c r="N338" s="18"/>
      <c r="O338" s="18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>
      <c r="A339" s="1"/>
      <c r="B339" s="1"/>
      <c r="C339" s="18"/>
      <c r="D339" s="47"/>
      <c r="E339" s="18"/>
      <c r="F339" s="18"/>
      <c r="G339" s="18"/>
      <c r="H339" s="18"/>
      <c r="I339" s="25"/>
      <c r="J339" s="18"/>
      <c r="K339" s="18"/>
      <c r="L339" s="18"/>
      <c r="M339" s="18"/>
      <c r="N339" s="18"/>
      <c r="O339" s="18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>
      <c r="A340" s="1"/>
      <c r="B340" s="1"/>
      <c r="C340" s="18"/>
      <c r="D340" s="47"/>
      <c r="E340" s="18"/>
      <c r="F340" s="18"/>
      <c r="G340" s="18"/>
      <c r="H340" s="18"/>
      <c r="I340" s="25"/>
      <c r="J340" s="18"/>
      <c r="K340" s="18"/>
      <c r="L340" s="18"/>
      <c r="M340" s="18"/>
      <c r="N340" s="18"/>
      <c r="O340" s="18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>
      <c r="A341" s="1"/>
      <c r="B341" s="1"/>
      <c r="C341" s="18"/>
      <c r="D341" s="47"/>
      <c r="E341" s="18"/>
      <c r="F341" s="18"/>
      <c r="G341" s="18"/>
      <c r="H341" s="18"/>
      <c r="I341" s="25"/>
      <c r="J341" s="18"/>
      <c r="K341" s="18"/>
      <c r="L341" s="18"/>
      <c r="M341" s="18"/>
      <c r="N341" s="18"/>
      <c r="O341" s="18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>
      <c r="A342" s="1"/>
      <c r="B342" s="1"/>
      <c r="C342" s="18"/>
      <c r="D342" s="47"/>
      <c r="E342" s="18"/>
      <c r="F342" s="18"/>
      <c r="G342" s="18"/>
      <c r="H342" s="18"/>
      <c r="I342" s="25"/>
      <c r="J342" s="18"/>
      <c r="K342" s="18"/>
      <c r="L342" s="18"/>
      <c r="M342" s="18"/>
      <c r="N342" s="18"/>
      <c r="O342" s="18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>
      <c r="A343" s="1"/>
      <c r="B343" s="1"/>
      <c r="C343" s="18"/>
      <c r="D343" s="47"/>
      <c r="E343" s="18"/>
      <c r="F343" s="18"/>
      <c r="G343" s="18"/>
      <c r="H343" s="18"/>
      <c r="I343" s="25"/>
      <c r="J343" s="18"/>
      <c r="K343" s="18"/>
      <c r="L343" s="18"/>
      <c r="M343" s="18"/>
      <c r="N343" s="18"/>
      <c r="O343" s="18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>
      <c r="A344" s="1"/>
      <c r="B344" s="1"/>
      <c r="C344" s="18"/>
      <c r="D344" s="47"/>
      <c r="E344" s="18"/>
      <c r="F344" s="18"/>
      <c r="G344" s="18"/>
      <c r="H344" s="18"/>
      <c r="I344" s="25"/>
      <c r="J344" s="18"/>
      <c r="K344" s="18"/>
      <c r="L344" s="18"/>
      <c r="M344" s="18"/>
      <c r="N344" s="18"/>
      <c r="O344" s="18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>
      <c r="A345" s="1"/>
      <c r="B345" s="1"/>
      <c r="C345" s="18"/>
      <c r="D345" s="47"/>
      <c r="E345" s="18"/>
      <c r="F345" s="18"/>
      <c r="G345" s="18"/>
      <c r="H345" s="18"/>
      <c r="I345" s="25"/>
      <c r="J345" s="18"/>
      <c r="K345" s="18"/>
      <c r="L345" s="18"/>
      <c r="M345" s="18"/>
      <c r="N345" s="18"/>
      <c r="O345" s="18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>
      <c r="A346" s="1"/>
      <c r="B346" s="1"/>
      <c r="C346" s="18"/>
      <c r="D346" s="47"/>
      <c r="E346" s="18"/>
      <c r="F346" s="18"/>
      <c r="G346" s="18"/>
      <c r="H346" s="18"/>
      <c r="I346" s="25"/>
      <c r="J346" s="18"/>
      <c r="K346" s="18"/>
      <c r="L346" s="18"/>
      <c r="M346" s="18"/>
      <c r="N346" s="18"/>
      <c r="O346" s="18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>
      <c r="A347" s="1"/>
      <c r="B347" s="1"/>
      <c r="C347" s="18"/>
      <c r="D347" s="47"/>
      <c r="E347" s="18"/>
      <c r="F347" s="18"/>
      <c r="G347" s="18"/>
      <c r="H347" s="18"/>
      <c r="I347" s="25"/>
      <c r="J347" s="18"/>
      <c r="K347" s="18"/>
      <c r="L347" s="18"/>
      <c r="M347" s="18"/>
      <c r="N347" s="18"/>
      <c r="O347" s="18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>
      <c r="A348" s="1"/>
      <c r="B348" s="1"/>
      <c r="C348" s="18"/>
      <c r="D348" s="47"/>
      <c r="E348" s="18"/>
      <c r="F348" s="18"/>
      <c r="G348" s="18"/>
      <c r="H348" s="18"/>
      <c r="I348" s="25"/>
      <c r="J348" s="18"/>
      <c r="K348" s="18"/>
      <c r="L348" s="18"/>
      <c r="M348" s="18"/>
      <c r="N348" s="18"/>
      <c r="O348" s="18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>
      <c r="A349" s="1"/>
      <c r="B349" s="1"/>
      <c r="C349" s="18"/>
      <c r="D349" s="47"/>
      <c r="E349" s="18"/>
      <c r="F349" s="18"/>
      <c r="G349" s="18"/>
      <c r="H349" s="18"/>
      <c r="I349" s="25"/>
      <c r="J349" s="18"/>
      <c r="K349" s="18"/>
      <c r="L349" s="18"/>
      <c r="M349" s="18"/>
      <c r="N349" s="18"/>
      <c r="O349" s="18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>
      <c r="A350" s="1"/>
      <c r="B350" s="1"/>
      <c r="C350" s="18"/>
      <c r="D350" s="47"/>
      <c r="E350" s="18"/>
      <c r="F350" s="18"/>
      <c r="G350" s="18"/>
      <c r="H350" s="18"/>
      <c r="I350" s="25"/>
      <c r="J350" s="18"/>
      <c r="K350" s="18"/>
      <c r="L350" s="18"/>
      <c r="M350" s="18"/>
      <c r="N350" s="18"/>
      <c r="O350" s="18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>
      <c r="A351" s="1"/>
      <c r="B351" s="1"/>
      <c r="C351" s="18"/>
      <c r="D351" s="47"/>
      <c r="E351" s="18"/>
      <c r="F351" s="18"/>
      <c r="G351" s="18"/>
      <c r="H351" s="18"/>
      <c r="I351" s="25"/>
      <c r="J351" s="18"/>
      <c r="K351" s="18"/>
      <c r="L351" s="18"/>
      <c r="M351" s="18"/>
      <c r="N351" s="18"/>
      <c r="O351" s="18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>
      <c r="A352" s="1"/>
      <c r="B352" s="1"/>
      <c r="C352" s="18"/>
      <c r="D352" s="47"/>
      <c r="E352" s="18"/>
      <c r="F352" s="18"/>
      <c r="G352" s="18"/>
      <c r="H352" s="18"/>
      <c r="I352" s="25"/>
      <c r="J352" s="18"/>
      <c r="K352" s="18"/>
      <c r="L352" s="18"/>
      <c r="M352" s="18"/>
      <c r="N352" s="18"/>
      <c r="O352" s="18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>
      <c r="A353" s="1"/>
      <c r="B353" s="1"/>
      <c r="C353" s="18"/>
      <c r="D353" s="47"/>
      <c r="E353" s="18"/>
      <c r="F353" s="18"/>
      <c r="G353" s="18"/>
      <c r="H353" s="18"/>
      <c r="I353" s="25"/>
      <c r="J353" s="18"/>
      <c r="K353" s="18"/>
      <c r="L353" s="18"/>
      <c r="M353" s="18"/>
      <c r="N353" s="18"/>
      <c r="O353" s="18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>
      <c r="A354" s="1"/>
      <c r="B354" s="1"/>
      <c r="C354" s="18"/>
      <c r="D354" s="47"/>
      <c r="E354" s="18"/>
      <c r="F354" s="18"/>
      <c r="G354" s="18"/>
      <c r="H354" s="18"/>
      <c r="I354" s="25"/>
      <c r="J354" s="18"/>
      <c r="K354" s="18"/>
      <c r="L354" s="18"/>
      <c r="M354" s="18"/>
      <c r="N354" s="18"/>
      <c r="O354" s="18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>
      <c r="A355" s="1"/>
      <c r="B355" s="1"/>
      <c r="C355" s="18"/>
      <c r="D355" s="47"/>
      <c r="E355" s="18"/>
      <c r="F355" s="18"/>
      <c r="G355" s="18"/>
      <c r="H355" s="18"/>
      <c r="I355" s="25"/>
      <c r="J355" s="18"/>
      <c r="K355" s="18"/>
      <c r="L355" s="18"/>
      <c r="M355" s="18"/>
      <c r="N355" s="18"/>
      <c r="O355" s="18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>
      <c r="A356" s="1"/>
      <c r="B356" s="1"/>
      <c r="C356" s="18"/>
      <c r="D356" s="47"/>
      <c r="E356" s="18"/>
      <c r="F356" s="18"/>
      <c r="G356" s="18"/>
      <c r="H356" s="18"/>
      <c r="I356" s="25"/>
      <c r="J356" s="18"/>
      <c r="K356" s="18"/>
      <c r="L356" s="18"/>
      <c r="M356" s="18"/>
      <c r="N356" s="18"/>
      <c r="O356" s="18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>
      <c r="A357" s="1"/>
      <c r="B357" s="1"/>
      <c r="C357" s="18"/>
      <c r="D357" s="47"/>
      <c r="E357" s="18"/>
      <c r="F357" s="18"/>
      <c r="G357" s="18"/>
      <c r="H357" s="18"/>
      <c r="I357" s="25"/>
      <c r="J357" s="18"/>
      <c r="K357" s="18"/>
      <c r="L357" s="18"/>
      <c r="M357" s="18"/>
      <c r="N357" s="18"/>
      <c r="O357" s="18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>
      <c r="A358" s="1"/>
      <c r="B358" s="1"/>
      <c r="C358" s="18"/>
      <c r="D358" s="47"/>
      <c r="E358" s="18"/>
      <c r="F358" s="18"/>
      <c r="G358" s="18"/>
      <c r="H358" s="18"/>
      <c r="I358" s="25"/>
      <c r="J358" s="18"/>
      <c r="K358" s="18"/>
      <c r="L358" s="18"/>
      <c r="M358" s="18"/>
      <c r="N358" s="18"/>
      <c r="O358" s="18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>
      <c r="A359" s="1"/>
      <c r="B359" s="1"/>
      <c r="C359" s="18"/>
      <c r="D359" s="47"/>
      <c r="E359" s="18"/>
      <c r="F359" s="18"/>
      <c r="G359" s="18"/>
      <c r="H359" s="18"/>
      <c r="I359" s="25"/>
      <c r="J359" s="18"/>
      <c r="K359" s="18"/>
      <c r="L359" s="18"/>
      <c r="M359" s="18"/>
      <c r="N359" s="18"/>
      <c r="O359" s="18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>
      <c r="A360" s="1"/>
      <c r="B360" s="1"/>
      <c r="C360" s="18"/>
      <c r="D360" s="47"/>
      <c r="E360" s="18"/>
      <c r="F360" s="18"/>
      <c r="G360" s="18"/>
      <c r="H360" s="18"/>
      <c r="I360" s="25"/>
      <c r="J360" s="18"/>
      <c r="K360" s="18"/>
      <c r="L360" s="18"/>
      <c r="M360" s="18"/>
      <c r="N360" s="18"/>
      <c r="O360" s="18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>
      <c r="A361" s="1"/>
      <c r="B361" s="1"/>
      <c r="C361" s="18"/>
      <c r="D361" s="47"/>
      <c r="E361" s="18"/>
      <c r="F361" s="18"/>
      <c r="G361" s="18"/>
      <c r="H361" s="18"/>
      <c r="I361" s="25"/>
      <c r="J361" s="18"/>
      <c r="K361" s="18"/>
      <c r="L361" s="18"/>
      <c r="M361" s="18"/>
      <c r="N361" s="18"/>
      <c r="O361" s="18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>
      <c r="A362" s="1"/>
      <c r="B362" s="1"/>
      <c r="C362" s="18"/>
      <c r="D362" s="47"/>
      <c r="E362" s="18"/>
      <c r="F362" s="18"/>
      <c r="G362" s="18"/>
      <c r="H362" s="18"/>
      <c r="I362" s="25"/>
      <c r="J362" s="18"/>
      <c r="K362" s="18"/>
      <c r="L362" s="18"/>
      <c r="M362" s="18"/>
      <c r="N362" s="18"/>
      <c r="O362" s="18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>
      <c r="A363" s="1"/>
      <c r="B363" s="1"/>
      <c r="C363" s="18"/>
      <c r="D363" s="47"/>
      <c r="E363" s="18"/>
      <c r="F363" s="18"/>
      <c r="G363" s="18"/>
      <c r="H363" s="18"/>
      <c r="I363" s="25"/>
      <c r="J363" s="18"/>
      <c r="K363" s="18"/>
      <c r="L363" s="18"/>
      <c r="M363" s="18"/>
      <c r="N363" s="18"/>
      <c r="O363" s="18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>
      <c r="A364" s="1"/>
      <c r="B364" s="1"/>
      <c r="C364" s="18"/>
      <c r="D364" s="47"/>
      <c r="E364" s="18"/>
      <c r="F364" s="18"/>
      <c r="G364" s="18"/>
      <c r="H364" s="18"/>
      <c r="I364" s="25"/>
      <c r="J364" s="18"/>
      <c r="K364" s="18"/>
      <c r="L364" s="18"/>
      <c r="M364" s="18"/>
      <c r="N364" s="18"/>
      <c r="O364" s="18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>
      <c r="A365" s="1"/>
      <c r="B365" s="1"/>
      <c r="C365" s="18"/>
      <c r="D365" s="47"/>
      <c r="E365" s="18"/>
      <c r="F365" s="18"/>
      <c r="G365" s="18"/>
      <c r="H365" s="18"/>
      <c r="I365" s="25"/>
      <c r="J365" s="18"/>
      <c r="K365" s="18"/>
      <c r="L365" s="18"/>
      <c r="M365" s="18"/>
      <c r="N365" s="18"/>
      <c r="O365" s="18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>
      <c r="A366" s="1"/>
      <c r="B366" s="1"/>
      <c r="C366" s="18"/>
      <c r="D366" s="47"/>
      <c r="E366" s="18"/>
      <c r="F366" s="18"/>
      <c r="G366" s="18"/>
      <c r="H366" s="18"/>
      <c r="I366" s="25"/>
      <c r="J366" s="18"/>
      <c r="K366" s="18"/>
      <c r="L366" s="18"/>
      <c r="M366" s="18"/>
      <c r="N366" s="18"/>
      <c r="O366" s="18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>
      <c r="A367" s="1"/>
      <c r="B367" s="1"/>
      <c r="C367" s="18"/>
      <c r="D367" s="47"/>
      <c r="E367" s="18"/>
      <c r="F367" s="18"/>
      <c r="G367" s="18"/>
      <c r="H367" s="18"/>
      <c r="I367" s="25"/>
      <c r="J367" s="18"/>
      <c r="K367" s="18"/>
      <c r="L367" s="18"/>
      <c r="M367" s="18"/>
      <c r="N367" s="18"/>
      <c r="O367" s="18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>
      <c r="A368" s="1"/>
      <c r="B368" s="1"/>
      <c r="C368" s="18"/>
      <c r="D368" s="47"/>
      <c r="E368" s="18"/>
      <c r="F368" s="18"/>
      <c r="G368" s="18"/>
      <c r="H368" s="18"/>
      <c r="I368" s="25"/>
      <c r="J368" s="18"/>
      <c r="K368" s="18"/>
      <c r="L368" s="18"/>
      <c r="M368" s="18"/>
      <c r="N368" s="18"/>
      <c r="O368" s="18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>
      <c r="A369" s="1"/>
      <c r="B369" s="1"/>
      <c r="C369" s="18"/>
      <c r="D369" s="47"/>
      <c r="E369" s="18"/>
      <c r="F369" s="18"/>
      <c r="G369" s="18"/>
      <c r="H369" s="18"/>
      <c r="I369" s="25"/>
      <c r="J369" s="18"/>
      <c r="K369" s="18"/>
      <c r="L369" s="18"/>
      <c r="M369" s="18"/>
      <c r="N369" s="18"/>
      <c r="O369" s="18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>
      <c r="A370" s="1"/>
      <c r="B370" s="1"/>
      <c r="C370" s="18"/>
      <c r="D370" s="47"/>
      <c r="E370" s="18"/>
      <c r="F370" s="18"/>
      <c r="G370" s="18"/>
      <c r="H370" s="18"/>
      <c r="I370" s="25"/>
      <c r="J370" s="18"/>
      <c r="K370" s="18"/>
      <c r="L370" s="18"/>
      <c r="M370" s="18"/>
      <c r="N370" s="18"/>
      <c r="O370" s="18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>
      <c r="A371" s="1"/>
      <c r="B371" s="1"/>
      <c r="C371" s="18"/>
      <c r="D371" s="47"/>
      <c r="E371" s="18"/>
      <c r="F371" s="18"/>
      <c r="G371" s="18"/>
      <c r="H371" s="18"/>
      <c r="I371" s="25"/>
      <c r="J371" s="18"/>
      <c r="K371" s="18"/>
      <c r="L371" s="18"/>
      <c r="M371" s="18"/>
      <c r="N371" s="18"/>
      <c r="O371" s="18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>
      <c r="A372" s="1"/>
      <c r="B372" s="1"/>
      <c r="C372" s="18"/>
      <c r="D372" s="47"/>
      <c r="E372" s="18"/>
      <c r="F372" s="18"/>
      <c r="G372" s="18"/>
      <c r="H372" s="18"/>
      <c r="I372" s="25"/>
      <c r="J372" s="18"/>
      <c r="K372" s="18"/>
      <c r="L372" s="18"/>
      <c r="M372" s="18"/>
      <c r="N372" s="18"/>
      <c r="O372" s="18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>
      <c r="A373" s="1"/>
      <c r="B373" s="1"/>
      <c r="C373" s="18"/>
      <c r="D373" s="47"/>
      <c r="E373" s="18"/>
      <c r="F373" s="18"/>
      <c r="G373" s="18"/>
      <c r="H373" s="18"/>
      <c r="I373" s="25"/>
      <c r="J373" s="18"/>
      <c r="K373" s="18"/>
      <c r="L373" s="18"/>
      <c r="M373" s="18"/>
      <c r="N373" s="18"/>
      <c r="O373" s="18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>
      <c r="A374" s="1"/>
      <c r="B374" s="1"/>
      <c r="C374" s="18"/>
      <c r="D374" s="47"/>
      <c r="E374" s="18"/>
      <c r="F374" s="18"/>
      <c r="G374" s="18"/>
      <c r="H374" s="18"/>
      <c r="I374" s="25"/>
      <c r="J374" s="18"/>
      <c r="K374" s="18"/>
      <c r="L374" s="18"/>
      <c r="M374" s="18"/>
      <c r="N374" s="18"/>
      <c r="O374" s="18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>
      <c r="A375" s="1"/>
      <c r="B375" s="1"/>
      <c r="C375" s="18"/>
      <c r="D375" s="47"/>
      <c r="E375" s="18"/>
      <c r="F375" s="18"/>
      <c r="G375" s="18"/>
      <c r="H375" s="18"/>
      <c r="I375" s="25"/>
      <c r="J375" s="18"/>
      <c r="K375" s="18"/>
      <c r="L375" s="18"/>
      <c r="M375" s="18"/>
      <c r="N375" s="18"/>
      <c r="O375" s="18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>
      <c r="A376" s="1"/>
      <c r="B376" s="1"/>
      <c r="C376" s="18"/>
      <c r="D376" s="47"/>
      <c r="E376" s="18"/>
      <c r="F376" s="18"/>
      <c r="G376" s="18"/>
      <c r="H376" s="18"/>
      <c r="I376" s="25"/>
      <c r="J376" s="18"/>
      <c r="K376" s="18"/>
      <c r="L376" s="18"/>
      <c r="M376" s="18"/>
      <c r="N376" s="18"/>
      <c r="O376" s="18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>
      <c r="A377" s="1"/>
      <c r="B377" s="1"/>
      <c r="C377" s="18"/>
      <c r="D377" s="47"/>
      <c r="E377" s="18"/>
      <c r="F377" s="18"/>
      <c r="G377" s="18"/>
      <c r="H377" s="18"/>
      <c r="I377" s="25"/>
      <c r="J377" s="18"/>
      <c r="K377" s="18"/>
      <c r="L377" s="18"/>
      <c r="M377" s="18"/>
      <c r="N377" s="18"/>
      <c r="O377" s="18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>
      <c r="A378" s="1"/>
      <c r="B378" s="1"/>
      <c r="C378" s="18"/>
      <c r="D378" s="47"/>
      <c r="E378" s="18"/>
      <c r="F378" s="18"/>
      <c r="G378" s="18"/>
      <c r="H378" s="18"/>
      <c r="I378" s="25"/>
      <c r="J378" s="18"/>
      <c r="K378" s="18"/>
      <c r="L378" s="18"/>
      <c r="M378" s="18"/>
      <c r="N378" s="18"/>
      <c r="O378" s="18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>
      <c r="A379" s="1"/>
      <c r="B379" s="1"/>
      <c r="C379" s="18"/>
      <c r="D379" s="47"/>
      <c r="E379" s="18"/>
      <c r="F379" s="18"/>
      <c r="G379" s="18"/>
      <c r="H379" s="18"/>
      <c r="I379" s="25"/>
      <c r="J379" s="18"/>
      <c r="K379" s="18"/>
      <c r="L379" s="18"/>
      <c r="M379" s="18"/>
      <c r="N379" s="18"/>
      <c r="O379" s="18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>
      <c r="A380" s="1"/>
      <c r="B380" s="1"/>
      <c r="C380" s="18"/>
      <c r="D380" s="47"/>
      <c r="E380" s="18"/>
      <c r="F380" s="18"/>
      <c r="G380" s="18"/>
      <c r="H380" s="18"/>
      <c r="I380" s="25"/>
      <c r="J380" s="18"/>
      <c r="K380" s="18"/>
      <c r="L380" s="18"/>
      <c r="M380" s="18"/>
      <c r="N380" s="18"/>
      <c r="O380" s="18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>
      <c r="A381" s="1"/>
      <c r="B381" s="1"/>
      <c r="C381" s="18"/>
      <c r="D381" s="47"/>
      <c r="E381" s="18"/>
      <c r="F381" s="18"/>
      <c r="G381" s="18"/>
      <c r="H381" s="18"/>
      <c r="I381" s="25"/>
      <c r="J381" s="18"/>
      <c r="K381" s="18"/>
      <c r="L381" s="18"/>
      <c r="M381" s="18"/>
      <c r="N381" s="18"/>
      <c r="O381" s="18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>
      <c r="A382" s="1"/>
      <c r="B382" s="1"/>
      <c r="C382" s="18"/>
      <c r="D382" s="47"/>
      <c r="E382" s="18"/>
      <c r="F382" s="18"/>
      <c r="G382" s="18"/>
      <c r="H382" s="18"/>
      <c r="I382" s="25"/>
      <c r="J382" s="18"/>
      <c r="K382" s="18"/>
      <c r="L382" s="18"/>
      <c r="M382" s="18"/>
      <c r="N382" s="18"/>
      <c r="O382" s="18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>
      <c r="A383" s="1"/>
      <c r="B383" s="1"/>
      <c r="C383" s="18"/>
      <c r="D383" s="47"/>
      <c r="E383" s="18"/>
      <c r="F383" s="18"/>
      <c r="G383" s="18"/>
      <c r="H383" s="18"/>
      <c r="I383" s="25"/>
      <c r="J383" s="18"/>
      <c r="K383" s="18"/>
      <c r="L383" s="18"/>
      <c r="M383" s="18"/>
      <c r="N383" s="18"/>
      <c r="O383" s="18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>
      <c r="A384" s="1"/>
      <c r="B384" s="1"/>
      <c r="C384" s="18"/>
      <c r="D384" s="47"/>
      <c r="E384" s="18"/>
      <c r="F384" s="18"/>
      <c r="G384" s="18"/>
      <c r="H384" s="18"/>
      <c r="I384" s="25"/>
      <c r="J384" s="18"/>
      <c r="K384" s="18"/>
      <c r="L384" s="18"/>
      <c r="M384" s="18"/>
      <c r="N384" s="18"/>
      <c r="O384" s="18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>
      <c r="A385" s="1"/>
      <c r="B385" s="1"/>
      <c r="C385" s="18"/>
      <c r="D385" s="47"/>
      <c r="E385" s="18"/>
      <c r="F385" s="18"/>
      <c r="G385" s="18"/>
      <c r="H385" s="18"/>
      <c r="I385" s="25"/>
      <c r="J385" s="18"/>
      <c r="K385" s="18"/>
      <c r="L385" s="18"/>
      <c r="M385" s="18"/>
      <c r="N385" s="18"/>
      <c r="O385" s="18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>
      <c r="A386" s="1"/>
      <c r="B386" s="1"/>
      <c r="C386" s="18"/>
      <c r="D386" s="47"/>
      <c r="E386" s="18"/>
      <c r="F386" s="18"/>
      <c r="G386" s="18"/>
      <c r="H386" s="18"/>
      <c r="I386" s="25"/>
      <c r="J386" s="18"/>
      <c r="K386" s="18"/>
      <c r="L386" s="18"/>
      <c r="M386" s="18"/>
      <c r="N386" s="18"/>
      <c r="O386" s="18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>
      <c r="A387" s="1"/>
      <c r="B387" s="1"/>
      <c r="C387" s="18"/>
      <c r="D387" s="47"/>
      <c r="E387" s="18"/>
      <c r="F387" s="18"/>
      <c r="G387" s="18"/>
      <c r="H387" s="18"/>
      <c r="I387" s="25"/>
      <c r="J387" s="18"/>
      <c r="K387" s="18"/>
      <c r="L387" s="18"/>
      <c r="M387" s="18"/>
      <c r="N387" s="18"/>
      <c r="O387" s="18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>
      <c r="A388" s="1"/>
      <c r="B388" s="1"/>
      <c r="C388" s="18"/>
      <c r="D388" s="47"/>
      <c r="E388" s="18"/>
      <c r="F388" s="18"/>
      <c r="G388" s="18"/>
      <c r="H388" s="18"/>
      <c r="I388" s="25"/>
      <c r="J388" s="18"/>
      <c r="K388" s="18"/>
      <c r="L388" s="18"/>
      <c r="M388" s="18"/>
      <c r="N388" s="18"/>
      <c r="O388" s="18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>
      <c r="A389" s="1"/>
      <c r="B389" s="1"/>
      <c r="C389" s="18"/>
      <c r="D389" s="47"/>
      <c r="E389" s="18"/>
      <c r="F389" s="18"/>
      <c r="G389" s="18"/>
      <c r="H389" s="18"/>
      <c r="I389" s="25"/>
      <c r="J389" s="18"/>
      <c r="K389" s="18"/>
      <c r="L389" s="18"/>
      <c r="M389" s="18"/>
      <c r="N389" s="18"/>
      <c r="O389" s="18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>
      <c r="A390" s="1"/>
      <c r="B390" s="1"/>
      <c r="C390" s="18"/>
      <c r="D390" s="47"/>
      <c r="E390" s="18"/>
      <c r="F390" s="18"/>
      <c r="G390" s="18"/>
      <c r="H390" s="18"/>
      <c r="I390" s="25"/>
      <c r="J390" s="18"/>
      <c r="K390" s="18"/>
      <c r="L390" s="18"/>
      <c r="M390" s="18"/>
      <c r="N390" s="18"/>
      <c r="O390" s="18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>
      <c r="A391" s="1"/>
      <c r="B391" s="1"/>
      <c r="C391" s="18"/>
      <c r="D391" s="47"/>
      <c r="E391" s="18"/>
      <c r="F391" s="18"/>
      <c r="G391" s="18"/>
      <c r="H391" s="18"/>
      <c r="I391" s="25"/>
      <c r="J391" s="18"/>
      <c r="K391" s="18"/>
      <c r="L391" s="18"/>
      <c r="M391" s="18"/>
      <c r="N391" s="18"/>
      <c r="O391" s="18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>
      <c r="A392" s="1"/>
      <c r="B392" s="1"/>
      <c r="C392" s="18"/>
      <c r="D392" s="47"/>
      <c r="E392" s="18"/>
      <c r="F392" s="18"/>
      <c r="G392" s="18"/>
      <c r="H392" s="18"/>
      <c r="I392" s="25"/>
      <c r="J392" s="18"/>
      <c r="K392" s="18"/>
      <c r="L392" s="18"/>
      <c r="M392" s="18"/>
      <c r="N392" s="18"/>
      <c r="O392" s="18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>
      <c r="A393" s="1"/>
      <c r="B393" s="1"/>
      <c r="C393" s="18"/>
      <c r="D393" s="47"/>
      <c r="E393" s="18"/>
      <c r="F393" s="18"/>
      <c r="G393" s="18"/>
      <c r="H393" s="18"/>
      <c r="I393" s="25"/>
      <c r="J393" s="18"/>
      <c r="K393" s="18"/>
      <c r="L393" s="18"/>
      <c r="M393" s="18"/>
      <c r="N393" s="18"/>
      <c r="O393" s="18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>
      <c r="A394" s="1"/>
      <c r="B394" s="1"/>
      <c r="C394" s="18"/>
      <c r="D394" s="47"/>
      <c r="E394" s="18"/>
      <c r="F394" s="18"/>
      <c r="G394" s="18"/>
      <c r="H394" s="18"/>
      <c r="I394" s="25"/>
      <c r="J394" s="18"/>
      <c r="K394" s="18"/>
      <c r="L394" s="18"/>
      <c r="M394" s="18"/>
      <c r="N394" s="18"/>
      <c r="O394" s="18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>
      <c r="A395" s="1"/>
      <c r="B395" s="1"/>
      <c r="C395" s="18"/>
      <c r="D395" s="47"/>
      <c r="E395" s="18"/>
      <c r="F395" s="18"/>
      <c r="G395" s="18"/>
      <c r="H395" s="18"/>
      <c r="I395" s="25"/>
      <c r="J395" s="18"/>
      <c r="K395" s="18"/>
      <c r="L395" s="18"/>
      <c r="M395" s="18"/>
      <c r="N395" s="18"/>
      <c r="O395" s="18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>
      <c r="A396" s="1"/>
      <c r="B396" s="1"/>
      <c r="C396" s="18"/>
      <c r="D396" s="47"/>
      <c r="E396" s="18"/>
      <c r="F396" s="18"/>
      <c r="G396" s="18"/>
      <c r="H396" s="18"/>
      <c r="I396" s="25"/>
      <c r="J396" s="18"/>
      <c r="K396" s="18"/>
      <c r="L396" s="18"/>
      <c r="M396" s="18"/>
      <c r="N396" s="18"/>
      <c r="O396" s="18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>
      <c r="A397" s="1"/>
      <c r="B397" s="1"/>
      <c r="C397" s="18"/>
      <c r="D397" s="47"/>
      <c r="E397" s="18"/>
      <c r="F397" s="18"/>
      <c r="G397" s="18"/>
      <c r="H397" s="18"/>
      <c r="I397" s="25"/>
      <c r="J397" s="18"/>
      <c r="K397" s="18"/>
      <c r="L397" s="18"/>
      <c r="M397" s="18"/>
      <c r="N397" s="18"/>
      <c r="O397" s="18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>
      <c r="A398" s="1"/>
      <c r="B398" s="1"/>
      <c r="C398" s="18"/>
      <c r="D398" s="47"/>
      <c r="E398" s="18"/>
      <c r="F398" s="18"/>
      <c r="G398" s="18"/>
      <c r="H398" s="18"/>
      <c r="I398" s="25"/>
      <c r="J398" s="18"/>
      <c r="K398" s="18"/>
      <c r="L398" s="18"/>
      <c r="M398" s="18"/>
      <c r="N398" s="18"/>
      <c r="O398" s="18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>
      <c r="A399" s="1"/>
      <c r="B399" s="1"/>
      <c r="C399" s="18"/>
      <c r="D399" s="47"/>
      <c r="E399" s="18"/>
      <c r="F399" s="18"/>
      <c r="G399" s="18"/>
      <c r="H399" s="18"/>
      <c r="I399" s="25"/>
      <c r="J399" s="18"/>
      <c r="K399" s="18"/>
      <c r="L399" s="18"/>
      <c r="M399" s="18"/>
      <c r="N399" s="18"/>
      <c r="O399" s="18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>
      <c r="A400" s="1"/>
      <c r="B400" s="1"/>
      <c r="C400" s="18"/>
      <c r="D400" s="47"/>
      <c r="E400" s="18"/>
      <c r="F400" s="18"/>
      <c r="G400" s="18"/>
      <c r="H400" s="18"/>
      <c r="I400" s="25"/>
      <c r="J400" s="18"/>
      <c r="K400" s="18"/>
      <c r="L400" s="18"/>
      <c r="M400" s="18"/>
      <c r="N400" s="18"/>
      <c r="O400" s="18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>
      <c r="A401" s="1"/>
      <c r="B401" s="1"/>
      <c r="C401" s="18"/>
      <c r="D401" s="47"/>
      <c r="E401" s="18"/>
      <c r="F401" s="18"/>
      <c r="G401" s="18"/>
      <c r="H401" s="18"/>
      <c r="I401" s="25"/>
      <c r="J401" s="18"/>
      <c r="K401" s="18"/>
      <c r="L401" s="18"/>
      <c r="M401" s="18"/>
      <c r="N401" s="18"/>
      <c r="O401" s="18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>
      <c r="A402" s="1"/>
      <c r="B402" s="1"/>
      <c r="C402" s="18"/>
      <c r="D402" s="47"/>
      <c r="E402" s="18"/>
      <c r="F402" s="18"/>
      <c r="G402" s="18"/>
      <c r="H402" s="18"/>
      <c r="I402" s="25"/>
      <c r="J402" s="18"/>
      <c r="K402" s="18"/>
      <c r="L402" s="18"/>
      <c r="M402" s="18"/>
      <c r="N402" s="18"/>
      <c r="O402" s="18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>
      <c r="A403" s="1"/>
      <c r="B403" s="1"/>
      <c r="C403" s="18"/>
      <c r="D403" s="47"/>
      <c r="E403" s="18"/>
      <c r="F403" s="18"/>
      <c r="G403" s="18"/>
      <c r="H403" s="18"/>
      <c r="I403" s="25"/>
      <c r="J403" s="18"/>
      <c r="K403" s="18"/>
      <c r="L403" s="18"/>
      <c r="M403" s="18"/>
      <c r="N403" s="18"/>
      <c r="O403" s="18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>
      <c r="A404" s="1"/>
      <c r="B404" s="1"/>
      <c r="C404" s="18"/>
      <c r="D404" s="47"/>
      <c r="E404" s="18"/>
      <c r="F404" s="18"/>
      <c r="G404" s="18"/>
      <c r="H404" s="18"/>
      <c r="I404" s="25"/>
      <c r="J404" s="18"/>
      <c r="K404" s="18"/>
      <c r="L404" s="18"/>
      <c r="M404" s="18"/>
      <c r="N404" s="18"/>
      <c r="O404" s="18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>
      <c r="A405" s="1"/>
      <c r="B405" s="1"/>
      <c r="C405" s="18"/>
      <c r="D405" s="47"/>
      <c r="E405" s="18"/>
      <c r="F405" s="18"/>
      <c r="G405" s="18"/>
      <c r="H405" s="18"/>
      <c r="I405" s="25"/>
      <c r="J405" s="18"/>
      <c r="K405" s="18"/>
      <c r="L405" s="18"/>
      <c r="M405" s="18"/>
      <c r="N405" s="18"/>
      <c r="O405" s="18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>
      <c r="A406" s="1"/>
      <c r="B406" s="1"/>
      <c r="C406" s="18"/>
      <c r="D406" s="47"/>
      <c r="E406" s="18"/>
      <c r="F406" s="18"/>
      <c r="G406" s="18"/>
      <c r="H406" s="18"/>
      <c r="I406" s="25"/>
      <c r="J406" s="18"/>
      <c r="K406" s="18"/>
      <c r="L406" s="18"/>
      <c r="M406" s="18"/>
      <c r="N406" s="18"/>
      <c r="O406" s="18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>
      <c r="A407" s="1"/>
      <c r="B407" s="1"/>
      <c r="C407" s="18"/>
      <c r="D407" s="47"/>
      <c r="E407" s="18"/>
      <c r="F407" s="18"/>
      <c r="G407" s="18"/>
      <c r="H407" s="18"/>
      <c r="I407" s="25"/>
      <c r="J407" s="18"/>
      <c r="K407" s="18"/>
      <c r="L407" s="18"/>
      <c r="M407" s="18"/>
      <c r="N407" s="18"/>
      <c r="O407" s="18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>
      <c r="A408" s="1"/>
      <c r="B408" s="1"/>
      <c r="C408" s="18"/>
      <c r="D408" s="47"/>
      <c r="E408" s="18"/>
      <c r="F408" s="18"/>
      <c r="G408" s="18"/>
      <c r="H408" s="18"/>
      <c r="I408" s="25"/>
      <c r="J408" s="18"/>
      <c r="K408" s="18"/>
      <c r="L408" s="18"/>
      <c r="M408" s="18"/>
      <c r="N408" s="18"/>
      <c r="O408" s="18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>
      <c r="A409" s="1"/>
      <c r="B409" s="1"/>
      <c r="C409" s="18"/>
      <c r="D409" s="47"/>
      <c r="E409" s="18"/>
      <c r="F409" s="18"/>
      <c r="G409" s="18"/>
      <c r="H409" s="18"/>
      <c r="I409" s="25"/>
      <c r="J409" s="18"/>
      <c r="K409" s="18"/>
      <c r="L409" s="18"/>
      <c r="M409" s="18"/>
      <c r="N409" s="18"/>
      <c r="O409" s="18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>
      <c r="A410" s="1"/>
      <c r="B410" s="1"/>
      <c r="C410" s="18"/>
      <c r="D410" s="47"/>
      <c r="E410" s="18"/>
      <c r="F410" s="18"/>
      <c r="G410" s="18"/>
      <c r="H410" s="18"/>
      <c r="I410" s="25"/>
      <c r="J410" s="18"/>
      <c r="K410" s="18"/>
      <c r="L410" s="18"/>
      <c r="M410" s="18"/>
      <c r="N410" s="18"/>
      <c r="O410" s="18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>
      <c r="A411" s="1"/>
      <c r="B411" s="1"/>
      <c r="C411" s="18"/>
      <c r="D411" s="47"/>
      <c r="E411" s="18"/>
      <c r="F411" s="18"/>
      <c r="G411" s="18"/>
      <c r="H411" s="18"/>
      <c r="I411" s="25"/>
      <c r="J411" s="18"/>
      <c r="K411" s="18"/>
      <c r="L411" s="18"/>
      <c r="M411" s="18"/>
      <c r="N411" s="18"/>
      <c r="O411" s="18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>
      <c r="A412" s="1"/>
      <c r="B412" s="1"/>
      <c r="C412" s="18"/>
      <c r="D412" s="47"/>
      <c r="E412" s="18"/>
      <c r="F412" s="18"/>
      <c r="G412" s="18"/>
      <c r="H412" s="18"/>
      <c r="I412" s="25"/>
      <c r="J412" s="18"/>
      <c r="K412" s="18"/>
      <c r="L412" s="18"/>
      <c r="M412" s="18"/>
      <c r="N412" s="18"/>
      <c r="O412" s="18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>
      <c r="A413" s="1"/>
      <c r="B413" s="1"/>
      <c r="C413" s="18"/>
      <c r="D413" s="47"/>
      <c r="E413" s="18"/>
      <c r="F413" s="18"/>
      <c r="G413" s="18"/>
      <c r="H413" s="18"/>
      <c r="I413" s="25"/>
      <c r="J413" s="18"/>
      <c r="K413" s="18"/>
      <c r="L413" s="18"/>
      <c r="M413" s="18"/>
      <c r="N413" s="18"/>
      <c r="O413" s="18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>
      <c r="A414" s="1"/>
      <c r="B414" s="1"/>
      <c r="C414" s="18"/>
      <c r="D414" s="47"/>
      <c r="E414" s="18"/>
      <c r="F414" s="18"/>
      <c r="G414" s="18"/>
      <c r="H414" s="18"/>
      <c r="I414" s="25"/>
      <c r="J414" s="18"/>
      <c r="K414" s="18"/>
      <c r="L414" s="18"/>
      <c r="M414" s="18"/>
      <c r="N414" s="18"/>
      <c r="O414" s="18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>
      <c r="A415" s="1"/>
      <c r="B415" s="1"/>
      <c r="C415" s="18"/>
      <c r="D415" s="47"/>
      <c r="E415" s="18"/>
      <c r="F415" s="18"/>
      <c r="G415" s="18"/>
      <c r="H415" s="18"/>
      <c r="I415" s="25"/>
      <c r="J415" s="18"/>
      <c r="K415" s="18"/>
      <c r="L415" s="18"/>
      <c r="M415" s="18"/>
      <c r="N415" s="18"/>
      <c r="O415" s="18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>
      <c r="A416" s="1"/>
      <c r="B416" s="1"/>
      <c r="C416" s="18"/>
      <c r="D416" s="47"/>
      <c r="E416" s="18"/>
      <c r="F416" s="18"/>
      <c r="G416" s="18"/>
      <c r="H416" s="18"/>
      <c r="I416" s="25"/>
      <c r="J416" s="18"/>
      <c r="K416" s="18"/>
      <c r="L416" s="18"/>
      <c r="M416" s="18"/>
      <c r="N416" s="18"/>
      <c r="O416" s="18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>
      <c r="A417" s="1"/>
      <c r="B417" s="1"/>
      <c r="C417" s="18"/>
      <c r="D417" s="47"/>
      <c r="E417" s="18"/>
      <c r="F417" s="18"/>
      <c r="G417" s="18"/>
      <c r="H417" s="18"/>
      <c r="I417" s="25"/>
      <c r="J417" s="18"/>
      <c r="K417" s="18"/>
      <c r="L417" s="18"/>
      <c r="M417" s="18"/>
      <c r="N417" s="18"/>
      <c r="O417" s="18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>
      <c r="A418" s="1"/>
      <c r="B418" s="1"/>
      <c r="C418" s="18"/>
      <c r="D418" s="47"/>
      <c r="E418" s="18"/>
      <c r="F418" s="18"/>
      <c r="G418" s="18"/>
      <c r="H418" s="18"/>
      <c r="I418" s="25"/>
      <c r="J418" s="18"/>
      <c r="K418" s="18"/>
      <c r="L418" s="18"/>
      <c r="M418" s="18"/>
      <c r="N418" s="18"/>
      <c r="O418" s="18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>
      <c r="A419" s="1"/>
      <c r="B419" s="1"/>
      <c r="C419" s="18"/>
      <c r="D419" s="47"/>
      <c r="E419" s="18"/>
      <c r="F419" s="18"/>
      <c r="G419" s="18"/>
      <c r="H419" s="18"/>
      <c r="I419" s="25"/>
      <c r="J419" s="18"/>
      <c r="K419" s="18"/>
      <c r="L419" s="18"/>
      <c r="M419" s="18"/>
      <c r="N419" s="18"/>
      <c r="O419" s="18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>
      <c r="A420" s="1"/>
      <c r="B420" s="1"/>
      <c r="C420" s="18"/>
      <c r="D420" s="47"/>
      <c r="E420" s="18"/>
      <c r="F420" s="18"/>
      <c r="G420" s="18"/>
      <c r="H420" s="18"/>
      <c r="I420" s="25"/>
      <c r="J420" s="18"/>
      <c r="K420" s="18"/>
      <c r="L420" s="18"/>
      <c r="M420" s="18"/>
      <c r="N420" s="18"/>
      <c r="O420" s="18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>
      <c r="A421" s="1"/>
      <c r="B421" s="1"/>
      <c r="C421" s="18"/>
      <c r="D421" s="47"/>
      <c r="E421" s="18"/>
      <c r="F421" s="18"/>
      <c r="G421" s="18"/>
      <c r="H421" s="18"/>
      <c r="I421" s="25"/>
      <c r="J421" s="18"/>
      <c r="K421" s="18"/>
      <c r="L421" s="18"/>
      <c r="M421" s="18"/>
      <c r="N421" s="18"/>
      <c r="O421" s="18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>
      <c r="A422" s="1"/>
      <c r="B422" s="1"/>
      <c r="C422" s="18"/>
      <c r="D422" s="47"/>
      <c r="E422" s="18"/>
      <c r="F422" s="18"/>
      <c r="G422" s="18"/>
      <c r="H422" s="18"/>
      <c r="I422" s="25"/>
      <c r="J422" s="18"/>
      <c r="K422" s="18"/>
      <c r="L422" s="18"/>
      <c r="M422" s="18"/>
      <c r="N422" s="18"/>
      <c r="O422" s="18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>
      <c r="A423" s="1"/>
      <c r="B423" s="1"/>
      <c r="C423" s="18"/>
      <c r="D423" s="47"/>
      <c r="E423" s="18"/>
      <c r="F423" s="18"/>
      <c r="G423" s="18"/>
      <c r="H423" s="18"/>
      <c r="I423" s="25"/>
      <c r="J423" s="18"/>
      <c r="K423" s="18"/>
      <c r="L423" s="18"/>
      <c r="M423" s="18"/>
      <c r="N423" s="18"/>
      <c r="O423" s="18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>
      <c r="A424" s="1"/>
      <c r="B424" s="1"/>
      <c r="C424" s="18"/>
      <c r="D424" s="47"/>
      <c r="E424" s="18"/>
      <c r="F424" s="18"/>
      <c r="G424" s="18"/>
      <c r="H424" s="18"/>
      <c r="I424" s="25"/>
      <c r="J424" s="18"/>
      <c r="K424" s="18"/>
      <c r="L424" s="18"/>
      <c r="M424" s="18"/>
      <c r="N424" s="18"/>
      <c r="O424" s="18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>
      <c r="A425" s="1"/>
      <c r="B425" s="1"/>
      <c r="C425" s="18"/>
      <c r="D425" s="47"/>
      <c r="E425" s="18"/>
      <c r="F425" s="18"/>
      <c r="G425" s="18"/>
      <c r="H425" s="18"/>
      <c r="I425" s="25"/>
      <c r="J425" s="18"/>
      <c r="K425" s="18"/>
      <c r="L425" s="18"/>
      <c r="M425" s="18"/>
      <c r="N425" s="18"/>
      <c r="O425" s="18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>
      <c r="A426" s="1"/>
      <c r="B426" s="1"/>
      <c r="C426" s="18"/>
      <c r="D426" s="47"/>
      <c r="E426" s="18"/>
      <c r="F426" s="18"/>
      <c r="G426" s="18"/>
      <c r="H426" s="18"/>
      <c r="I426" s="25"/>
      <c r="J426" s="18"/>
      <c r="K426" s="18"/>
      <c r="L426" s="18"/>
      <c r="M426" s="18"/>
      <c r="N426" s="18"/>
      <c r="O426" s="18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>
      <c r="A427" s="1"/>
      <c r="B427" s="1"/>
      <c r="C427" s="18"/>
      <c r="D427" s="47"/>
      <c r="E427" s="18"/>
      <c r="F427" s="18"/>
      <c r="G427" s="18"/>
      <c r="H427" s="18"/>
      <c r="I427" s="25"/>
      <c r="J427" s="18"/>
      <c r="K427" s="18"/>
      <c r="L427" s="18"/>
      <c r="M427" s="18"/>
      <c r="N427" s="18"/>
      <c r="O427" s="18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>
      <c r="A428" s="1"/>
      <c r="B428" s="1"/>
      <c r="C428" s="18"/>
      <c r="D428" s="47"/>
      <c r="E428" s="18"/>
      <c r="F428" s="18"/>
      <c r="G428" s="18"/>
      <c r="H428" s="18"/>
      <c r="I428" s="25"/>
      <c r="J428" s="18"/>
      <c r="K428" s="18"/>
      <c r="L428" s="18"/>
      <c r="M428" s="18"/>
      <c r="N428" s="18"/>
      <c r="O428" s="18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>
      <c r="A429" s="1"/>
      <c r="B429" s="1"/>
      <c r="C429" s="18"/>
      <c r="D429" s="47"/>
      <c r="E429" s="18"/>
      <c r="F429" s="18"/>
      <c r="G429" s="18"/>
      <c r="H429" s="18"/>
      <c r="I429" s="25"/>
      <c r="J429" s="18"/>
      <c r="K429" s="18"/>
      <c r="L429" s="18"/>
      <c r="M429" s="18"/>
      <c r="N429" s="18"/>
      <c r="O429" s="18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>
      <c r="A430" s="1"/>
      <c r="B430" s="1"/>
      <c r="C430" s="18"/>
      <c r="D430" s="47"/>
      <c r="E430" s="18"/>
      <c r="F430" s="18"/>
      <c r="G430" s="18"/>
      <c r="H430" s="18"/>
      <c r="I430" s="25"/>
      <c r="J430" s="18"/>
      <c r="K430" s="18"/>
      <c r="L430" s="18"/>
      <c r="M430" s="18"/>
      <c r="N430" s="18"/>
      <c r="O430" s="18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>
      <c r="A431" s="1"/>
      <c r="B431" s="1"/>
      <c r="C431" s="18"/>
      <c r="D431" s="47"/>
      <c r="E431" s="18"/>
      <c r="F431" s="18"/>
      <c r="G431" s="18"/>
      <c r="H431" s="18"/>
      <c r="I431" s="25"/>
      <c r="J431" s="18"/>
      <c r="K431" s="18"/>
      <c r="L431" s="18"/>
      <c r="M431" s="18"/>
      <c r="N431" s="18"/>
      <c r="O431" s="18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>
      <c r="A432" s="1"/>
      <c r="B432" s="1"/>
      <c r="C432" s="18"/>
      <c r="D432" s="47"/>
      <c r="E432" s="18"/>
      <c r="F432" s="18"/>
      <c r="G432" s="18"/>
      <c r="H432" s="18"/>
      <c r="I432" s="25"/>
      <c r="J432" s="18"/>
      <c r="K432" s="18"/>
      <c r="L432" s="18"/>
      <c r="M432" s="18"/>
      <c r="N432" s="18"/>
      <c r="O432" s="18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>
      <c r="A433" s="1"/>
      <c r="B433" s="1"/>
      <c r="C433" s="18"/>
      <c r="D433" s="47"/>
      <c r="E433" s="18"/>
      <c r="F433" s="18"/>
      <c r="G433" s="18"/>
      <c r="H433" s="18"/>
      <c r="I433" s="25"/>
      <c r="J433" s="18"/>
      <c r="K433" s="18"/>
      <c r="L433" s="18"/>
      <c r="M433" s="18"/>
      <c r="N433" s="18"/>
      <c r="O433" s="18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>
      <c r="A434" s="1"/>
      <c r="B434" s="1"/>
      <c r="C434" s="18"/>
      <c r="D434" s="47"/>
      <c r="E434" s="18"/>
      <c r="F434" s="18"/>
      <c r="G434" s="18"/>
      <c r="H434" s="18"/>
      <c r="I434" s="25"/>
      <c r="J434" s="18"/>
      <c r="K434" s="18"/>
      <c r="L434" s="18"/>
      <c r="M434" s="18"/>
      <c r="N434" s="18"/>
      <c r="O434" s="18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>
      <c r="A435" s="1"/>
      <c r="B435" s="1"/>
      <c r="C435" s="18"/>
      <c r="D435" s="47"/>
      <c r="E435" s="18"/>
      <c r="F435" s="18"/>
      <c r="G435" s="18"/>
      <c r="H435" s="18"/>
      <c r="I435" s="25"/>
      <c r="J435" s="18"/>
      <c r="K435" s="18"/>
      <c r="L435" s="18"/>
      <c r="M435" s="18"/>
      <c r="N435" s="18"/>
      <c r="O435" s="18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>
      <c r="A436" s="1"/>
      <c r="B436" s="1"/>
      <c r="C436" s="18"/>
      <c r="D436" s="47"/>
      <c r="E436" s="18"/>
      <c r="F436" s="18"/>
      <c r="G436" s="18"/>
      <c r="H436" s="18"/>
      <c r="I436" s="25"/>
      <c r="J436" s="18"/>
      <c r="K436" s="18"/>
      <c r="L436" s="18"/>
      <c r="M436" s="18"/>
      <c r="N436" s="18"/>
      <c r="O436" s="18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>
      <c r="A437" s="1"/>
      <c r="B437" s="1"/>
      <c r="C437" s="18"/>
      <c r="D437" s="47"/>
      <c r="E437" s="18"/>
      <c r="F437" s="18"/>
      <c r="G437" s="18"/>
      <c r="H437" s="18"/>
      <c r="I437" s="25"/>
      <c r="J437" s="18"/>
      <c r="K437" s="18"/>
      <c r="L437" s="18"/>
      <c r="M437" s="18"/>
      <c r="N437" s="18"/>
      <c r="O437" s="18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>
      <c r="A438" s="1"/>
      <c r="B438" s="1"/>
      <c r="C438" s="18"/>
      <c r="D438" s="47"/>
      <c r="E438" s="18"/>
      <c r="F438" s="18"/>
      <c r="G438" s="18"/>
      <c r="H438" s="18"/>
      <c r="I438" s="25"/>
      <c r="J438" s="18"/>
      <c r="K438" s="18"/>
      <c r="L438" s="18"/>
      <c r="M438" s="18"/>
      <c r="N438" s="18"/>
      <c r="O438" s="18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>
      <c r="A439" s="1"/>
      <c r="B439" s="1"/>
      <c r="C439" s="18"/>
      <c r="D439" s="47"/>
      <c r="E439" s="18"/>
      <c r="F439" s="18"/>
      <c r="G439" s="18"/>
      <c r="H439" s="18"/>
      <c r="I439" s="25"/>
      <c r="J439" s="18"/>
      <c r="K439" s="18"/>
      <c r="L439" s="18"/>
      <c r="M439" s="18"/>
      <c r="N439" s="18"/>
      <c r="O439" s="18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>
      <c r="A440" s="1"/>
      <c r="B440" s="1"/>
      <c r="C440" s="18"/>
      <c r="D440" s="47"/>
      <c r="E440" s="18"/>
      <c r="F440" s="18"/>
      <c r="G440" s="18"/>
      <c r="H440" s="18"/>
      <c r="I440" s="25"/>
      <c r="J440" s="18"/>
      <c r="K440" s="18"/>
      <c r="L440" s="18"/>
      <c r="M440" s="18"/>
      <c r="N440" s="18"/>
      <c r="O440" s="18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>
      <c r="A441" s="1"/>
      <c r="B441" s="1"/>
      <c r="C441" s="18"/>
      <c r="D441" s="47"/>
      <c r="E441" s="18"/>
      <c r="F441" s="18"/>
      <c r="G441" s="18"/>
      <c r="H441" s="18"/>
      <c r="I441" s="25"/>
      <c r="J441" s="18"/>
      <c r="K441" s="18"/>
      <c r="L441" s="18"/>
      <c r="M441" s="18"/>
      <c r="N441" s="18"/>
      <c r="O441" s="18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>
      <c r="A442" s="1"/>
      <c r="B442" s="1"/>
      <c r="C442" s="18"/>
      <c r="D442" s="47"/>
      <c r="E442" s="18"/>
      <c r="F442" s="18"/>
      <c r="G442" s="18"/>
      <c r="H442" s="18"/>
      <c r="I442" s="25"/>
      <c r="J442" s="18"/>
      <c r="K442" s="18"/>
      <c r="L442" s="18"/>
      <c r="M442" s="18"/>
      <c r="N442" s="18"/>
      <c r="O442" s="18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>
      <c r="A443" s="1"/>
      <c r="B443" s="1"/>
      <c r="C443" s="18"/>
      <c r="D443" s="47"/>
      <c r="E443" s="18"/>
      <c r="F443" s="18"/>
      <c r="G443" s="18"/>
      <c r="H443" s="18"/>
      <c r="I443" s="25"/>
      <c r="J443" s="18"/>
      <c r="K443" s="18"/>
      <c r="L443" s="18"/>
      <c r="M443" s="18"/>
      <c r="N443" s="18"/>
      <c r="O443" s="18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>
      <c r="A444" s="1"/>
      <c r="B444" s="1"/>
      <c r="C444" s="18"/>
      <c r="D444" s="47"/>
      <c r="E444" s="18"/>
      <c r="F444" s="18"/>
      <c r="G444" s="18"/>
      <c r="H444" s="18"/>
      <c r="I444" s="25"/>
      <c r="J444" s="18"/>
      <c r="K444" s="18"/>
      <c r="L444" s="18"/>
      <c r="M444" s="18"/>
      <c r="N444" s="18"/>
      <c r="O444" s="18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>
      <c r="A445" s="1"/>
      <c r="B445" s="1"/>
      <c r="C445" s="18"/>
      <c r="D445" s="47"/>
      <c r="E445" s="18"/>
      <c r="F445" s="18"/>
      <c r="G445" s="18"/>
      <c r="H445" s="18"/>
      <c r="I445" s="25"/>
      <c r="J445" s="18"/>
      <c r="K445" s="18"/>
      <c r="L445" s="18"/>
      <c r="M445" s="18"/>
      <c r="N445" s="18"/>
      <c r="O445" s="18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>
      <c r="A446" s="1"/>
      <c r="B446" s="1"/>
      <c r="C446" s="18"/>
      <c r="D446" s="47"/>
      <c r="E446" s="18"/>
      <c r="F446" s="18"/>
      <c r="G446" s="18"/>
      <c r="H446" s="18"/>
      <c r="I446" s="25"/>
      <c r="J446" s="18"/>
      <c r="K446" s="18"/>
      <c r="L446" s="18"/>
      <c r="M446" s="18"/>
      <c r="N446" s="18"/>
      <c r="O446" s="18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>
      <c r="A447" s="1"/>
      <c r="B447" s="1"/>
      <c r="C447" s="18"/>
      <c r="D447" s="47"/>
      <c r="E447" s="18"/>
      <c r="F447" s="18"/>
      <c r="G447" s="18"/>
      <c r="H447" s="18"/>
      <c r="I447" s="25"/>
      <c r="J447" s="18"/>
      <c r="K447" s="18"/>
      <c r="L447" s="18"/>
      <c r="M447" s="18"/>
      <c r="N447" s="18"/>
      <c r="O447" s="18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>
      <c r="A448" s="1"/>
      <c r="B448" s="1"/>
      <c r="C448" s="18"/>
      <c r="D448" s="47"/>
      <c r="E448" s="18"/>
      <c r="F448" s="18"/>
      <c r="G448" s="18"/>
      <c r="H448" s="18"/>
      <c r="I448" s="25"/>
      <c r="J448" s="18"/>
      <c r="K448" s="18"/>
      <c r="L448" s="18"/>
      <c r="M448" s="18"/>
      <c r="N448" s="18"/>
      <c r="O448" s="18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>
      <c r="A449" s="1"/>
      <c r="B449" s="1"/>
      <c r="C449" s="18"/>
      <c r="D449" s="47"/>
      <c r="E449" s="18"/>
      <c r="F449" s="18"/>
      <c r="G449" s="18"/>
      <c r="H449" s="18"/>
      <c r="I449" s="25"/>
      <c r="J449" s="18"/>
      <c r="K449" s="18"/>
      <c r="L449" s="18"/>
      <c r="M449" s="18"/>
      <c r="N449" s="18"/>
      <c r="O449" s="18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>
      <c r="A450" s="1"/>
      <c r="B450" s="1"/>
      <c r="C450" s="18"/>
      <c r="D450" s="47"/>
      <c r="E450" s="18"/>
      <c r="F450" s="18"/>
      <c r="G450" s="18"/>
      <c r="H450" s="18"/>
      <c r="I450" s="25"/>
      <c r="J450" s="18"/>
      <c r="K450" s="18"/>
      <c r="L450" s="18"/>
      <c r="M450" s="18"/>
      <c r="N450" s="18"/>
      <c r="O450" s="18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>
      <c r="A451" s="1"/>
      <c r="B451" s="1"/>
      <c r="C451" s="18"/>
      <c r="D451" s="47"/>
      <c r="E451" s="18"/>
      <c r="F451" s="18"/>
      <c r="G451" s="18"/>
      <c r="H451" s="18"/>
      <c r="I451" s="25"/>
      <c r="J451" s="18"/>
      <c r="K451" s="18"/>
      <c r="L451" s="18"/>
      <c r="M451" s="18"/>
      <c r="N451" s="18"/>
      <c r="O451" s="18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>
      <c r="A452" s="1"/>
      <c r="B452" s="1"/>
      <c r="C452" s="18"/>
      <c r="D452" s="47"/>
      <c r="E452" s="18"/>
      <c r="F452" s="18"/>
      <c r="G452" s="18"/>
      <c r="H452" s="18"/>
      <c r="I452" s="25"/>
      <c r="J452" s="18"/>
      <c r="K452" s="18"/>
      <c r="L452" s="18"/>
      <c r="M452" s="18"/>
      <c r="N452" s="18"/>
      <c r="O452" s="18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>
      <c r="A453" s="1"/>
      <c r="B453" s="1"/>
      <c r="C453" s="18"/>
      <c r="D453" s="47"/>
      <c r="E453" s="18"/>
      <c r="F453" s="18"/>
      <c r="G453" s="18"/>
      <c r="H453" s="18"/>
      <c r="I453" s="25"/>
      <c r="J453" s="18"/>
      <c r="K453" s="18"/>
      <c r="L453" s="18"/>
      <c r="M453" s="18"/>
      <c r="N453" s="18"/>
      <c r="O453" s="18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>
      <c r="A454" s="1"/>
      <c r="B454" s="1"/>
      <c r="C454" s="18"/>
      <c r="D454" s="47"/>
      <c r="E454" s="18"/>
      <c r="F454" s="18"/>
      <c r="G454" s="18"/>
      <c r="H454" s="18"/>
      <c r="I454" s="25"/>
      <c r="J454" s="18"/>
      <c r="K454" s="18"/>
      <c r="L454" s="18"/>
      <c r="M454" s="18"/>
      <c r="N454" s="18"/>
      <c r="O454" s="18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>
      <c r="A455" s="1"/>
      <c r="B455" s="1"/>
      <c r="C455" s="18"/>
      <c r="D455" s="47"/>
      <c r="E455" s="18"/>
      <c r="F455" s="18"/>
      <c r="G455" s="18"/>
      <c r="H455" s="18"/>
      <c r="I455" s="25"/>
      <c r="J455" s="18"/>
      <c r="K455" s="18"/>
      <c r="L455" s="18"/>
      <c r="M455" s="18"/>
      <c r="N455" s="18"/>
      <c r="O455" s="18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>
      <c r="A456" s="1"/>
      <c r="B456" s="1"/>
      <c r="C456" s="18"/>
      <c r="D456" s="47"/>
      <c r="E456" s="18"/>
      <c r="F456" s="18"/>
      <c r="G456" s="18"/>
      <c r="H456" s="18"/>
      <c r="I456" s="25"/>
      <c r="J456" s="18"/>
      <c r="K456" s="18"/>
      <c r="L456" s="18"/>
      <c r="M456" s="18"/>
      <c r="N456" s="18"/>
      <c r="O456" s="18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>
      <c r="A457" s="1"/>
      <c r="B457" s="1"/>
      <c r="C457" s="18"/>
      <c r="D457" s="47"/>
      <c r="E457" s="18"/>
      <c r="F457" s="18"/>
      <c r="G457" s="18"/>
      <c r="H457" s="18"/>
      <c r="I457" s="25"/>
      <c r="J457" s="18"/>
      <c r="K457" s="18"/>
      <c r="L457" s="18"/>
      <c r="M457" s="18"/>
      <c r="N457" s="18"/>
      <c r="O457" s="18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>
      <c r="A458" s="1"/>
      <c r="B458" s="1"/>
      <c r="C458" s="18"/>
      <c r="D458" s="47"/>
      <c r="E458" s="18"/>
      <c r="F458" s="18"/>
      <c r="G458" s="18"/>
      <c r="H458" s="18"/>
      <c r="I458" s="25"/>
      <c r="J458" s="18"/>
      <c r="K458" s="18"/>
      <c r="L458" s="18"/>
      <c r="M458" s="18"/>
      <c r="N458" s="18"/>
      <c r="O458" s="18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>
      <c r="A459" s="1"/>
      <c r="B459" s="1"/>
      <c r="C459" s="18"/>
      <c r="D459" s="47"/>
      <c r="E459" s="18"/>
      <c r="F459" s="18"/>
      <c r="G459" s="18"/>
      <c r="H459" s="18"/>
      <c r="I459" s="25"/>
      <c r="J459" s="18"/>
      <c r="K459" s="18"/>
      <c r="L459" s="18"/>
      <c r="M459" s="18"/>
      <c r="N459" s="18"/>
      <c r="O459" s="18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>
      <c r="A460" s="1"/>
      <c r="B460" s="1"/>
      <c r="C460" s="18"/>
      <c r="D460" s="47"/>
      <c r="E460" s="18"/>
      <c r="F460" s="18"/>
      <c r="G460" s="18"/>
      <c r="H460" s="18"/>
      <c r="I460" s="25"/>
      <c r="J460" s="18"/>
      <c r="K460" s="18"/>
      <c r="L460" s="18"/>
      <c r="M460" s="18"/>
      <c r="N460" s="18"/>
      <c r="O460" s="18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>
      <c r="A461" s="1"/>
      <c r="B461" s="1"/>
      <c r="C461" s="18"/>
      <c r="D461" s="47"/>
      <c r="E461" s="18"/>
      <c r="F461" s="18"/>
      <c r="G461" s="18"/>
      <c r="H461" s="18"/>
      <c r="I461" s="25"/>
      <c r="J461" s="18"/>
      <c r="K461" s="18"/>
      <c r="L461" s="18"/>
      <c r="M461" s="18"/>
      <c r="N461" s="18"/>
      <c r="O461" s="18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>
      <c r="A462" s="1"/>
      <c r="B462" s="1"/>
      <c r="C462" s="18"/>
      <c r="D462" s="47"/>
      <c r="E462" s="18"/>
      <c r="F462" s="18"/>
      <c r="G462" s="18"/>
      <c r="H462" s="18"/>
      <c r="I462" s="25"/>
      <c r="J462" s="18"/>
      <c r="K462" s="18"/>
      <c r="L462" s="18"/>
      <c r="M462" s="18"/>
      <c r="N462" s="18"/>
      <c r="O462" s="18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>
      <c r="A463" s="1"/>
      <c r="B463" s="1"/>
      <c r="C463" s="18"/>
      <c r="D463" s="47"/>
      <c r="E463" s="18"/>
      <c r="F463" s="18"/>
      <c r="G463" s="18"/>
      <c r="H463" s="18"/>
      <c r="I463" s="25"/>
      <c r="J463" s="18"/>
      <c r="K463" s="18"/>
      <c r="L463" s="18"/>
      <c r="M463" s="18"/>
      <c r="N463" s="18"/>
      <c r="O463" s="18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>
      <c r="A464" s="1"/>
      <c r="B464" s="1"/>
      <c r="C464" s="18"/>
      <c r="D464" s="47"/>
      <c r="E464" s="18"/>
      <c r="F464" s="18"/>
      <c r="G464" s="18"/>
      <c r="H464" s="18"/>
      <c r="I464" s="25"/>
      <c r="J464" s="18"/>
      <c r="K464" s="18"/>
      <c r="L464" s="18"/>
      <c r="M464" s="18"/>
      <c r="N464" s="18"/>
      <c r="O464" s="18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>
      <c r="A465" s="1"/>
      <c r="B465" s="1"/>
      <c r="C465" s="18"/>
      <c r="D465" s="47"/>
      <c r="E465" s="18"/>
      <c r="F465" s="18"/>
      <c r="G465" s="18"/>
      <c r="H465" s="18"/>
      <c r="I465" s="25"/>
      <c r="J465" s="18"/>
      <c r="K465" s="18"/>
      <c r="L465" s="18"/>
      <c r="M465" s="18"/>
      <c r="N465" s="18"/>
      <c r="O465" s="18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>
      <c r="A466" s="1"/>
      <c r="B466" s="1"/>
      <c r="C466" s="18"/>
      <c r="D466" s="47"/>
      <c r="E466" s="18"/>
      <c r="F466" s="18"/>
      <c r="G466" s="18"/>
      <c r="H466" s="18"/>
      <c r="I466" s="25"/>
      <c r="J466" s="18"/>
      <c r="K466" s="18"/>
      <c r="L466" s="18"/>
      <c r="M466" s="18"/>
      <c r="N466" s="18"/>
      <c r="O466" s="18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>
      <c r="A467" s="1"/>
      <c r="B467" s="1"/>
      <c r="C467" s="18"/>
      <c r="D467" s="47"/>
      <c r="E467" s="18"/>
      <c r="F467" s="18"/>
      <c r="G467" s="18"/>
      <c r="H467" s="18"/>
      <c r="I467" s="25"/>
      <c r="J467" s="18"/>
      <c r="K467" s="18"/>
      <c r="L467" s="18"/>
      <c r="M467" s="18"/>
      <c r="N467" s="18"/>
      <c r="O467" s="18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>
      <c r="A468" s="1"/>
      <c r="B468" s="1"/>
      <c r="C468" s="18"/>
      <c r="D468" s="47"/>
      <c r="E468" s="18"/>
      <c r="F468" s="18"/>
      <c r="G468" s="18"/>
      <c r="H468" s="18"/>
      <c r="I468" s="25"/>
      <c r="J468" s="18"/>
      <c r="K468" s="18"/>
      <c r="L468" s="18"/>
      <c r="M468" s="18"/>
      <c r="N468" s="18"/>
      <c r="O468" s="18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>
      <c r="A469" s="1"/>
      <c r="B469" s="1"/>
      <c r="C469" s="18"/>
      <c r="D469" s="47"/>
      <c r="E469" s="18"/>
      <c r="F469" s="18"/>
      <c r="G469" s="18"/>
      <c r="H469" s="18"/>
      <c r="I469" s="25"/>
      <c r="J469" s="18"/>
      <c r="K469" s="18"/>
      <c r="L469" s="18"/>
      <c r="M469" s="18"/>
      <c r="N469" s="18"/>
      <c r="O469" s="18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>
      <c r="A470" s="1"/>
      <c r="B470" s="1"/>
      <c r="C470" s="18"/>
      <c r="D470" s="47"/>
      <c r="E470" s="18"/>
      <c r="F470" s="18"/>
      <c r="G470" s="18"/>
      <c r="H470" s="18"/>
      <c r="I470" s="25"/>
      <c r="J470" s="18"/>
      <c r="K470" s="18"/>
      <c r="L470" s="18"/>
      <c r="M470" s="18"/>
      <c r="N470" s="18"/>
      <c r="O470" s="18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>
      <c r="A471" s="1"/>
      <c r="B471" s="1"/>
      <c r="C471" s="18"/>
      <c r="D471" s="47"/>
      <c r="E471" s="18"/>
      <c r="F471" s="18"/>
      <c r="G471" s="18"/>
      <c r="H471" s="18"/>
      <c r="I471" s="25"/>
      <c r="J471" s="18"/>
      <c r="K471" s="18"/>
      <c r="L471" s="18"/>
      <c r="M471" s="18"/>
      <c r="N471" s="18"/>
      <c r="O471" s="18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>
      <c r="A472" s="1"/>
      <c r="B472" s="1"/>
      <c r="C472" s="18"/>
      <c r="D472" s="47"/>
      <c r="E472" s="18"/>
      <c r="F472" s="18"/>
      <c r="G472" s="18"/>
      <c r="H472" s="18"/>
      <c r="I472" s="25"/>
      <c r="J472" s="18"/>
      <c r="K472" s="18"/>
      <c r="L472" s="18"/>
      <c r="M472" s="18"/>
      <c r="N472" s="18"/>
      <c r="O472" s="18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>
      <c r="A473" s="1"/>
      <c r="B473" s="1"/>
      <c r="C473" s="18"/>
      <c r="D473" s="47"/>
      <c r="E473" s="18"/>
      <c r="F473" s="18"/>
      <c r="G473" s="18"/>
      <c r="H473" s="18"/>
      <c r="I473" s="25"/>
      <c r="J473" s="18"/>
      <c r="K473" s="18"/>
      <c r="L473" s="18"/>
      <c r="M473" s="18"/>
      <c r="N473" s="18"/>
      <c r="O473" s="18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>
      <c r="A474" s="1"/>
      <c r="B474" s="1"/>
      <c r="C474" s="18"/>
      <c r="D474" s="47"/>
      <c r="E474" s="18"/>
      <c r="F474" s="18"/>
      <c r="G474" s="18"/>
      <c r="H474" s="18"/>
      <c r="I474" s="25"/>
      <c r="J474" s="18"/>
      <c r="K474" s="18"/>
      <c r="L474" s="18"/>
      <c r="M474" s="18"/>
      <c r="N474" s="18"/>
      <c r="O474" s="18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>
      <c r="A475" s="1"/>
      <c r="B475" s="1"/>
      <c r="C475" s="18"/>
      <c r="D475" s="47"/>
      <c r="E475" s="18"/>
      <c r="F475" s="18"/>
      <c r="G475" s="18"/>
      <c r="H475" s="18"/>
      <c r="I475" s="25"/>
      <c r="J475" s="18"/>
      <c r="K475" s="18"/>
      <c r="L475" s="18"/>
      <c r="M475" s="18"/>
      <c r="N475" s="18"/>
      <c r="O475" s="18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>
      <c r="A476" s="1"/>
      <c r="B476" s="1"/>
      <c r="C476" s="18"/>
      <c r="D476" s="47"/>
      <c r="E476" s="18"/>
      <c r="F476" s="18"/>
      <c r="G476" s="18"/>
      <c r="H476" s="18"/>
      <c r="I476" s="25"/>
      <c r="J476" s="18"/>
      <c r="K476" s="18"/>
      <c r="L476" s="18"/>
      <c r="M476" s="18"/>
      <c r="N476" s="18"/>
      <c r="O476" s="18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>
      <c r="A477" s="1"/>
      <c r="B477" s="1"/>
      <c r="C477" s="18"/>
      <c r="D477" s="47"/>
      <c r="E477" s="18"/>
      <c r="F477" s="18"/>
      <c r="G477" s="18"/>
      <c r="H477" s="18"/>
      <c r="I477" s="25"/>
      <c r="J477" s="18"/>
      <c r="K477" s="18"/>
      <c r="L477" s="18"/>
      <c r="M477" s="18"/>
      <c r="N477" s="18"/>
      <c r="O477" s="18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>
      <c r="A478" s="1"/>
      <c r="B478" s="1"/>
      <c r="C478" s="18"/>
      <c r="D478" s="47"/>
      <c r="E478" s="18"/>
      <c r="F478" s="18"/>
      <c r="G478" s="18"/>
      <c r="H478" s="18"/>
      <c r="I478" s="25"/>
      <c r="J478" s="18"/>
      <c r="K478" s="18"/>
      <c r="L478" s="18"/>
      <c r="M478" s="18"/>
      <c r="N478" s="18"/>
      <c r="O478" s="18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>
      <c r="A479" s="1"/>
      <c r="B479" s="1"/>
      <c r="C479" s="18"/>
      <c r="D479" s="47"/>
      <c r="E479" s="18"/>
      <c r="F479" s="18"/>
      <c r="G479" s="18"/>
      <c r="H479" s="18"/>
      <c r="I479" s="25"/>
      <c r="J479" s="18"/>
      <c r="K479" s="18"/>
      <c r="L479" s="18"/>
      <c r="M479" s="18"/>
      <c r="N479" s="18"/>
      <c r="O479" s="18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>
      <c r="A480" s="1"/>
      <c r="B480" s="1"/>
      <c r="C480" s="18"/>
      <c r="D480" s="47"/>
      <c r="E480" s="18"/>
      <c r="F480" s="18"/>
      <c r="G480" s="18"/>
      <c r="H480" s="18"/>
      <c r="I480" s="25"/>
      <c r="J480" s="18"/>
      <c r="K480" s="18"/>
      <c r="L480" s="18"/>
      <c r="M480" s="18"/>
      <c r="N480" s="18"/>
      <c r="O480" s="18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>
      <c r="A481" s="1"/>
      <c r="B481" s="1"/>
      <c r="C481" s="18"/>
      <c r="D481" s="47"/>
      <c r="E481" s="18"/>
      <c r="F481" s="18"/>
      <c r="G481" s="18"/>
      <c r="H481" s="18"/>
      <c r="I481" s="25"/>
      <c r="J481" s="18"/>
      <c r="K481" s="18"/>
      <c r="L481" s="18"/>
      <c r="M481" s="18"/>
      <c r="N481" s="18"/>
      <c r="O481" s="18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>
      <c r="A482" s="1"/>
      <c r="B482" s="1"/>
      <c r="C482" s="18"/>
      <c r="D482" s="47"/>
      <c r="E482" s="18"/>
      <c r="F482" s="18"/>
      <c r="G482" s="18"/>
      <c r="H482" s="18"/>
      <c r="I482" s="25"/>
      <c r="J482" s="18"/>
      <c r="K482" s="18"/>
      <c r="L482" s="18"/>
      <c r="M482" s="18"/>
      <c r="N482" s="18"/>
      <c r="O482" s="18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>
      <c r="A483" s="1"/>
      <c r="B483" s="1"/>
      <c r="C483" s="18"/>
      <c r="D483" s="47"/>
      <c r="E483" s="18"/>
      <c r="F483" s="18"/>
      <c r="G483" s="18"/>
      <c r="H483" s="18"/>
      <c r="I483" s="25"/>
      <c r="J483" s="18"/>
      <c r="K483" s="18"/>
      <c r="L483" s="18"/>
      <c r="M483" s="18"/>
      <c r="N483" s="18"/>
      <c r="O483" s="18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>
      <c r="A484" s="1"/>
      <c r="B484" s="1"/>
      <c r="C484" s="18"/>
      <c r="D484" s="47"/>
      <c r="E484" s="18"/>
      <c r="F484" s="18"/>
      <c r="G484" s="18"/>
      <c r="H484" s="18"/>
      <c r="I484" s="25"/>
      <c r="J484" s="18"/>
      <c r="K484" s="18"/>
      <c r="L484" s="18"/>
      <c r="M484" s="18"/>
      <c r="N484" s="18"/>
      <c r="O484" s="18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>
      <c r="A485" s="1"/>
      <c r="B485" s="1"/>
      <c r="C485" s="18"/>
      <c r="D485" s="47"/>
      <c r="E485" s="18"/>
      <c r="F485" s="18"/>
      <c r="G485" s="18"/>
      <c r="H485" s="18"/>
      <c r="I485" s="25"/>
      <c r="J485" s="18"/>
      <c r="K485" s="18"/>
      <c r="L485" s="18"/>
      <c r="M485" s="18"/>
      <c r="N485" s="18"/>
      <c r="O485" s="18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>
      <c r="A486" s="1"/>
      <c r="B486" s="1"/>
      <c r="C486" s="18"/>
      <c r="D486" s="47"/>
      <c r="E486" s="18"/>
      <c r="F486" s="18"/>
      <c r="G486" s="18"/>
      <c r="H486" s="18"/>
      <c r="I486" s="25"/>
      <c r="J486" s="18"/>
      <c r="K486" s="18"/>
      <c r="L486" s="18"/>
      <c r="M486" s="18"/>
      <c r="N486" s="18"/>
      <c r="O486" s="18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>
      <c r="A487" s="1"/>
      <c r="B487" s="1"/>
      <c r="C487" s="18"/>
      <c r="D487" s="47"/>
      <c r="E487" s="18"/>
      <c r="F487" s="18"/>
      <c r="G487" s="18"/>
      <c r="H487" s="18"/>
      <c r="I487" s="25"/>
      <c r="J487" s="18"/>
      <c r="K487" s="18"/>
      <c r="L487" s="18"/>
      <c r="M487" s="18"/>
      <c r="N487" s="18"/>
      <c r="O487" s="18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>
      <c r="A488" s="1"/>
      <c r="B488" s="1"/>
      <c r="C488" s="18"/>
      <c r="D488" s="47"/>
      <c r="E488" s="18"/>
      <c r="F488" s="18"/>
      <c r="G488" s="18"/>
      <c r="H488" s="18"/>
      <c r="I488" s="25"/>
      <c r="J488" s="18"/>
      <c r="K488" s="18"/>
      <c r="L488" s="18"/>
      <c r="M488" s="18"/>
      <c r="N488" s="18"/>
      <c r="O488" s="18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>
      <c r="A489" s="1"/>
      <c r="B489" s="1"/>
      <c r="C489" s="18"/>
      <c r="D489" s="47"/>
      <c r="E489" s="18"/>
      <c r="F489" s="18"/>
      <c r="G489" s="18"/>
      <c r="H489" s="18"/>
      <c r="I489" s="25"/>
      <c r="J489" s="18"/>
      <c r="K489" s="18"/>
      <c r="L489" s="18"/>
      <c r="M489" s="18"/>
      <c r="N489" s="18"/>
      <c r="O489" s="18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>
      <c r="A490" s="1"/>
      <c r="B490" s="1"/>
      <c r="C490" s="18"/>
      <c r="D490" s="47"/>
      <c r="E490" s="18"/>
      <c r="F490" s="18"/>
      <c r="G490" s="18"/>
      <c r="H490" s="18"/>
      <c r="I490" s="25"/>
      <c r="J490" s="18"/>
      <c r="K490" s="18"/>
      <c r="L490" s="18"/>
      <c r="M490" s="18"/>
      <c r="N490" s="18"/>
      <c r="O490" s="18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>
      <c r="A491" s="1"/>
      <c r="B491" s="1"/>
      <c r="C491" s="18"/>
      <c r="D491" s="47"/>
      <c r="E491" s="18"/>
      <c r="F491" s="18"/>
      <c r="G491" s="18"/>
      <c r="H491" s="18"/>
      <c r="I491" s="25"/>
      <c r="J491" s="18"/>
      <c r="K491" s="18"/>
      <c r="L491" s="18"/>
      <c r="M491" s="18"/>
      <c r="N491" s="18"/>
      <c r="O491" s="18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>
      <c r="A492" s="1"/>
      <c r="B492" s="1"/>
      <c r="C492" s="18"/>
      <c r="D492" s="47"/>
      <c r="E492" s="18"/>
      <c r="F492" s="18"/>
      <c r="G492" s="18"/>
      <c r="H492" s="18"/>
      <c r="I492" s="25"/>
      <c r="J492" s="18"/>
      <c r="K492" s="18"/>
      <c r="L492" s="18"/>
      <c r="M492" s="18"/>
      <c r="N492" s="18"/>
      <c r="O492" s="18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>
      <c r="A493" s="1"/>
      <c r="B493" s="1"/>
      <c r="C493" s="18"/>
      <c r="D493" s="47"/>
      <c r="E493" s="18"/>
      <c r="F493" s="18"/>
      <c r="G493" s="18"/>
      <c r="H493" s="18"/>
      <c r="I493" s="25"/>
      <c r="J493" s="18"/>
      <c r="K493" s="18"/>
      <c r="L493" s="18"/>
      <c r="M493" s="18"/>
      <c r="N493" s="18"/>
      <c r="O493" s="18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>
      <c r="A494" s="1"/>
      <c r="B494" s="1"/>
      <c r="C494" s="18"/>
      <c r="D494" s="47"/>
      <c r="E494" s="18"/>
      <c r="F494" s="18"/>
      <c r="G494" s="18"/>
      <c r="H494" s="18"/>
      <c r="I494" s="25"/>
      <c r="J494" s="18"/>
      <c r="K494" s="18"/>
      <c r="L494" s="18"/>
      <c r="M494" s="18"/>
      <c r="N494" s="18"/>
      <c r="O494" s="18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>
      <c r="A495" s="1"/>
      <c r="B495" s="1"/>
      <c r="C495" s="18"/>
      <c r="D495" s="47"/>
      <c r="E495" s="18"/>
      <c r="F495" s="18"/>
      <c r="G495" s="18"/>
      <c r="H495" s="18"/>
      <c r="I495" s="25"/>
      <c r="J495" s="18"/>
      <c r="K495" s="18"/>
      <c r="L495" s="18"/>
      <c r="M495" s="18"/>
      <c r="N495" s="18"/>
      <c r="O495" s="18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>
      <c r="A496" s="1"/>
      <c r="B496" s="1"/>
      <c r="C496" s="18"/>
      <c r="D496" s="47"/>
      <c r="E496" s="18"/>
      <c r="F496" s="18"/>
      <c r="G496" s="18"/>
      <c r="H496" s="18"/>
      <c r="I496" s="25"/>
      <c r="J496" s="18"/>
      <c r="K496" s="18"/>
      <c r="L496" s="18"/>
      <c r="M496" s="18"/>
      <c r="N496" s="18"/>
      <c r="O496" s="18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>
      <c r="A497" s="1"/>
      <c r="B497" s="1"/>
      <c r="C497" s="18"/>
      <c r="D497" s="47"/>
      <c r="E497" s="18"/>
      <c r="F497" s="18"/>
      <c r="G497" s="18"/>
      <c r="H497" s="18"/>
      <c r="I497" s="25"/>
      <c r="J497" s="18"/>
      <c r="K497" s="18"/>
      <c r="L497" s="18"/>
      <c r="M497" s="18"/>
      <c r="N497" s="18"/>
      <c r="O497" s="18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>
      <c r="A498" s="1"/>
      <c r="B498" s="1"/>
      <c r="C498" s="18"/>
      <c r="D498" s="47"/>
      <c r="E498" s="18"/>
      <c r="F498" s="18"/>
      <c r="G498" s="18"/>
      <c r="H498" s="18"/>
      <c r="I498" s="25"/>
      <c r="J498" s="18"/>
      <c r="K498" s="18"/>
      <c r="L498" s="18"/>
      <c r="M498" s="18"/>
      <c r="N498" s="18"/>
      <c r="O498" s="18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>
      <c r="A499" s="1"/>
      <c r="B499" s="1"/>
      <c r="C499" s="18"/>
      <c r="D499" s="47"/>
      <c r="E499" s="18"/>
      <c r="F499" s="18"/>
      <c r="G499" s="18"/>
      <c r="H499" s="18"/>
      <c r="I499" s="25"/>
      <c r="J499" s="18"/>
      <c r="K499" s="18"/>
      <c r="L499" s="18"/>
      <c r="M499" s="18"/>
      <c r="N499" s="18"/>
      <c r="O499" s="18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>
      <c r="A500" s="1"/>
      <c r="B500" s="1"/>
      <c r="C500" s="18"/>
      <c r="D500" s="47"/>
      <c r="E500" s="18"/>
      <c r="F500" s="18"/>
      <c r="G500" s="18"/>
      <c r="H500" s="18"/>
      <c r="I500" s="25"/>
      <c r="J500" s="18"/>
      <c r="K500" s="18"/>
      <c r="L500" s="18"/>
      <c r="M500" s="18"/>
      <c r="N500" s="18"/>
      <c r="O500" s="18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>
      <c r="A501" s="1"/>
      <c r="B501" s="1"/>
      <c r="C501" s="18"/>
      <c r="D501" s="47"/>
      <c r="E501" s="18"/>
      <c r="F501" s="18"/>
      <c r="G501" s="18"/>
      <c r="H501" s="18"/>
      <c r="I501" s="25"/>
      <c r="J501" s="18"/>
      <c r="K501" s="18"/>
      <c r="L501" s="18"/>
      <c r="M501" s="18"/>
      <c r="N501" s="18"/>
      <c r="O501" s="18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>
      <c r="A502" s="1"/>
      <c r="B502" s="1"/>
      <c r="C502" s="18"/>
      <c r="D502" s="47"/>
      <c r="E502" s="18"/>
      <c r="F502" s="18"/>
      <c r="G502" s="18"/>
      <c r="H502" s="18"/>
      <c r="I502" s="25"/>
      <c r="J502" s="18"/>
      <c r="K502" s="18"/>
      <c r="L502" s="18"/>
      <c r="M502" s="18"/>
      <c r="N502" s="18"/>
      <c r="O502" s="18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>
      <c r="A503" s="1"/>
      <c r="B503" s="1"/>
      <c r="C503" s="18"/>
      <c r="D503" s="47"/>
      <c r="E503" s="18"/>
      <c r="F503" s="18"/>
      <c r="G503" s="18"/>
      <c r="H503" s="18"/>
      <c r="I503" s="25"/>
      <c r="J503" s="18"/>
      <c r="K503" s="18"/>
      <c r="L503" s="18"/>
      <c r="M503" s="18"/>
      <c r="N503" s="18"/>
      <c r="O503" s="18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>
      <c r="A504" s="1"/>
      <c r="B504" s="1"/>
      <c r="C504" s="18"/>
      <c r="D504" s="47"/>
      <c r="E504" s="18"/>
      <c r="F504" s="18"/>
      <c r="G504" s="18"/>
      <c r="H504" s="18"/>
      <c r="I504" s="25"/>
      <c r="J504" s="18"/>
      <c r="K504" s="18"/>
      <c r="L504" s="18"/>
      <c r="M504" s="18"/>
      <c r="N504" s="18"/>
      <c r="O504" s="18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>
      <c r="A505" s="1"/>
      <c r="B505" s="1"/>
      <c r="C505" s="18"/>
      <c r="D505" s="47"/>
      <c r="E505" s="18"/>
      <c r="F505" s="18"/>
      <c r="G505" s="18"/>
      <c r="H505" s="18"/>
      <c r="I505" s="25"/>
      <c r="J505" s="18"/>
      <c r="K505" s="18"/>
      <c r="L505" s="18"/>
      <c r="M505" s="18"/>
      <c r="N505" s="18"/>
      <c r="O505" s="18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>
      <c r="A506" s="1"/>
      <c r="B506" s="1"/>
      <c r="C506" s="18"/>
      <c r="D506" s="47"/>
      <c r="E506" s="18"/>
      <c r="F506" s="18"/>
      <c r="G506" s="18"/>
      <c r="H506" s="18"/>
      <c r="I506" s="25"/>
      <c r="J506" s="18"/>
      <c r="K506" s="18"/>
      <c r="L506" s="18"/>
      <c r="M506" s="18"/>
      <c r="N506" s="18"/>
      <c r="O506" s="18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>
      <c r="A507" s="1"/>
      <c r="B507" s="1"/>
      <c r="C507" s="18"/>
      <c r="D507" s="47"/>
      <c r="E507" s="18"/>
      <c r="F507" s="18"/>
      <c r="G507" s="18"/>
      <c r="H507" s="18"/>
      <c r="I507" s="25"/>
      <c r="J507" s="18"/>
      <c r="K507" s="18"/>
      <c r="L507" s="18"/>
      <c r="M507" s="18"/>
      <c r="N507" s="18"/>
      <c r="O507" s="18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>
      <c r="A508" s="1"/>
      <c r="B508" s="1"/>
      <c r="C508" s="18"/>
      <c r="D508" s="47"/>
      <c r="E508" s="18"/>
      <c r="F508" s="18"/>
      <c r="G508" s="18"/>
      <c r="H508" s="18"/>
      <c r="I508" s="25"/>
      <c r="J508" s="18"/>
      <c r="K508" s="18"/>
      <c r="L508" s="18"/>
      <c r="M508" s="18"/>
      <c r="N508" s="18"/>
      <c r="O508" s="18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>
      <c r="A509" s="1"/>
      <c r="B509" s="1"/>
      <c r="C509" s="18"/>
      <c r="D509" s="47"/>
      <c r="E509" s="18"/>
      <c r="F509" s="18"/>
      <c r="G509" s="18"/>
      <c r="H509" s="18"/>
      <c r="I509" s="25"/>
      <c r="J509" s="18"/>
      <c r="K509" s="18"/>
      <c r="L509" s="18"/>
      <c r="M509" s="18"/>
      <c r="N509" s="18"/>
      <c r="O509" s="18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>
      <c r="A510" s="1"/>
      <c r="B510" s="1"/>
      <c r="C510" s="18"/>
      <c r="D510" s="47"/>
      <c r="E510" s="18"/>
      <c r="F510" s="18"/>
      <c r="G510" s="18"/>
      <c r="H510" s="18"/>
      <c r="I510" s="25"/>
      <c r="J510" s="18"/>
      <c r="K510" s="18"/>
      <c r="L510" s="18"/>
      <c r="M510" s="18"/>
      <c r="N510" s="18"/>
      <c r="O510" s="18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>
      <c r="A511" s="1"/>
      <c r="B511" s="1"/>
      <c r="C511" s="18"/>
      <c r="D511" s="47"/>
      <c r="E511" s="18"/>
      <c r="F511" s="18"/>
      <c r="G511" s="18"/>
      <c r="H511" s="18"/>
      <c r="I511" s="25"/>
      <c r="J511" s="18"/>
      <c r="K511" s="18"/>
      <c r="L511" s="18"/>
      <c r="M511" s="18"/>
      <c r="N511" s="18"/>
      <c r="O511" s="18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>
      <c r="A512" s="1"/>
      <c r="B512" s="1"/>
      <c r="C512" s="18"/>
      <c r="D512" s="47"/>
      <c r="E512" s="18"/>
      <c r="F512" s="18"/>
      <c r="G512" s="18"/>
      <c r="H512" s="18"/>
      <c r="I512" s="25"/>
      <c r="J512" s="18"/>
      <c r="K512" s="18"/>
      <c r="L512" s="18"/>
      <c r="M512" s="18"/>
      <c r="N512" s="18"/>
      <c r="O512" s="18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>
      <c r="A513" s="1"/>
      <c r="B513" s="1"/>
      <c r="C513" s="18"/>
      <c r="D513" s="47"/>
      <c r="E513" s="18"/>
      <c r="F513" s="18"/>
      <c r="G513" s="18"/>
      <c r="H513" s="18"/>
      <c r="I513" s="25"/>
      <c r="J513" s="18"/>
      <c r="K513" s="18"/>
      <c r="L513" s="18"/>
      <c r="M513" s="18"/>
      <c r="N513" s="18"/>
      <c r="O513" s="18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>
      <c r="A514" s="1"/>
      <c r="B514" s="1"/>
      <c r="C514" s="18"/>
      <c r="D514" s="47"/>
      <c r="E514" s="18"/>
      <c r="F514" s="18"/>
      <c r="G514" s="18"/>
      <c r="H514" s="18"/>
      <c r="I514" s="25"/>
      <c r="J514" s="18"/>
      <c r="K514" s="18"/>
      <c r="L514" s="18"/>
      <c r="M514" s="18"/>
      <c r="N514" s="18"/>
      <c r="O514" s="18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>
      <c r="A515" s="1"/>
      <c r="B515" s="1"/>
      <c r="C515" s="18"/>
      <c r="D515" s="47"/>
      <c r="E515" s="18"/>
      <c r="F515" s="18"/>
      <c r="G515" s="18"/>
      <c r="H515" s="18"/>
      <c r="I515" s="25"/>
      <c r="J515" s="18"/>
      <c r="K515" s="18"/>
      <c r="L515" s="18"/>
      <c r="M515" s="18"/>
      <c r="N515" s="18"/>
      <c r="O515" s="18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>
      <c r="A516" s="1"/>
      <c r="B516" s="1"/>
      <c r="C516" s="18"/>
      <c r="D516" s="47"/>
      <c r="E516" s="18"/>
      <c r="F516" s="18"/>
      <c r="G516" s="18"/>
      <c r="H516" s="18"/>
      <c r="I516" s="25"/>
      <c r="J516" s="18"/>
      <c r="K516" s="18"/>
      <c r="L516" s="18"/>
      <c r="M516" s="18"/>
      <c r="N516" s="18"/>
      <c r="O516" s="18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>
      <c r="A517" s="1"/>
      <c r="B517" s="1"/>
      <c r="C517" s="18"/>
      <c r="D517" s="47"/>
      <c r="E517" s="18"/>
      <c r="F517" s="18"/>
      <c r="G517" s="18"/>
      <c r="H517" s="18"/>
      <c r="I517" s="25"/>
      <c r="J517" s="18"/>
      <c r="K517" s="18"/>
      <c r="L517" s="18"/>
      <c r="M517" s="18"/>
      <c r="N517" s="18"/>
      <c r="O517" s="18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>
      <c r="A518" s="1"/>
      <c r="B518" s="1"/>
      <c r="C518" s="18"/>
      <c r="D518" s="47"/>
      <c r="E518" s="18"/>
      <c r="F518" s="18"/>
      <c r="G518" s="18"/>
      <c r="H518" s="18"/>
      <c r="I518" s="25"/>
      <c r="J518" s="18"/>
      <c r="K518" s="18"/>
      <c r="L518" s="18"/>
      <c r="M518" s="18"/>
      <c r="N518" s="18"/>
      <c r="O518" s="18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>
      <c r="A519" s="1"/>
      <c r="B519" s="1"/>
      <c r="C519" s="18"/>
      <c r="D519" s="47"/>
      <c r="E519" s="18"/>
      <c r="F519" s="18"/>
      <c r="G519" s="18"/>
      <c r="H519" s="18"/>
      <c r="I519" s="25"/>
      <c r="J519" s="18"/>
      <c r="K519" s="18"/>
      <c r="L519" s="18"/>
      <c r="M519" s="18"/>
      <c r="N519" s="18"/>
      <c r="O519" s="18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>
      <c r="A520" s="1"/>
      <c r="B520" s="1"/>
      <c r="C520" s="18"/>
      <c r="D520" s="47"/>
      <c r="E520" s="18"/>
      <c r="F520" s="18"/>
      <c r="G520" s="18"/>
      <c r="H520" s="18"/>
      <c r="I520" s="25"/>
      <c r="J520" s="18"/>
      <c r="K520" s="18"/>
      <c r="L520" s="18"/>
      <c r="M520" s="18"/>
      <c r="N520" s="18"/>
      <c r="O520" s="18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>
      <c r="A521" s="1"/>
      <c r="B521" s="1"/>
      <c r="C521" s="18"/>
      <c r="D521" s="47"/>
      <c r="E521" s="18"/>
      <c r="F521" s="18"/>
      <c r="G521" s="18"/>
      <c r="H521" s="18"/>
      <c r="I521" s="25"/>
      <c r="J521" s="18"/>
      <c r="K521" s="18"/>
      <c r="L521" s="18"/>
      <c r="M521" s="18"/>
      <c r="N521" s="18"/>
      <c r="O521" s="18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>
      <c r="A522" s="1"/>
      <c r="B522" s="1"/>
      <c r="C522" s="18"/>
      <c r="D522" s="47"/>
      <c r="E522" s="18"/>
      <c r="F522" s="18"/>
      <c r="G522" s="18"/>
      <c r="H522" s="18"/>
      <c r="I522" s="25"/>
      <c r="J522" s="18"/>
      <c r="K522" s="18"/>
      <c r="L522" s="18"/>
      <c r="M522" s="18"/>
      <c r="N522" s="18"/>
      <c r="O522" s="18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>
      <c r="A523" s="1"/>
      <c r="B523" s="1"/>
      <c r="C523" s="18"/>
      <c r="D523" s="47"/>
      <c r="E523" s="18"/>
      <c r="F523" s="18"/>
      <c r="G523" s="18"/>
      <c r="H523" s="18"/>
      <c r="I523" s="25"/>
      <c r="J523" s="18"/>
      <c r="K523" s="18"/>
      <c r="L523" s="18"/>
      <c r="M523" s="18"/>
      <c r="N523" s="18"/>
      <c r="O523" s="18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>
      <c r="A524" s="1"/>
      <c r="B524" s="1"/>
      <c r="C524" s="18"/>
      <c r="D524" s="47"/>
      <c r="E524" s="18"/>
      <c r="F524" s="18"/>
      <c r="G524" s="18"/>
      <c r="H524" s="18"/>
      <c r="I524" s="25"/>
      <c r="J524" s="18"/>
      <c r="K524" s="18"/>
      <c r="L524" s="18"/>
      <c r="M524" s="18"/>
      <c r="N524" s="18"/>
      <c r="O524" s="18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>
      <c r="A525" s="1"/>
      <c r="B525" s="1"/>
      <c r="C525" s="18"/>
      <c r="D525" s="47"/>
      <c r="E525" s="18"/>
      <c r="F525" s="18"/>
      <c r="G525" s="18"/>
      <c r="H525" s="18"/>
      <c r="I525" s="25"/>
      <c r="J525" s="18"/>
      <c r="K525" s="18"/>
      <c r="L525" s="18"/>
      <c r="M525" s="18"/>
      <c r="N525" s="18"/>
      <c r="O525" s="18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>
      <c r="A526" s="1"/>
      <c r="B526" s="1"/>
      <c r="C526" s="18"/>
      <c r="D526" s="47"/>
      <c r="E526" s="18"/>
      <c r="F526" s="18"/>
      <c r="G526" s="18"/>
      <c r="H526" s="18"/>
      <c r="I526" s="25"/>
      <c r="J526" s="18"/>
      <c r="K526" s="18"/>
      <c r="L526" s="18"/>
      <c r="M526" s="18"/>
      <c r="N526" s="18"/>
      <c r="O526" s="18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>
      <c r="A527" s="1"/>
      <c r="B527" s="1"/>
      <c r="C527" s="18"/>
      <c r="D527" s="47"/>
      <c r="E527" s="18"/>
      <c r="F527" s="18"/>
      <c r="G527" s="18"/>
      <c r="H527" s="18"/>
      <c r="I527" s="25"/>
      <c r="J527" s="18"/>
      <c r="K527" s="18"/>
      <c r="L527" s="18"/>
      <c r="M527" s="18"/>
      <c r="N527" s="18"/>
      <c r="O527" s="18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>
      <c r="A528" s="1"/>
      <c r="B528" s="1"/>
      <c r="C528" s="18"/>
      <c r="D528" s="47"/>
      <c r="E528" s="18"/>
      <c r="F528" s="18"/>
      <c r="G528" s="18"/>
      <c r="H528" s="18"/>
      <c r="I528" s="25"/>
      <c r="J528" s="18"/>
      <c r="K528" s="18"/>
      <c r="L528" s="18"/>
      <c r="M528" s="18"/>
      <c r="N528" s="18"/>
      <c r="O528" s="18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>
      <c r="A529" s="1"/>
      <c r="B529" s="1"/>
      <c r="C529" s="18"/>
      <c r="D529" s="47"/>
      <c r="E529" s="18"/>
      <c r="F529" s="18"/>
      <c r="G529" s="18"/>
      <c r="H529" s="18"/>
      <c r="I529" s="25"/>
      <c r="J529" s="18"/>
      <c r="K529" s="18"/>
      <c r="L529" s="18"/>
      <c r="M529" s="18"/>
      <c r="N529" s="18"/>
      <c r="O529" s="18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>
      <c r="A530" s="1"/>
      <c r="B530" s="1"/>
      <c r="C530" s="18"/>
      <c r="D530" s="47"/>
      <c r="E530" s="18"/>
      <c r="F530" s="18"/>
      <c r="G530" s="18"/>
      <c r="H530" s="18"/>
      <c r="I530" s="25"/>
      <c r="J530" s="18"/>
      <c r="K530" s="18"/>
      <c r="L530" s="18"/>
      <c r="M530" s="18"/>
      <c r="N530" s="18"/>
      <c r="O530" s="18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>
      <c r="A531" s="1"/>
      <c r="B531" s="1"/>
      <c r="C531" s="18"/>
      <c r="D531" s="47"/>
      <c r="E531" s="18"/>
      <c r="F531" s="18"/>
      <c r="G531" s="18"/>
      <c r="H531" s="18"/>
      <c r="I531" s="25"/>
      <c r="J531" s="18"/>
      <c r="K531" s="18"/>
      <c r="L531" s="18"/>
      <c r="M531" s="18"/>
      <c r="N531" s="18"/>
      <c r="O531" s="18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>
      <c r="A532" s="1"/>
      <c r="B532" s="1"/>
      <c r="C532" s="18"/>
      <c r="D532" s="47"/>
      <c r="E532" s="18"/>
      <c r="F532" s="18"/>
      <c r="G532" s="18"/>
      <c r="H532" s="18"/>
      <c r="I532" s="25"/>
      <c r="J532" s="18"/>
      <c r="K532" s="18"/>
      <c r="L532" s="18"/>
      <c r="M532" s="18"/>
      <c r="N532" s="18"/>
      <c r="O532" s="18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>
      <c r="A533" s="1"/>
      <c r="B533" s="1"/>
      <c r="C533" s="18"/>
      <c r="D533" s="47"/>
      <c r="E533" s="18"/>
      <c r="F533" s="18"/>
      <c r="G533" s="18"/>
      <c r="H533" s="18"/>
      <c r="I533" s="25"/>
      <c r="J533" s="18"/>
      <c r="K533" s="18"/>
      <c r="L533" s="18"/>
      <c r="M533" s="18"/>
      <c r="N533" s="18"/>
      <c r="O533" s="18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>
      <c r="A534" s="1"/>
      <c r="B534" s="1"/>
      <c r="C534" s="18"/>
      <c r="D534" s="47"/>
      <c r="E534" s="18"/>
      <c r="F534" s="18"/>
      <c r="G534" s="18"/>
      <c r="H534" s="18"/>
      <c r="I534" s="25"/>
      <c r="J534" s="18"/>
      <c r="K534" s="18"/>
      <c r="L534" s="18"/>
      <c r="M534" s="18"/>
      <c r="N534" s="18"/>
      <c r="O534" s="18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>
      <c r="A535" s="1"/>
      <c r="B535" s="1"/>
      <c r="C535" s="18"/>
      <c r="D535" s="47"/>
      <c r="E535" s="18"/>
      <c r="F535" s="18"/>
      <c r="G535" s="18"/>
      <c r="H535" s="18"/>
      <c r="I535" s="25"/>
      <c r="J535" s="18"/>
      <c r="K535" s="18"/>
      <c r="L535" s="18"/>
      <c r="M535" s="18"/>
      <c r="N535" s="18"/>
      <c r="O535" s="18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>
      <c r="A536" s="1"/>
      <c r="B536" s="1"/>
      <c r="C536" s="18"/>
      <c r="D536" s="47"/>
      <c r="E536" s="18"/>
      <c r="F536" s="18"/>
      <c r="G536" s="18"/>
      <c r="H536" s="18"/>
      <c r="I536" s="25"/>
      <c r="J536" s="18"/>
      <c r="K536" s="18"/>
      <c r="L536" s="18"/>
      <c r="M536" s="18"/>
      <c r="N536" s="18"/>
      <c r="O536" s="18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>
      <c r="A537" s="1"/>
      <c r="B537" s="1"/>
      <c r="C537" s="18"/>
      <c r="D537" s="47"/>
      <c r="E537" s="18"/>
      <c r="F537" s="18"/>
      <c r="G537" s="18"/>
      <c r="H537" s="18"/>
      <c r="I537" s="25"/>
      <c r="J537" s="18"/>
      <c r="K537" s="18"/>
      <c r="L537" s="18"/>
      <c r="M537" s="18"/>
      <c r="N537" s="18"/>
      <c r="O537" s="18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>
      <c r="A538" s="1"/>
      <c r="B538" s="1"/>
      <c r="C538" s="18"/>
      <c r="D538" s="47"/>
      <c r="E538" s="18"/>
      <c r="F538" s="18"/>
      <c r="G538" s="18"/>
      <c r="H538" s="18"/>
      <c r="I538" s="25"/>
      <c r="J538" s="18"/>
      <c r="K538" s="18"/>
      <c r="L538" s="18"/>
      <c r="M538" s="18"/>
      <c r="N538" s="18"/>
      <c r="O538" s="18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>
      <c r="A539" s="1"/>
      <c r="B539" s="1"/>
      <c r="C539" s="18"/>
      <c r="D539" s="47"/>
      <c r="E539" s="18"/>
      <c r="F539" s="18"/>
      <c r="G539" s="18"/>
      <c r="H539" s="18"/>
      <c r="I539" s="25"/>
      <c r="J539" s="18"/>
      <c r="K539" s="18"/>
      <c r="L539" s="18"/>
      <c r="M539" s="18"/>
      <c r="N539" s="18"/>
      <c r="O539" s="18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>
      <c r="A540" s="1"/>
      <c r="B540" s="1"/>
      <c r="C540" s="18"/>
      <c r="D540" s="47"/>
      <c r="E540" s="18"/>
      <c r="F540" s="18"/>
      <c r="G540" s="18"/>
      <c r="H540" s="18"/>
      <c r="I540" s="25"/>
      <c r="J540" s="18"/>
      <c r="K540" s="18"/>
      <c r="L540" s="18"/>
      <c r="M540" s="18"/>
      <c r="N540" s="18"/>
      <c r="O540" s="18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>
      <c r="A541" s="1"/>
      <c r="B541" s="1"/>
      <c r="C541" s="18"/>
      <c r="D541" s="47"/>
      <c r="E541" s="18"/>
      <c r="F541" s="18"/>
      <c r="G541" s="18"/>
      <c r="H541" s="18"/>
      <c r="I541" s="25"/>
      <c r="J541" s="18"/>
      <c r="K541" s="18"/>
      <c r="L541" s="18"/>
      <c r="M541" s="18"/>
      <c r="N541" s="18"/>
      <c r="O541" s="18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>
      <c r="A542" s="1"/>
      <c r="B542" s="1"/>
      <c r="C542" s="18"/>
      <c r="D542" s="47"/>
      <c r="E542" s="18"/>
      <c r="F542" s="18"/>
      <c r="G542" s="18"/>
      <c r="H542" s="18"/>
      <c r="I542" s="25"/>
      <c r="J542" s="18"/>
      <c r="K542" s="18"/>
      <c r="L542" s="18"/>
      <c r="M542" s="18"/>
      <c r="N542" s="18"/>
      <c r="O542" s="18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>
      <c r="A543" s="1"/>
      <c r="B543" s="1"/>
      <c r="C543" s="18"/>
      <c r="D543" s="47"/>
      <c r="E543" s="18"/>
      <c r="F543" s="18"/>
      <c r="G543" s="18"/>
      <c r="H543" s="18"/>
      <c r="I543" s="25"/>
      <c r="J543" s="18"/>
      <c r="K543" s="18"/>
      <c r="L543" s="18"/>
      <c r="M543" s="18"/>
      <c r="N543" s="18"/>
      <c r="O543" s="18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>
      <c r="A544" s="1"/>
      <c r="B544" s="1"/>
      <c r="C544" s="18"/>
      <c r="D544" s="47"/>
      <c r="E544" s="18"/>
      <c r="F544" s="18"/>
      <c r="G544" s="18"/>
      <c r="H544" s="18"/>
      <c r="I544" s="25"/>
      <c r="J544" s="18"/>
      <c r="K544" s="18"/>
      <c r="L544" s="18"/>
      <c r="M544" s="18"/>
      <c r="N544" s="18"/>
      <c r="O544" s="18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>
      <c r="A545" s="1"/>
      <c r="B545" s="1"/>
      <c r="C545" s="18"/>
      <c r="D545" s="47"/>
      <c r="E545" s="18"/>
      <c r="F545" s="18"/>
      <c r="G545" s="18"/>
      <c r="H545" s="18"/>
      <c r="I545" s="25"/>
      <c r="J545" s="18"/>
      <c r="K545" s="18"/>
      <c r="L545" s="18"/>
      <c r="M545" s="18"/>
      <c r="N545" s="18"/>
      <c r="O545" s="18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>
      <c r="A546" s="1"/>
      <c r="B546" s="1"/>
      <c r="C546" s="18"/>
      <c r="D546" s="47"/>
      <c r="E546" s="18"/>
      <c r="F546" s="18"/>
      <c r="G546" s="18"/>
      <c r="H546" s="18"/>
      <c r="I546" s="25"/>
      <c r="J546" s="18"/>
      <c r="K546" s="18"/>
      <c r="L546" s="18"/>
      <c r="M546" s="18"/>
      <c r="N546" s="18"/>
      <c r="O546" s="18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>
      <c r="A547" s="1"/>
      <c r="B547" s="1"/>
      <c r="C547" s="18"/>
      <c r="D547" s="47"/>
      <c r="E547" s="18"/>
      <c r="F547" s="18"/>
      <c r="G547" s="18"/>
      <c r="H547" s="18"/>
      <c r="I547" s="25"/>
      <c r="J547" s="18"/>
      <c r="K547" s="18"/>
      <c r="L547" s="18"/>
      <c r="M547" s="18"/>
      <c r="N547" s="18"/>
      <c r="O547" s="18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>
      <c r="A548" s="1"/>
      <c r="B548" s="1"/>
      <c r="C548" s="18"/>
      <c r="D548" s="47"/>
      <c r="E548" s="18"/>
      <c r="F548" s="18"/>
      <c r="G548" s="18"/>
      <c r="H548" s="18"/>
      <c r="I548" s="25"/>
      <c r="J548" s="18"/>
      <c r="K548" s="18"/>
      <c r="L548" s="18"/>
      <c r="M548" s="18"/>
      <c r="N548" s="18"/>
      <c r="O548" s="18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>
      <c r="A549" s="1"/>
      <c r="B549" s="1"/>
      <c r="C549" s="18"/>
      <c r="D549" s="47"/>
      <c r="E549" s="18"/>
      <c r="F549" s="18"/>
      <c r="G549" s="18"/>
      <c r="H549" s="18"/>
      <c r="I549" s="25"/>
      <c r="J549" s="18"/>
      <c r="K549" s="18"/>
      <c r="L549" s="18"/>
      <c r="M549" s="18"/>
      <c r="N549" s="18"/>
      <c r="O549" s="18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>
      <c r="A550" s="1"/>
      <c r="B550" s="1"/>
      <c r="C550" s="18"/>
      <c r="D550" s="47"/>
      <c r="E550" s="18"/>
      <c r="F550" s="18"/>
      <c r="G550" s="18"/>
      <c r="H550" s="18"/>
      <c r="I550" s="25"/>
      <c r="J550" s="18"/>
      <c r="K550" s="18"/>
      <c r="L550" s="18"/>
      <c r="M550" s="18"/>
      <c r="N550" s="18"/>
      <c r="O550" s="18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>
      <c r="A551" s="1"/>
      <c r="B551" s="1"/>
      <c r="C551" s="18"/>
      <c r="D551" s="47"/>
      <c r="E551" s="18"/>
      <c r="F551" s="18"/>
      <c r="G551" s="18"/>
      <c r="H551" s="18"/>
      <c r="I551" s="25"/>
      <c r="J551" s="18"/>
      <c r="K551" s="18"/>
      <c r="L551" s="18"/>
      <c r="M551" s="18"/>
      <c r="N551" s="18"/>
      <c r="O551" s="18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>
      <c r="A552" s="1"/>
      <c r="B552" s="1"/>
      <c r="C552" s="18"/>
      <c r="D552" s="47"/>
      <c r="E552" s="18"/>
      <c r="F552" s="18"/>
      <c r="G552" s="18"/>
      <c r="H552" s="18"/>
      <c r="I552" s="25"/>
      <c r="J552" s="18"/>
      <c r="K552" s="18"/>
      <c r="L552" s="18"/>
      <c r="M552" s="18"/>
      <c r="N552" s="18"/>
      <c r="O552" s="18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>
      <c r="A553" s="1"/>
      <c r="B553" s="1"/>
      <c r="C553" s="18"/>
      <c r="D553" s="47"/>
      <c r="E553" s="18"/>
      <c r="F553" s="18"/>
      <c r="G553" s="18"/>
      <c r="H553" s="18"/>
      <c r="I553" s="25"/>
      <c r="J553" s="18"/>
      <c r="K553" s="18"/>
      <c r="L553" s="18"/>
      <c r="M553" s="18"/>
      <c r="N553" s="18"/>
      <c r="O553" s="18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>
      <c r="A554" s="1"/>
      <c r="B554" s="1"/>
      <c r="C554" s="18"/>
      <c r="D554" s="47"/>
      <c r="E554" s="18"/>
      <c r="F554" s="18"/>
      <c r="G554" s="18"/>
      <c r="H554" s="18"/>
      <c r="I554" s="25"/>
      <c r="J554" s="18"/>
      <c r="K554" s="18"/>
      <c r="L554" s="18"/>
      <c r="M554" s="18"/>
      <c r="N554" s="18"/>
      <c r="O554" s="18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>
      <c r="A555" s="1"/>
      <c r="B555" s="1"/>
      <c r="C555" s="18"/>
      <c r="D555" s="47"/>
      <c r="E555" s="18"/>
      <c r="F555" s="18"/>
      <c r="G555" s="18"/>
      <c r="H555" s="18"/>
      <c r="I555" s="25"/>
      <c r="J555" s="18"/>
      <c r="K555" s="18"/>
      <c r="L555" s="18"/>
      <c r="M555" s="18"/>
      <c r="N555" s="18"/>
      <c r="O555" s="18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>
      <c r="A556" s="1"/>
      <c r="B556" s="1"/>
      <c r="C556" s="18"/>
      <c r="D556" s="47"/>
      <c r="E556" s="18"/>
      <c r="F556" s="18"/>
      <c r="G556" s="18"/>
      <c r="H556" s="18"/>
      <c r="I556" s="25"/>
      <c r="J556" s="18"/>
      <c r="K556" s="18"/>
      <c r="L556" s="18"/>
      <c r="M556" s="18"/>
      <c r="N556" s="18"/>
      <c r="O556" s="18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>
      <c r="A557" s="1"/>
      <c r="B557" s="1"/>
      <c r="C557" s="18"/>
      <c r="D557" s="47"/>
      <c r="E557" s="18"/>
      <c r="F557" s="18"/>
      <c r="G557" s="18"/>
      <c r="H557" s="18"/>
      <c r="I557" s="25"/>
      <c r="J557" s="18"/>
      <c r="K557" s="18"/>
      <c r="L557" s="18"/>
      <c r="M557" s="18"/>
      <c r="N557" s="18"/>
      <c r="O557" s="18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>
      <c r="A558" s="1"/>
      <c r="B558" s="1"/>
      <c r="C558" s="18"/>
      <c r="D558" s="47"/>
      <c r="E558" s="18"/>
      <c r="F558" s="18"/>
      <c r="G558" s="18"/>
      <c r="H558" s="18"/>
      <c r="I558" s="25"/>
      <c r="J558" s="18"/>
      <c r="K558" s="18"/>
      <c r="L558" s="18"/>
      <c r="M558" s="18"/>
      <c r="N558" s="18"/>
      <c r="O558" s="18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>
      <c r="A559" s="1"/>
      <c r="B559" s="1"/>
      <c r="C559" s="18"/>
      <c r="D559" s="47"/>
      <c r="E559" s="18"/>
      <c r="F559" s="18"/>
      <c r="G559" s="18"/>
      <c r="H559" s="18"/>
      <c r="I559" s="25"/>
      <c r="J559" s="18"/>
      <c r="K559" s="18"/>
      <c r="L559" s="18"/>
      <c r="M559" s="18"/>
      <c r="N559" s="18"/>
      <c r="O559" s="18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>
      <c r="A560" s="1"/>
      <c r="B560" s="1"/>
      <c r="C560" s="18"/>
      <c r="D560" s="47"/>
      <c r="E560" s="18"/>
      <c r="F560" s="18"/>
      <c r="G560" s="18"/>
      <c r="H560" s="18"/>
      <c r="I560" s="25"/>
      <c r="J560" s="18"/>
      <c r="K560" s="18"/>
      <c r="L560" s="18"/>
      <c r="M560" s="18"/>
      <c r="N560" s="18"/>
      <c r="O560" s="18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>
      <c r="A561" s="1"/>
      <c r="B561" s="1"/>
      <c r="C561" s="18"/>
      <c r="D561" s="47"/>
      <c r="E561" s="18"/>
      <c r="F561" s="18"/>
      <c r="G561" s="18"/>
      <c r="H561" s="18"/>
      <c r="I561" s="25"/>
      <c r="J561" s="18"/>
      <c r="K561" s="18"/>
      <c r="L561" s="18"/>
      <c r="M561" s="18"/>
      <c r="N561" s="18"/>
      <c r="O561" s="18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>
      <c r="A562" s="1"/>
      <c r="B562" s="1"/>
      <c r="C562" s="18"/>
      <c r="D562" s="47"/>
      <c r="E562" s="18"/>
      <c r="F562" s="18"/>
      <c r="G562" s="18"/>
      <c r="H562" s="18"/>
      <c r="I562" s="25"/>
      <c r="J562" s="18"/>
      <c r="K562" s="18"/>
      <c r="L562" s="18"/>
      <c r="M562" s="18"/>
      <c r="N562" s="18"/>
      <c r="O562" s="18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>
      <c r="A563" s="1"/>
      <c r="B563" s="1"/>
      <c r="C563" s="18"/>
      <c r="D563" s="47"/>
      <c r="E563" s="18"/>
      <c r="F563" s="18"/>
      <c r="G563" s="18"/>
      <c r="H563" s="18"/>
      <c r="I563" s="25"/>
      <c r="J563" s="18"/>
      <c r="K563" s="18"/>
      <c r="L563" s="18"/>
      <c r="M563" s="18"/>
      <c r="N563" s="18"/>
      <c r="O563" s="18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>
      <c r="A564" s="1"/>
      <c r="B564" s="1"/>
      <c r="C564" s="18"/>
      <c r="D564" s="47"/>
      <c r="E564" s="18"/>
      <c r="F564" s="18"/>
      <c r="G564" s="18"/>
      <c r="H564" s="18"/>
      <c r="I564" s="25"/>
      <c r="J564" s="18"/>
      <c r="K564" s="18"/>
      <c r="L564" s="18"/>
      <c r="M564" s="18"/>
      <c r="N564" s="18"/>
      <c r="O564" s="18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>
      <c r="A565" s="1"/>
      <c r="B565" s="1"/>
      <c r="C565" s="18"/>
      <c r="D565" s="47"/>
      <c r="E565" s="18"/>
      <c r="F565" s="18"/>
      <c r="G565" s="18"/>
      <c r="H565" s="18"/>
      <c r="I565" s="25"/>
      <c r="J565" s="18"/>
      <c r="K565" s="18"/>
      <c r="L565" s="18"/>
      <c r="M565" s="18"/>
      <c r="N565" s="18"/>
      <c r="O565" s="18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>
      <c r="A566" s="1"/>
      <c r="B566" s="1"/>
      <c r="C566" s="18"/>
      <c r="D566" s="47"/>
      <c r="E566" s="18"/>
      <c r="F566" s="18"/>
      <c r="G566" s="18"/>
      <c r="H566" s="18"/>
      <c r="I566" s="25"/>
      <c r="J566" s="18"/>
      <c r="K566" s="18"/>
      <c r="L566" s="18"/>
      <c r="M566" s="18"/>
      <c r="N566" s="18"/>
      <c r="O566" s="18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>
      <c r="A567" s="1"/>
      <c r="B567" s="1"/>
      <c r="C567" s="18"/>
      <c r="D567" s="47"/>
      <c r="E567" s="18"/>
      <c r="F567" s="18"/>
      <c r="G567" s="18"/>
      <c r="H567" s="18"/>
      <c r="I567" s="25"/>
      <c r="J567" s="18"/>
      <c r="K567" s="18"/>
      <c r="L567" s="18"/>
      <c r="M567" s="18"/>
      <c r="N567" s="18"/>
      <c r="O567" s="18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>
      <c r="A568" s="1"/>
      <c r="B568" s="1"/>
      <c r="C568" s="18"/>
      <c r="D568" s="47"/>
      <c r="E568" s="18"/>
      <c r="F568" s="18"/>
      <c r="G568" s="18"/>
      <c r="H568" s="18"/>
      <c r="I568" s="25"/>
      <c r="J568" s="18"/>
      <c r="K568" s="18"/>
      <c r="L568" s="18"/>
      <c r="M568" s="18"/>
      <c r="N568" s="18"/>
      <c r="O568" s="18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>
      <c r="A569" s="1"/>
      <c r="B569" s="1"/>
      <c r="C569" s="18"/>
      <c r="D569" s="47"/>
      <c r="E569" s="18"/>
      <c r="F569" s="18"/>
      <c r="G569" s="18"/>
      <c r="H569" s="18"/>
      <c r="I569" s="25"/>
      <c r="J569" s="18"/>
      <c r="K569" s="18"/>
      <c r="L569" s="18"/>
      <c r="M569" s="18"/>
      <c r="N569" s="18"/>
      <c r="O569" s="18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>
      <c r="A570" s="1"/>
      <c r="B570" s="1"/>
      <c r="C570" s="18"/>
      <c r="D570" s="47"/>
      <c r="E570" s="18"/>
      <c r="F570" s="18"/>
      <c r="G570" s="18"/>
      <c r="H570" s="18"/>
      <c r="I570" s="25"/>
      <c r="J570" s="18"/>
      <c r="K570" s="18"/>
      <c r="L570" s="18"/>
      <c r="M570" s="18"/>
      <c r="N570" s="18"/>
      <c r="O570" s="18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>
      <c r="A571" s="1"/>
      <c r="B571" s="1"/>
      <c r="C571" s="18"/>
      <c r="D571" s="47"/>
      <c r="E571" s="18"/>
      <c r="F571" s="18"/>
      <c r="G571" s="18"/>
      <c r="H571" s="18"/>
      <c r="I571" s="25"/>
      <c r="J571" s="18"/>
      <c r="K571" s="18"/>
      <c r="L571" s="18"/>
      <c r="M571" s="18"/>
      <c r="N571" s="18"/>
      <c r="O571" s="18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>
      <c r="A572" s="1"/>
      <c r="B572" s="1"/>
      <c r="C572" s="18"/>
      <c r="D572" s="47"/>
      <c r="E572" s="18"/>
      <c r="F572" s="18"/>
      <c r="G572" s="18"/>
      <c r="H572" s="18"/>
      <c r="I572" s="25"/>
      <c r="J572" s="18"/>
      <c r="K572" s="18"/>
      <c r="L572" s="18"/>
      <c r="M572" s="18"/>
      <c r="N572" s="18"/>
      <c r="O572" s="18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>
      <c r="A573" s="1"/>
      <c r="B573" s="1"/>
      <c r="C573" s="18"/>
      <c r="D573" s="47"/>
      <c r="E573" s="18"/>
      <c r="F573" s="18"/>
      <c r="G573" s="18"/>
      <c r="H573" s="18"/>
      <c r="I573" s="25"/>
      <c r="J573" s="18"/>
      <c r="K573" s="18"/>
      <c r="L573" s="18"/>
      <c r="M573" s="18"/>
      <c r="N573" s="18"/>
      <c r="O573" s="18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>
      <c r="A574" s="1"/>
      <c r="B574" s="1"/>
      <c r="C574" s="18"/>
      <c r="D574" s="47"/>
      <c r="E574" s="18"/>
      <c r="F574" s="18"/>
      <c r="G574" s="18"/>
      <c r="H574" s="18"/>
      <c r="I574" s="25"/>
      <c r="J574" s="18"/>
      <c r="K574" s="18"/>
      <c r="L574" s="18"/>
      <c r="M574" s="18"/>
      <c r="N574" s="18"/>
      <c r="O574" s="18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>
      <c r="A575" s="1"/>
      <c r="B575" s="1"/>
      <c r="C575" s="18"/>
      <c r="D575" s="47"/>
      <c r="E575" s="18"/>
      <c r="F575" s="18"/>
      <c r="G575" s="18"/>
      <c r="H575" s="18"/>
      <c r="I575" s="25"/>
      <c r="J575" s="18"/>
      <c r="K575" s="18"/>
      <c r="L575" s="18"/>
      <c r="M575" s="18"/>
      <c r="N575" s="18"/>
      <c r="O575" s="18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>
      <c r="A576" s="1"/>
      <c r="B576" s="1"/>
      <c r="C576" s="18"/>
      <c r="D576" s="47"/>
      <c r="E576" s="18"/>
      <c r="F576" s="18"/>
      <c r="G576" s="18"/>
      <c r="H576" s="18"/>
      <c r="I576" s="25"/>
      <c r="J576" s="18"/>
      <c r="K576" s="18"/>
      <c r="L576" s="18"/>
      <c r="M576" s="18"/>
      <c r="N576" s="18"/>
      <c r="O576" s="18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>
      <c r="A577" s="1"/>
      <c r="B577" s="1"/>
      <c r="C577" s="18"/>
      <c r="D577" s="47"/>
      <c r="E577" s="18"/>
      <c r="F577" s="18"/>
      <c r="G577" s="18"/>
      <c r="H577" s="18"/>
      <c r="I577" s="25"/>
      <c r="J577" s="18"/>
      <c r="K577" s="18"/>
      <c r="L577" s="18"/>
      <c r="M577" s="18"/>
      <c r="N577" s="18"/>
      <c r="O577" s="18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>
      <c r="A578" s="1"/>
      <c r="B578" s="1"/>
      <c r="C578" s="18"/>
      <c r="D578" s="47"/>
      <c r="E578" s="18"/>
      <c r="F578" s="18"/>
      <c r="G578" s="18"/>
      <c r="H578" s="18"/>
      <c r="I578" s="25"/>
      <c r="J578" s="18"/>
      <c r="K578" s="18"/>
      <c r="L578" s="18"/>
      <c r="M578" s="18"/>
      <c r="N578" s="18"/>
      <c r="O578" s="18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>
      <c r="A579" s="1"/>
      <c r="B579" s="1"/>
      <c r="C579" s="18"/>
      <c r="D579" s="47"/>
      <c r="E579" s="18"/>
      <c r="F579" s="18"/>
      <c r="G579" s="18"/>
      <c r="H579" s="18"/>
      <c r="I579" s="25"/>
      <c r="J579" s="18"/>
      <c r="K579" s="18"/>
      <c r="L579" s="18"/>
      <c r="M579" s="18"/>
      <c r="N579" s="18"/>
      <c r="O579" s="18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>
      <c r="A580" s="1"/>
      <c r="B580" s="1"/>
      <c r="C580" s="18"/>
      <c r="D580" s="47"/>
      <c r="E580" s="18"/>
      <c r="F580" s="18"/>
      <c r="G580" s="18"/>
      <c r="H580" s="18"/>
      <c r="I580" s="25"/>
      <c r="J580" s="18"/>
      <c r="K580" s="18"/>
      <c r="L580" s="18"/>
      <c r="M580" s="18"/>
      <c r="N580" s="18"/>
      <c r="O580" s="18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>
      <c r="A581" s="1"/>
      <c r="B581" s="1"/>
      <c r="C581" s="18"/>
      <c r="D581" s="47"/>
      <c r="E581" s="18"/>
      <c r="F581" s="18"/>
      <c r="G581" s="18"/>
      <c r="H581" s="18"/>
      <c r="I581" s="25"/>
      <c r="J581" s="18"/>
      <c r="K581" s="18"/>
      <c r="L581" s="18"/>
      <c r="M581" s="18"/>
      <c r="N581" s="18"/>
      <c r="O581" s="18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>
      <c r="A582" s="1"/>
      <c r="B582" s="1"/>
      <c r="C582" s="18"/>
      <c r="D582" s="47"/>
      <c r="E582" s="18"/>
      <c r="F582" s="18"/>
      <c r="G582" s="18"/>
      <c r="H582" s="18"/>
      <c r="I582" s="25"/>
      <c r="J582" s="18"/>
      <c r="K582" s="18"/>
      <c r="L582" s="18"/>
      <c r="M582" s="18"/>
      <c r="N582" s="18"/>
      <c r="O582" s="18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>
      <c r="A583" s="1"/>
      <c r="B583" s="1"/>
      <c r="C583" s="18"/>
      <c r="D583" s="47"/>
      <c r="E583" s="18"/>
      <c r="F583" s="18"/>
      <c r="G583" s="18"/>
      <c r="H583" s="18"/>
      <c r="I583" s="25"/>
      <c r="J583" s="18"/>
      <c r="K583" s="18"/>
      <c r="L583" s="18"/>
      <c r="M583" s="18"/>
      <c r="N583" s="18"/>
      <c r="O583" s="18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>
      <c r="A584" s="1"/>
      <c r="B584" s="1"/>
      <c r="C584" s="18"/>
      <c r="D584" s="47"/>
      <c r="E584" s="18"/>
      <c r="F584" s="18"/>
      <c r="G584" s="18"/>
      <c r="H584" s="18"/>
      <c r="I584" s="25"/>
      <c r="J584" s="18"/>
      <c r="K584" s="18"/>
      <c r="L584" s="18"/>
      <c r="M584" s="18"/>
      <c r="N584" s="18"/>
      <c r="O584" s="18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>
      <c r="A585" s="1"/>
      <c r="B585" s="1"/>
      <c r="C585" s="18"/>
      <c r="D585" s="47"/>
      <c r="E585" s="18"/>
      <c r="F585" s="18"/>
      <c r="G585" s="18"/>
      <c r="H585" s="18"/>
      <c r="I585" s="25"/>
      <c r="J585" s="18"/>
      <c r="K585" s="18"/>
      <c r="L585" s="18"/>
      <c r="M585" s="18"/>
      <c r="N585" s="18"/>
      <c r="O585" s="18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>
      <c r="A586" s="1"/>
      <c r="B586" s="1"/>
      <c r="C586" s="18"/>
      <c r="D586" s="47"/>
      <c r="E586" s="18"/>
      <c r="F586" s="18"/>
      <c r="G586" s="18"/>
      <c r="H586" s="18"/>
      <c r="I586" s="25"/>
      <c r="J586" s="18"/>
      <c r="K586" s="18"/>
      <c r="L586" s="18"/>
      <c r="M586" s="18"/>
      <c r="N586" s="18"/>
      <c r="O586" s="18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>
      <c r="A587" s="1"/>
      <c r="B587" s="1"/>
      <c r="C587" s="18"/>
      <c r="D587" s="47"/>
      <c r="E587" s="18"/>
      <c r="F587" s="18"/>
      <c r="G587" s="18"/>
      <c r="H587" s="18"/>
      <c r="I587" s="25"/>
      <c r="J587" s="18"/>
      <c r="K587" s="18"/>
      <c r="L587" s="18"/>
      <c r="M587" s="18"/>
      <c r="N587" s="18"/>
      <c r="O587" s="18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>
      <c r="A588" s="1"/>
      <c r="B588" s="1"/>
      <c r="C588" s="18"/>
      <c r="D588" s="47"/>
      <c r="E588" s="18"/>
      <c r="F588" s="18"/>
      <c r="G588" s="18"/>
      <c r="H588" s="18"/>
      <c r="I588" s="25"/>
      <c r="J588" s="18"/>
      <c r="K588" s="18"/>
      <c r="L588" s="18"/>
      <c r="M588" s="18"/>
      <c r="N588" s="18"/>
      <c r="O588" s="18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>
      <c r="A589" s="1"/>
      <c r="B589" s="1"/>
      <c r="C589" s="18"/>
      <c r="D589" s="47"/>
      <c r="E589" s="18"/>
      <c r="F589" s="18"/>
      <c r="G589" s="18"/>
      <c r="H589" s="18"/>
      <c r="I589" s="25"/>
      <c r="J589" s="18"/>
      <c r="K589" s="18"/>
      <c r="L589" s="18"/>
      <c r="M589" s="18"/>
      <c r="N589" s="18"/>
      <c r="O589" s="18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>
      <c r="A590" s="1"/>
      <c r="B590" s="1"/>
      <c r="C590" s="18"/>
      <c r="D590" s="47"/>
      <c r="E590" s="18"/>
      <c r="F590" s="18"/>
      <c r="G590" s="18"/>
      <c r="H590" s="18"/>
      <c r="I590" s="25"/>
      <c r="J590" s="18"/>
      <c r="K590" s="18"/>
      <c r="L590" s="18"/>
      <c r="M590" s="18"/>
      <c r="N590" s="18"/>
      <c r="O590" s="18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>
      <c r="A591" s="1"/>
      <c r="B591" s="1"/>
      <c r="C591" s="18"/>
      <c r="D591" s="47"/>
      <c r="E591" s="18"/>
      <c r="F591" s="18"/>
      <c r="G591" s="18"/>
      <c r="H591" s="18"/>
      <c r="I591" s="25"/>
      <c r="J591" s="18"/>
      <c r="K591" s="18"/>
      <c r="L591" s="18"/>
      <c r="M591" s="18"/>
      <c r="N591" s="18"/>
      <c r="O591" s="18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>
      <c r="A592" s="1"/>
      <c r="B592" s="1"/>
      <c r="C592" s="18"/>
      <c r="D592" s="47"/>
      <c r="E592" s="18"/>
      <c r="F592" s="18"/>
      <c r="G592" s="18"/>
      <c r="H592" s="18"/>
      <c r="I592" s="25"/>
      <c r="J592" s="18"/>
      <c r="K592" s="18"/>
      <c r="L592" s="18"/>
      <c r="M592" s="18"/>
      <c r="N592" s="18"/>
      <c r="O592" s="18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>
      <c r="A593" s="1"/>
      <c r="B593" s="1"/>
      <c r="C593" s="18"/>
      <c r="D593" s="47"/>
      <c r="E593" s="18"/>
      <c r="F593" s="18"/>
      <c r="G593" s="18"/>
      <c r="H593" s="18"/>
      <c r="I593" s="25"/>
      <c r="J593" s="18"/>
      <c r="K593" s="18"/>
      <c r="L593" s="18"/>
      <c r="M593" s="18"/>
      <c r="N593" s="18"/>
      <c r="O593" s="18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>
      <c r="A594" s="1"/>
      <c r="B594" s="1"/>
      <c r="C594" s="18"/>
      <c r="D594" s="47"/>
      <c r="E594" s="18"/>
      <c r="F594" s="18"/>
      <c r="G594" s="18"/>
      <c r="H594" s="18"/>
      <c r="I594" s="25"/>
      <c r="J594" s="18"/>
      <c r="K594" s="18"/>
      <c r="L594" s="18"/>
      <c r="M594" s="18"/>
      <c r="N594" s="18"/>
      <c r="O594" s="18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>
      <c r="A595" s="1"/>
      <c r="B595" s="1"/>
      <c r="C595" s="18"/>
      <c r="D595" s="47"/>
      <c r="E595" s="18"/>
      <c r="F595" s="18"/>
      <c r="G595" s="18"/>
      <c r="H595" s="18"/>
      <c r="I595" s="25"/>
      <c r="J595" s="18"/>
      <c r="K595" s="18"/>
      <c r="L595" s="18"/>
      <c r="M595" s="18"/>
      <c r="N595" s="18"/>
      <c r="O595" s="18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>
      <c r="A596" s="1"/>
      <c r="B596" s="1"/>
      <c r="C596" s="18"/>
      <c r="D596" s="47"/>
      <c r="E596" s="18"/>
      <c r="F596" s="18"/>
      <c r="G596" s="18"/>
      <c r="H596" s="18"/>
      <c r="I596" s="25"/>
      <c r="J596" s="18"/>
      <c r="K596" s="18"/>
      <c r="L596" s="18"/>
      <c r="M596" s="18"/>
      <c r="N596" s="18"/>
      <c r="O596" s="18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>
      <c r="A597" s="1"/>
      <c r="B597" s="1"/>
      <c r="C597" s="18"/>
      <c r="D597" s="47"/>
      <c r="E597" s="18"/>
      <c r="F597" s="18"/>
      <c r="G597" s="18"/>
      <c r="H597" s="18"/>
      <c r="I597" s="25"/>
      <c r="J597" s="18"/>
      <c r="K597" s="18"/>
      <c r="L597" s="18"/>
      <c r="M597" s="18"/>
      <c r="N597" s="18"/>
      <c r="O597" s="18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>
      <c r="A598" s="1"/>
      <c r="B598" s="1"/>
      <c r="C598" s="18"/>
      <c r="D598" s="47"/>
      <c r="E598" s="18"/>
      <c r="F598" s="18"/>
      <c r="G598" s="18"/>
      <c r="H598" s="18"/>
      <c r="I598" s="25"/>
      <c r="J598" s="18"/>
      <c r="K598" s="18"/>
      <c r="L598" s="18"/>
      <c r="M598" s="18"/>
      <c r="N598" s="18"/>
      <c r="O598" s="18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>
      <c r="A599" s="1"/>
      <c r="B599" s="1"/>
      <c r="C599" s="18"/>
      <c r="D599" s="47"/>
      <c r="E599" s="18"/>
      <c r="F599" s="18"/>
      <c r="G599" s="18"/>
      <c r="H599" s="18"/>
      <c r="I599" s="25"/>
      <c r="J599" s="18"/>
      <c r="K599" s="18"/>
      <c r="L599" s="18"/>
      <c r="M599" s="18"/>
      <c r="N599" s="18"/>
      <c r="O599" s="18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>
      <c r="A600" s="1"/>
      <c r="B600" s="1"/>
      <c r="C600" s="18"/>
      <c r="D600" s="47"/>
      <c r="E600" s="18"/>
      <c r="F600" s="18"/>
      <c r="G600" s="18"/>
      <c r="H600" s="18"/>
      <c r="I600" s="25"/>
      <c r="J600" s="18"/>
      <c r="K600" s="18"/>
      <c r="L600" s="18"/>
      <c r="M600" s="18"/>
      <c r="N600" s="18"/>
      <c r="O600" s="18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>
      <c r="A601" s="1"/>
      <c r="B601" s="1"/>
      <c r="C601" s="18"/>
      <c r="D601" s="47"/>
      <c r="E601" s="18"/>
      <c r="F601" s="18"/>
      <c r="G601" s="18"/>
      <c r="H601" s="18"/>
      <c r="I601" s="25"/>
      <c r="J601" s="18"/>
      <c r="K601" s="18"/>
      <c r="L601" s="18"/>
      <c r="M601" s="18"/>
      <c r="N601" s="18"/>
      <c r="O601" s="18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>
      <c r="A602" s="1"/>
      <c r="B602" s="1"/>
      <c r="C602" s="18"/>
      <c r="D602" s="47"/>
      <c r="E602" s="18"/>
      <c r="F602" s="18"/>
      <c r="G602" s="18"/>
      <c r="H602" s="18"/>
      <c r="I602" s="25"/>
      <c r="J602" s="18"/>
      <c r="K602" s="18"/>
      <c r="L602" s="18"/>
      <c r="M602" s="18"/>
      <c r="N602" s="18"/>
      <c r="O602" s="18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>
      <c r="A603" s="1"/>
      <c r="B603" s="1"/>
      <c r="C603" s="18"/>
      <c r="D603" s="47"/>
      <c r="E603" s="18"/>
      <c r="F603" s="18"/>
      <c r="G603" s="18"/>
      <c r="H603" s="18"/>
      <c r="I603" s="25"/>
      <c r="J603" s="18"/>
      <c r="K603" s="18"/>
      <c r="L603" s="18"/>
      <c r="M603" s="18"/>
      <c r="N603" s="18"/>
      <c r="O603" s="18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>
      <c r="A604" s="1"/>
      <c r="B604" s="1"/>
      <c r="C604" s="18"/>
      <c r="D604" s="47"/>
      <c r="E604" s="18"/>
      <c r="F604" s="18"/>
      <c r="G604" s="18"/>
      <c r="H604" s="18"/>
      <c r="I604" s="25"/>
      <c r="J604" s="18"/>
      <c r="K604" s="18"/>
      <c r="L604" s="18"/>
      <c r="M604" s="18"/>
      <c r="N604" s="18"/>
      <c r="O604" s="18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>
      <c r="A605" s="1"/>
      <c r="B605" s="1"/>
      <c r="C605" s="18"/>
      <c r="D605" s="47"/>
      <c r="E605" s="18"/>
      <c r="F605" s="18"/>
      <c r="G605" s="18"/>
      <c r="H605" s="18"/>
      <c r="I605" s="25"/>
      <c r="J605" s="18"/>
      <c r="K605" s="18"/>
      <c r="L605" s="18"/>
      <c r="M605" s="18"/>
      <c r="N605" s="18"/>
      <c r="O605" s="18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>
      <c r="A606" s="1"/>
      <c r="B606" s="1"/>
      <c r="C606" s="18"/>
      <c r="D606" s="47"/>
      <c r="E606" s="18"/>
      <c r="F606" s="18"/>
      <c r="G606" s="18"/>
      <c r="H606" s="18"/>
      <c r="I606" s="25"/>
      <c r="J606" s="18"/>
      <c r="K606" s="18"/>
      <c r="L606" s="18"/>
      <c r="M606" s="18"/>
      <c r="N606" s="18"/>
      <c r="O606" s="18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>
      <c r="A607" s="1"/>
      <c r="B607" s="1"/>
      <c r="C607" s="18"/>
      <c r="D607" s="47"/>
      <c r="E607" s="18"/>
      <c r="F607" s="18"/>
      <c r="G607" s="18"/>
      <c r="H607" s="18"/>
      <c r="I607" s="25"/>
      <c r="J607" s="18"/>
      <c r="K607" s="18"/>
      <c r="L607" s="18"/>
      <c r="M607" s="18"/>
      <c r="N607" s="18"/>
      <c r="O607" s="18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>
      <c r="A608" s="1"/>
      <c r="B608" s="1"/>
      <c r="C608" s="18"/>
      <c r="D608" s="47"/>
      <c r="E608" s="18"/>
      <c r="F608" s="18"/>
      <c r="G608" s="18"/>
      <c r="H608" s="18"/>
      <c r="I608" s="25"/>
      <c r="J608" s="18"/>
      <c r="K608" s="18"/>
      <c r="L608" s="18"/>
      <c r="M608" s="18"/>
      <c r="N608" s="18"/>
      <c r="O608" s="18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>
      <c r="A609" s="1"/>
      <c r="B609" s="1"/>
      <c r="C609" s="18"/>
      <c r="D609" s="47"/>
      <c r="E609" s="18"/>
      <c r="F609" s="18"/>
      <c r="G609" s="18"/>
      <c r="H609" s="18"/>
      <c r="I609" s="25"/>
      <c r="J609" s="18"/>
      <c r="K609" s="18"/>
      <c r="L609" s="18"/>
      <c r="M609" s="18"/>
      <c r="N609" s="18"/>
      <c r="O609" s="18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>
      <c r="A610" s="1"/>
      <c r="B610" s="1"/>
      <c r="C610" s="18"/>
      <c r="D610" s="47"/>
      <c r="E610" s="18"/>
      <c r="F610" s="18"/>
      <c r="G610" s="18"/>
      <c r="H610" s="18"/>
      <c r="I610" s="25"/>
      <c r="J610" s="18"/>
      <c r="K610" s="18"/>
      <c r="L610" s="18"/>
      <c r="M610" s="18"/>
      <c r="N610" s="18"/>
      <c r="O610" s="18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>
      <c r="A611" s="1"/>
      <c r="B611" s="1"/>
      <c r="C611" s="18"/>
      <c r="D611" s="47"/>
      <c r="E611" s="18"/>
      <c r="F611" s="18"/>
      <c r="G611" s="18"/>
      <c r="H611" s="18"/>
      <c r="I611" s="25"/>
      <c r="J611" s="18"/>
      <c r="K611" s="18"/>
      <c r="L611" s="18"/>
      <c r="M611" s="18"/>
      <c r="N611" s="18"/>
      <c r="O611" s="18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>
      <c r="A612" s="1"/>
      <c r="B612" s="1"/>
      <c r="C612" s="18"/>
      <c r="D612" s="47"/>
      <c r="E612" s="18"/>
      <c r="F612" s="18"/>
      <c r="G612" s="18"/>
      <c r="H612" s="18"/>
      <c r="I612" s="25"/>
      <c r="J612" s="18"/>
      <c r="K612" s="18"/>
      <c r="L612" s="18"/>
      <c r="M612" s="18"/>
      <c r="N612" s="18"/>
      <c r="O612" s="18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>
      <c r="A613" s="1"/>
      <c r="B613" s="1"/>
      <c r="C613" s="18"/>
      <c r="D613" s="47"/>
      <c r="E613" s="18"/>
      <c r="F613" s="18"/>
      <c r="G613" s="18"/>
      <c r="H613" s="18"/>
      <c r="I613" s="25"/>
      <c r="J613" s="18"/>
      <c r="K613" s="18"/>
      <c r="L613" s="18"/>
      <c r="M613" s="18"/>
      <c r="N613" s="18"/>
      <c r="O613" s="18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>
      <c r="A614" s="1"/>
      <c r="B614" s="1"/>
      <c r="C614" s="18"/>
      <c r="D614" s="47"/>
      <c r="E614" s="18"/>
      <c r="F614" s="18"/>
      <c r="G614" s="18"/>
      <c r="H614" s="18"/>
      <c r="I614" s="25"/>
      <c r="J614" s="18"/>
      <c r="K614" s="18"/>
      <c r="L614" s="18"/>
      <c r="M614" s="18"/>
      <c r="N614" s="18"/>
      <c r="O614" s="18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>
      <c r="A615" s="1"/>
      <c r="B615" s="1"/>
      <c r="C615" s="18"/>
      <c r="D615" s="47"/>
      <c r="E615" s="18"/>
      <c r="F615" s="18"/>
      <c r="G615" s="18"/>
      <c r="H615" s="18"/>
      <c r="I615" s="25"/>
      <c r="J615" s="18"/>
      <c r="K615" s="18"/>
      <c r="L615" s="18"/>
      <c r="M615" s="18"/>
      <c r="N615" s="18"/>
      <c r="O615" s="18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>
      <c r="A616" s="1"/>
      <c r="B616" s="1"/>
      <c r="C616" s="18"/>
      <c r="D616" s="47"/>
      <c r="E616" s="18"/>
      <c r="F616" s="18"/>
      <c r="G616" s="18"/>
      <c r="H616" s="18"/>
      <c r="I616" s="25"/>
      <c r="J616" s="18"/>
      <c r="K616" s="18"/>
      <c r="L616" s="18"/>
      <c r="M616" s="18"/>
      <c r="N616" s="18"/>
      <c r="O616" s="18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>
      <c r="A617" s="1"/>
      <c r="B617" s="1"/>
      <c r="C617" s="18"/>
      <c r="D617" s="47"/>
      <c r="E617" s="18"/>
      <c r="F617" s="18"/>
      <c r="G617" s="18"/>
      <c r="H617" s="18"/>
      <c r="I617" s="25"/>
      <c r="J617" s="18"/>
      <c r="K617" s="18"/>
      <c r="L617" s="18"/>
      <c r="M617" s="18"/>
      <c r="N617" s="18"/>
      <c r="O617" s="18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>
      <c r="A618" s="1"/>
      <c r="B618" s="1"/>
      <c r="C618" s="18"/>
      <c r="D618" s="47"/>
      <c r="E618" s="18"/>
      <c r="F618" s="18"/>
      <c r="G618" s="18"/>
      <c r="H618" s="18"/>
      <c r="I618" s="25"/>
      <c r="J618" s="18"/>
      <c r="K618" s="18"/>
      <c r="L618" s="18"/>
      <c r="M618" s="18"/>
      <c r="N618" s="18"/>
      <c r="O618" s="18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>
      <c r="A619" s="1"/>
      <c r="B619" s="1"/>
      <c r="C619" s="18"/>
      <c r="D619" s="47"/>
      <c r="E619" s="18"/>
      <c r="F619" s="18"/>
      <c r="G619" s="18"/>
      <c r="H619" s="18"/>
      <c r="I619" s="25"/>
      <c r="J619" s="18"/>
      <c r="K619" s="18"/>
      <c r="L619" s="18"/>
      <c r="M619" s="18"/>
      <c r="N619" s="18"/>
      <c r="O619" s="18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>
      <c r="A620" s="1"/>
      <c r="B620" s="1"/>
      <c r="C620" s="18"/>
      <c r="D620" s="47"/>
      <c r="E620" s="18"/>
      <c r="F620" s="18"/>
      <c r="G620" s="18"/>
      <c r="H620" s="18"/>
      <c r="I620" s="25"/>
      <c r="J620" s="18"/>
      <c r="K620" s="18"/>
      <c r="L620" s="18"/>
      <c r="M620" s="18"/>
      <c r="N620" s="18"/>
      <c r="O620" s="18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>
      <c r="A621" s="1"/>
      <c r="B621" s="1"/>
      <c r="C621" s="18"/>
      <c r="D621" s="47"/>
      <c r="E621" s="18"/>
      <c r="F621" s="18"/>
      <c r="G621" s="18"/>
      <c r="H621" s="18"/>
      <c r="I621" s="25"/>
      <c r="J621" s="18"/>
      <c r="K621" s="18"/>
      <c r="L621" s="18"/>
      <c r="M621" s="18"/>
      <c r="N621" s="18"/>
      <c r="O621" s="18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>
      <c r="A622" s="1"/>
      <c r="B622" s="1"/>
      <c r="C622" s="18"/>
      <c r="D622" s="47"/>
      <c r="E622" s="18"/>
      <c r="F622" s="18"/>
      <c r="G622" s="18"/>
      <c r="H622" s="18"/>
      <c r="I622" s="25"/>
      <c r="J622" s="18"/>
      <c r="K622" s="18"/>
      <c r="L622" s="18"/>
      <c r="M622" s="18"/>
      <c r="N622" s="18"/>
      <c r="O622" s="18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>
      <c r="A623" s="1"/>
      <c r="B623" s="1"/>
      <c r="C623" s="18"/>
      <c r="D623" s="47"/>
      <c r="E623" s="18"/>
      <c r="F623" s="18"/>
      <c r="G623" s="18"/>
      <c r="H623" s="18"/>
      <c r="I623" s="25"/>
      <c r="J623" s="18"/>
      <c r="K623" s="18"/>
      <c r="L623" s="18"/>
      <c r="M623" s="18"/>
      <c r="N623" s="18"/>
      <c r="O623" s="18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>
      <c r="A624" s="1"/>
      <c r="B624" s="1"/>
      <c r="C624" s="18"/>
      <c r="D624" s="47"/>
      <c r="E624" s="18"/>
      <c r="F624" s="18"/>
      <c r="G624" s="18"/>
      <c r="H624" s="18"/>
      <c r="I624" s="25"/>
      <c r="J624" s="18"/>
      <c r="K624" s="18"/>
      <c r="L624" s="18"/>
      <c r="M624" s="18"/>
      <c r="N624" s="18"/>
      <c r="O624" s="18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>
      <c r="A625" s="1"/>
      <c r="B625" s="1"/>
      <c r="C625" s="18"/>
      <c r="D625" s="47"/>
      <c r="E625" s="18"/>
      <c r="F625" s="18"/>
      <c r="G625" s="18"/>
      <c r="H625" s="18"/>
      <c r="I625" s="25"/>
      <c r="J625" s="18"/>
      <c r="K625" s="18"/>
      <c r="L625" s="18"/>
      <c r="M625" s="18"/>
      <c r="N625" s="18"/>
      <c r="O625" s="18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>
      <c r="A626" s="1"/>
      <c r="B626" s="1"/>
      <c r="C626" s="18"/>
      <c r="D626" s="47"/>
      <c r="E626" s="18"/>
      <c r="F626" s="18"/>
      <c r="G626" s="18"/>
      <c r="H626" s="18"/>
      <c r="I626" s="25"/>
      <c r="J626" s="18"/>
      <c r="K626" s="18"/>
      <c r="L626" s="18"/>
      <c r="M626" s="18"/>
      <c r="N626" s="18"/>
      <c r="O626" s="18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>
      <c r="A627" s="1"/>
      <c r="B627" s="1"/>
      <c r="C627" s="18"/>
      <c r="D627" s="47"/>
      <c r="E627" s="18"/>
      <c r="F627" s="18"/>
      <c r="G627" s="18"/>
      <c r="H627" s="18"/>
      <c r="I627" s="25"/>
      <c r="J627" s="18"/>
      <c r="K627" s="18"/>
      <c r="L627" s="18"/>
      <c r="M627" s="18"/>
      <c r="N627" s="18"/>
      <c r="O627" s="18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>
      <c r="A628" s="1"/>
      <c r="B628" s="1"/>
      <c r="C628" s="18"/>
      <c r="D628" s="47"/>
      <c r="E628" s="18"/>
      <c r="F628" s="18"/>
      <c r="G628" s="18"/>
      <c r="H628" s="18"/>
      <c r="I628" s="25"/>
      <c r="J628" s="18"/>
      <c r="K628" s="18"/>
      <c r="L628" s="18"/>
      <c r="M628" s="18"/>
      <c r="N628" s="18"/>
      <c r="O628" s="18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>
      <c r="A629" s="1"/>
      <c r="B629" s="1"/>
      <c r="C629" s="18"/>
      <c r="D629" s="47"/>
      <c r="E629" s="18"/>
      <c r="F629" s="18"/>
      <c r="G629" s="18"/>
      <c r="H629" s="18"/>
      <c r="I629" s="25"/>
      <c r="J629" s="18"/>
      <c r="K629" s="18"/>
      <c r="L629" s="18"/>
      <c r="M629" s="18"/>
      <c r="N629" s="18"/>
      <c r="O629" s="18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>
      <c r="A630" s="1"/>
      <c r="B630" s="1"/>
      <c r="C630" s="18"/>
      <c r="D630" s="47"/>
      <c r="E630" s="18"/>
      <c r="F630" s="18"/>
      <c r="G630" s="18"/>
      <c r="H630" s="18"/>
      <c r="I630" s="25"/>
      <c r="J630" s="18"/>
      <c r="K630" s="18"/>
      <c r="L630" s="18"/>
      <c r="M630" s="18"/>
      <c r="N630" s="18"/>
      <c r="O630" s="18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>
      <c r="A631" s="1"/>
      <c r="B631" s="1"/>
      <c r="C631" s="18"/>
      <c r="D631" s="47"/>
      <c r="E631" s="18"/>
      <c r="F631" s="18"/>
      <c r="G631" s="18"/>
      <c r="H631" s="18"/>
      <c r="I631" s="25"/>
      <c r="J631" s="18"/>
      <c r="K631" s="18"/>
      <c r="L631" s="18"/>
      <c r="M631" s="18"/>
      <c r="N631" s="18"/>
      <c r="O631" s="18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>
      <c r="A632" s="1"/>
      <c r="B632" s="1"/>
      <c r="C632" s="18"/>
      <c r="D632" s="47"/>
      <c r="E632" s="18"/>
      <c r="F632" s="18"/>
      <c r="G632" s="18"/>
      <c r="H632" s="18"/>
      <c r="I632" s="25"/>
      <c r="J632" s="18"/>
      <c r="K632" s="18"/>
      <c r="L632" s="18"/>
      <c r="M632" s="18"/>
      <c r="N632" s="18"/>
      <c r="O632" s="18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>
      <c r="A633" s="1"/>
      <c r="B633" s="1"/>
      <c r="C633" s="18"/>
      <c r="D633" s="47"/>
      <c r="E633" s="18"/>
      <c r="F633" s="18"/>
      <c r="G633" s="18"/>
      <c r="H633" s="18"/>
      <c r="I633" s="25"/>
      <c r="J633" s="18"/>
      <c r="K633" s="18"/>
      <c r="L633" s="18"/>
      <c r="M633" s="18"/>
      <c r="N633" s="18"/>
      <c r="O633" s="18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>
      <c r="A634" s="1"/>
      <c r="B634" s="1"/>
      <c r="C634" s="18"/>
      <c r="D634" s="47"/>
      <c r="E634" s="18"/>
      <c r="F634" s="18"/>
      <c r="G634" s="18"/>
      <c r="H634" s="18"/>
      <c r="I634" s="25"/>
      <c r="J634" s="18"/>
      <c r="K634" s="18"/>
      <c r="L634" s="18"/>
      <c r="M634" s="18"/>
      <c r="N634" s="18"/>
      <c r="O634" s="18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>
      <c r="A635" s="1"/>
      <c r="B635" s="1"/>
      <c r="C635" s="18"/>
      <c r="D635" s="47"/>
      <c r="E635" s="18"/>
      <c r="F635" s="18"/>
      <c r="G635" s="18"/>
      <c r="H635" s="18"/>
      <c r="I635" s="25"/>
      <c r="J635" s="18"/>
      <c r="K635" s="18"/>
      <c r="L635" s="18"/>
      <c r="M635" s="18"/>
      <c r="N635" s="18"/>
      <c r="O635" s="18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>
      <c r="A636" s="1"/>
      <c r="B636" s="1"/>
      <c r="C636" s="18"/>
      <c r="D636" s="47"/>
      <c r="E636" s="18"/>
      <c r="F636" s="18"/>
      <c r="G636" s="18"/>
      <c r="H636" s="18"/>
      <c r="I636" s="25"/>
      <c r="J636" s="18"/>
      <c r="K636" s="18"/>
      <c r="L636" s="18"/>
      <c r="M636" s="18"/>
      <c r="N636" s="18"/>
      <c r="O636" s="18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>
      <c r="A637" s="1"/>
      <c r="B637" s="1"/>
      <c r="C637" s="18"/>
      <c r="D637" s="47"/>
      <c r="E637" s="18"/>
      <c r="F637" s="18"/>
      <c r="G637" s="18"/>
      <c r="H637" s="18"/>
      <c r="I637" s="25"/>
      <c r="J637" s="18"/>
      <c r="K637" s="18"/>
      <c r="L637" s="18"/>
      <c r="M637" s="18"/>
      <c r="N637" s="18"/>
      <c r="O637" s="18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>
      <c r="A638" s="1"/>
      <c r="B638" s="1"/>
      <c r="C638" s="18"/>
      <c r="D638" s="47"/>
      <c r="E638" s="18"/>
      <c r="F638" s="18"/>
      <c r="G638" s="18"/>
      <c r="H638" s="18"/>
      <c r="I638" s="25"/>
      <c r="J638" s="18"/>
      <c r="K638" s="18"/>
      <c r="L638" s="18"/>
      <c r="M638" s="18"/>
      <c r="N638" s="18"/>
      <c r="O638" s="18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>
      <c r="A639" s="1"/>
      <c r="B639" s="1"/>
      <c r="C639" s="18"/>
      <c r="D639" s="47"/>
      <c r="E639" s="18"/>
      <c r="F639" s="18"/>
      <c r="G639" s="18"/>
      <c r="H639" s="18"/>
      <c r="I639" s="25"/>
      <c r="J639" s="18"/>
      <c r="K639" s="18"/>
      <c r="L639" s="18"/>
      <c r="M639" s="18"/>
      <c r="N639" s="18"/>
      <c r="O639" s="18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>
      <c r="A640" s="1"/>
      <c r="B640" s="1"/>
      <c r="C640" s="18"/>
      <c r="D640" s="47"/>
      <c r="E640" s="18"/>
      <c r="F640" s="18"/>
      <c r="G640" s="18"/>
      <c r="H640" s="18"/>
      <c r="I640" s="25"/>
      <c r="J640" s="18"/>
      <c r="K640" s="18"/>
      <c r="L640" s="18"/>
      <c r="M640" s="18"/>
      <c r="N640" s="18"/>
      <c r="O640" s="18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>
      <c r="A641" s="1"/>
      <c r="B641" s="1"/>
      <c r="C641" s="18"/>
      <c r="D641" s="47"/>
      <c r="E641" s="18"/>
      <c r="F641" s="18"/>
      <c r="G641" s="18"/>
      <c r="H641" s="18"/>
      <c r="I641" s="25"/>
      <c r="J641" s="18"/>
      <c r="K641" s="18"/>
      <c r="L641" s="18"/>
      <c r="M641" s="18"/>
      <c r="N641" s="18"/>
      <c r="O641" s="18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>
      <c r="A642" s="1"/>
      <c r="B642" s="1"/>
      <c r="C642" s="18"/>
      <c r="D642" s="47"/>
      <c r="E642" s="18"/>
      <c r="F642" s="18"/>
      <c r="G642" s="18"/>
      <c r="H642" s="18"/>
      <c r="I642" s="25"/>
      <c r="J642" s="18"/>
      <c r="K642" s="18"/>
      <c r="L642" s="18"/>
      <c r="M642" s="18"/>
      <c r="N642" s="18"/>
      <c r="O642" s="18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>
      <c r="A643" s="1"/>
      <c r="B643" s="1"/>
      <c r="C643" s="18"/>
      <c r="D643" s="47"/>
      <c r="E643" s="18"/>
      <c r="F643" s="18"/>
      <c r="G643" s="18"/>
      <c r="H643" s="18"/>
      <c r="I643" s="25"/>
      <c r="J643" s="18"/>
      <c r="K643" s="18"/>
      <c r="L643" s="18"/>
      <c r="M643" s="18"/>
      <c r="N643" s="18"/>
      <c r="O643" s="18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>
      <c r="A644" s="1"/>
      <c r="B644" s="1"/>
      <c r="C644" s="18"/>
      <c r="D644" s="47"/>
      <c r="E644" s="18"/>
      <c r="F644" s="18"/>
      <c r="G644" s="18"/>
      <c r="H644" s="18"/>
      <c r="I644" s="25"/>
      <c r="J644" s="18"/>
      <c r="K644" s="18"/>
      <c r="L644" s="18"/>
      <c r="M644" s="18"/>
      <c r="N644" s="18"/>
      <c r="O644" s="18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>
      <c r="A645" s="1"/>
      <c r="B645" s="1"/>
      <c r="C645" s="18"/>
      <c r="D645" s="47"/>
      <c r="E645" s="18"/>
      <c r="F645" s="18"/>
      <c r="G645" s="18"/>
      <c r="H645" s="18"/>
      <c r="I645" s="25"/>
      <c r="J645" s="18"/>
      <c r="K645" s="18"/>
      <c r="L645" s="18"/>
      <c r="M645" s="18"/>
      <c r="N645" s="18"/>
      <c r="O645" s="18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>
      <c r="A646" s="1"/>
      <c r="B646" s="1"/>
      <c r="C646" s="18"/>
      <c r="D646" s="47"/>
      <c r="E646" s="18"/>
      <c r="F646" s="18"/>
      <c r="G646" s="18"/>
      <c r="H646" s="18"/>
      <c r="I646" s="25"/>
      <c r="J646" s="18"/>
      <c r="K646" s="18"/>
      <c r="L646" s="18"/>
      <c r="M646" s="18"/>
      <c r="N646" s="18"/>
      <c r="O646" s="18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>
      <c r="A647" s="1"/>
      <c r="B647" s="1"/>
      <c r="C647" s="18"/>
      <c r="D647" s="47"/>
      <c r="E647" s="18"/>
      <c r="F647" s="18"/>
      <c r="G647" s="18"/>
      <c r="H647" s="18"/>
      <c r="I647" s="25"/>
      <c r="J647" s="18"/>
      <c r="K647" s="18"/>
      <c r="L647" s="18"/>
      <c r="M647" s="18"/>
      <c r="N647" s="18"/>
      <c r="O647" s="18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>
      <c r="A648" s="1"/>
      <c r="B648" s="1"/>
      <c r="C648" s="18"/>
      <c r="D648" s="47"/>
      <c r="E648" s="18"/>
      <c r="F648" s="18"/>
      <c r="G648" s="18"/>
      <c r="H648" s="18"/>
      <c r="I648" s="25"/>
      <c r="J648" s="18"/>
      <c r="K648" s="18"/>
      <c r="L648" s="18"/>
      <c r="M648" s="18"/>
      <c r="N648" s="18"/>
      <c r="O648" s="18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>
      <c r="A649" s="1"/>
      <c r="B649" s="1"/>
      <c r="C649" s="18"/>
      <c r="D649" s="47"/>
      <c r="E649" s="18"/>
      <c r="F649" s="18"/>
      <c r="G649" s="18"/>
      <c r="H649" s="18"/>
      <c r="I649" s="25"/>
      <c r="J649" s="18"/>
      <c r="K649" s="18"/>
      <c r="L649" s="18"/>
      <c r="M649" s="18"/>
      <c r="N649" s="18"/>
      <c r="O649" s="18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>
      <c r="A650" s="1"/>
      <c r="B650" s="1"/>
      <c r="C650" s="18"/>
      <c r="D650" s="47"/>
      <c r="E650" s="18"/>
      <c r="F650" s="18"/>
      <c r="G650" s="18"/>
      <c r="H650" s="18"/>
      <c r="I650" s="25"/>
      <c r="J650" s="18"/>
      <c r="K650" s="18"/>
      <c r="L650" s="18"/>
      <c r="M650" s="18"/>
      <c r="N650" s="18"/>
      <c r="O650" s="18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>
      <c r="A651" s="1"/>
      <c r="B651" s="1"/>
      <c r="C651" s="18"/>
      <c r="D651" s="47"/>
      <c r="E651" s="18"/>
      <c r="F651" s="18"/>
      <c r="G651" s="18"/>
      <c r="H651" s="18"/>
      <c r="I651" s="25"/>
      <c r="J651" s="18"/>
      <c r="K651" s="18"/>
      <c r="L651" s="18"/>
      <c r="M651" s="18"/>
      <c r="N651" s="18"/>
      <c r="O651" s="18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>
      <c r="A652" s="1"/>
      <c r="B652" s="1"/>
      <c r="C652" s="18"/>
      <c r="D652" s="47"/>
      <c r="E652" s="18"/>
      <c r="F652" s="18"/>
      <c r="G652" s="18"/>
      <c r="H652" s="18"/>
      <c r="I652" s="25"/>
      <c r="J652" s="18"/>
      <c r="K652" s="18"/>
      <c r="L652" s="18"/>
      <c r="M652" s="18"/>
      <c r="N652" s="18"/>
      <c r="O652" s="18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>
      <c r="A653" s="1"/>
      <c r="B653" s="1"/>
      <c r="C653" s="18"/>
      <c r="D653" s="47"/>
      <c r="E653" s="18"/>
      <c r="F653" s="18"/>
      <c r="G653" s="18"/>
      <c r="H653" s="18"/>
      <c r="I653" s="25"/>
      <c r="J653" s="18"/>
      <c r="K653" s="18"/>
      <c r="L653" s="18"/>
      <c r="M653" s="18"/>
      <c r="N653" s="18"/>
      <c r="O653" s="18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>
      <c r="A654" s="1"/>
      <c r="B654" s="1"/>
      <c r="C654" s="18"/>
      <c r="D654" s="47"/>
      <c r="E654" s="18"/>
      <c r="F654" s="18"/>
      <c r="G654" s="18"/>
      <c r="H654" s="18"/>
      <c r="I654" s="25"/>
      <c r="J654" s="18"/>
      <c r="K654" s="18"/>
      <c r="L654" s="18"/>
      <c r="M654" s="18"/>
      <c r="N654" s="18"/>
      <c r="O654" s="18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>
      <c r="A655" s="1"/>
      <c r="B655" s="1"/>
      <c r="C655" s="18"/>
      <c r="D655" s="47"/>
      <c r="E655" s="18"/>
      <c r="F655" s="18"/>
      <c r="G655" s="18"/>
      <c r="H655" s="18"/>
      <c r="I655" s="25"/>
      <c r="J655" s="18"/>
      <c r="K655" s="18"/>
      <c r="L655" s="18"/>
      <c r="M655" s="18"/>
      <c r="N655" s="18"/>
      <c r="O655" s="18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>
      <c r="A656" s="1"/>
      <c r="B656" s="1"/>
      <c r="C656" s="18"/>
      <c r="D656" s="47"/>
      <c r="E656" s="18"/>
      <c r="F656" s="18"/>
      <c r="G656" s="18"/>
      <c r="H656" s="18"/>
      <c r="I656" s="25"/>
      <c r="J656" s="18"/>
      <c r="K656" s="18"/>
      <c r="L656" s="18"/>
      <c r="M656" s="18"/>
      <c r="N656" s="18"/>
      <c r="O656" s="18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>
      <c r="A657" s="1"/>
      <c r="B657" s="1"/>
      <c r="C657" s="18"/>
      <c r="D657" s="47"/>
      <c r="E657" s="18"/>
      <c r="F657" s="18"/>
      <c r="G657" s="18"/>
      <c r="H657" s="18"/>
      <c r="I657" s="25"/>
      <c r="J657" s="18"/>
      <c r="K657" s="18"/>
      <c r="L657" s="18"/>
      <c r="M657" s="18"/>
      <c r="N657" s="18"/>
      <c r="O657" s="18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>
      <c r="A658" s="1"/>
      <c r="B658" s="1"/>
      <c r="C658" s="18"/>
      <c r="D658" s="47"/>
      <c r="E658" s="18"/>
      <c r="F658" s="18"/>
      <c r="G658" s="18"/>
      <c r="H658" s="18"/>
      <c r="I658" s="25"/>
      <c r="J658" s="18"/>
      <c r="K658" s="18"/>
      <c r="L658" s="18"/>
      <c r="M658" s="18"/>
      <c r="N658" s="18"/>
      <c r="O658" s="18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>
      <c r="A659" s="1"/>
      <c r="B659" s="1"/>
      <c r="C659" s="18"/>
      <c r="D659" s="47"/>
      <c r="E659" s="18"/>
      <c r="F659" s="18"/>
      <c r="G659" s="18"/>
      <c r="H659" s="18"/>
      <c r="I659" s="25"/>
      <c r="J659" s="18"/>
      <c r="K659" s="18"/>
      <c r="L659" s="18"/>
      <c r="M659" s="18"/>
      <c r="N659" s="18"/>
      <c r="O659" s="18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>
      <c r="A660" s="1"/>
      <c r="B660" s="1"/>
      <c r="C660" s="18"/>
      <c r="D660" s="47"/>
      <c r="E660" s="18"/>
      <c r="F660" s="18"/>
      <c r="G660" s="18"/>
      <c r="H660" s="18"/>
      <c r="I660" s="25"/>
      <c r="J660" s="18"/>
      <c r="K660" s="18"/>
      <c r="L660" s="18"/>
      <c r="M660" s="18"/>
      <c r="N660" s="18"/>
      <c r="O660" s="18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>
      <c r="A661" s="1"/>
      <c r="B661" s="1"/>
      <c r="C661" s="18"/>
      <c r="D661" s="47"/>
      <c r="E661" s="18"/>
      <c r="F661" s="18"/>
      <c r="G661" s="18"/>
      <c r="H661" s="18"/>
      <c r="I661" s="25"/>
      <c r="J661" s="18"/>
      <c r="K661" s="18"/>
      <c r="L661" s="18"/>
      <c r="M661" s="18"/>
      <c r="N661" s="18"/>
      <c r="O661" s="18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>
      <c r="A662" s="1"/>
      <c r="B662" s="1"/>
      <c r="C662" s="18"/>
      <c r="D662" s="47"/>
      <c r="E662" s="18"/>
      <c r="F662" s="18"/>
      <c r="G662" s="18"/>
      <c r="H662" s="18"/>
      <c r="I662" s="25"/>
      <c r="J662" s="18"/>
      <c r="K662" s="18"/>
      <c r="L662" s="18"/>
      <c r="M662" s="18"/>
      <c r="N662" s="18"/>
      <c r="O662" s="18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>
      <c r="A663" s="1"/>
      <c r="B663" s="1"/>
      <c r="C663" s="18"/>
      <c r="D663" s="47"/>
      <c r="E663" s="18"/>
      <c r="F663" s="18"/>
      <c r="G663" s="18"/>
      <c r="H663" s="18"/>
      <c r="I663" s="25"/>
      <c r="J663" s="18"/>
      <c r="K663" s="18"/>
      <c r="L663" s="18"/>
      <c r="M663" s="18"/>
      <c r="N663" s="18"/>
      <c r="O663" s="18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>
      <c r="A664" s="1"/>
      <c r="B664" s="1"/>
      <c r="C664" s="18"/>
      <c r="D664" s="47"/>
      <c r="E664" s="18"/>
      <c r="F664" s="18"/>
      <c r="G664" s="18"/>
      <c r="H664" s="18"/>
      <c r="I664" s="25"/>
      <c r="J664" s="18"/>
      <c r="K664" s="18"/>
      <c r="L664" s="18"/>
      <c r="M664" s="18"/>
      <c r="N664" s="18"/>
      <c r="O664" s="18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>
      <c r="A665" s="1"/>
      <c r="B665" s="1"/>
      <c r="C665" s="18"/>
      <c r="D665" s="47"/>
      <c r="E665" s="18"/>
      <c r="F665" s="18"/>
      <c r="G665" s="18"/>
      <c r="H665" s="18"/>
      <c r="I665" s="25"/>
      <c r="J665" s="18"/>
      <c r="K665" s="18"/>
      <c r="L665" s="18"/>
      <c r="M665" s="18"/>
      <c r="N665" s="18"/>
      <c r="O665" s="18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>
      <c r="A666" s="1"/>
      <c r="B666" s="1"/>
      <c r="C666" s="18"/>
      <c r="D666" s="47"/>
      <c r="E666" s="18"/>
      <c r="F666" s="18"/>
      <c r="G666" s="18"/>
      <c r="H666" s="18"/>
      <c r="I666" s="25"/>
      <c r="J666" s="18"/>
      <c r="K666" s="18"/>
      <c r="L666" s="18"/>
      <c r="M666" s="18"/>
      <c r="N666" s="18"/>
      <c r="O666" s="18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>
      <c r="A667" s="1"/>
      <c r="B667" s="1"/>
      <c r="C667" s="18"/>
      <c r="D667" s="47"/>
      <c r="E667" s="18"/>
      <c r="F667" s="18"/>
      <c r="G667" s="18"/>
      <c r="H667" s="18"/>
      <c r="I667" s="25"/>
      <c r="J667" s="18"/>
      <c r="K667" s="18"/>
      <c r="L667" s="18"/>
      <c r="M667" s="18"/>
      <c r="N667" s="18"/>
      <c r="O667" s="18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>
      <c r="A668" s="1"/>
      <c r="B668" s="1"/>
      <c r="C668" s="18"/>
      <c r="D668" s="47"/>
      <c r="E668" s="18"/>
      <c r="F668" s="18"/>
      <c r="G668" s="18"/>
      <c r="H668" s="18"/>
      <c r="I668" s="25"/>
      <c r="J668" s="18"/>
      <c r="K668" s="18"/>
      <c r="L668" s="18"/>
      <c r="M668" s="18"/>
      <c r="N668" s="18"/>
      <c r="O668" s="18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>
      <c r="A669" s="1"/>
      <c r="B669" s="1"/>
      <c r="C669" s="18"/>
      <c r="D669" s="47"/>
      <c r="E669" s="18"/>
      <c r="F669" s="18"/>
      <c r="G669" s="18"/>
      <c r="H669" s="18"/>
      <c r="I669" s="25"/>
      <c r="J669" s="18"/>
      <c r="K669" s="18"/>
      <c r="L669" s="18"/>
      <c r="M669" s="18"/>
      <c r="N669" s="18"/>
      <c r="O669" s="18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>
      <c r="A670" s="1"/>
      <c r="B670" s="1"/>
      <c r="C670" s="18"/>
      <c r="D670" s="47"/>
      <c r="E670" s="18"/>
      <c r="F670" s="18"/>
      <c r="G670" s="18"/>
      <c r="H670" s="18"/>
      <c r="I670" s="25"/>
      <c r="J670" s="18"/>
      <c r="K670" s="18"/>
      <c r="L670" s="18"/>
      <c r="M670" s="18"/>
      <c r="N670" s="18"/>
      <c r="O670" s="18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>
      <c r="A671" s="1"/>
      <c r="B671" s="1"/>
      <c r="C671" s="18"/>
      <c r="D671" s="47"/>
      <c r="E671" s="18"/>
      <c r="F671" s="18"/>
      <c r="G671" s="18"/>
      <c r="H671" s="18"/>
      <c r="I671" s="25"/>
      <c r="J671" s="18"/>
      <c r="K671" s="18"/>
      <c r="L671" s="18"/>
      <c r="M671" s="18"/>
      <c r="N671" s="18"/>
      <c r="O671" s="18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>
      <c r="A672" s="1"/>
      <c r="B672" s="1"/>
      <c r="C672" s="18"/>
      <c r="D672" s="47"/>
      <c r="E672" s="18"/>
      <c r="F672" s="18"/>
      <c r="G672" s="18"/>
      <c r="H672" s="18"/>
      <c r="I672" s="25"/>
      <c r="J672" s="18"/>
      <c r="K672" s="18"/>
      <c r="L672" s="18"/>
      <c r="M672" s="18"/>
      <c r="N672" s="18"/>
      <c r="O672" s="18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>
      <c r="A673" s="1"/>
      <c r="B673" s="1"/>
      <c r="C673" s="18"/>
      <c r="D673" s="47"/>
      <c r="E673" s="18"/>
      <c r="F673" s="18"/>
      <c r="G673" s="18"/>
      <c r="H673" s="18"/>
      <c r="I673" s="25"/>
      <c r="J673" s="18"/>
      <c r="K673" s="18"/>
      <c r="L673" s="18"/>
      <c r="M673" s="18"/>
      <c r="N673" s="18"/>
      <c r="O673" s="18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>
      <c r="A674" s="1"/>
      <c r="B674" s="1"/>
      <c r="C674" s="18"/>
      <c r="D674" s="47"/>
      <c r="E674" s="18"/>
      <c r="F674" s="18"/>
      <c r="G674" s="18"/>
      <c r="H674" s="18"/>
      <c r="I674" s="25"/>
      <c r="J674" s="18"/>
      <c r="K674" s="18"/>
      <c r="L674" s="18"/>
      <c r="M674" s="18"/>
      <c r="N674" s="18"/>
      <c r="O674" s="18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>
      <c r="A675" s="1"/>
      <c r="B675" s="1"/>
      <c r="C675" s="18"/>
      <c r="D675" s="47"/>
      <c r="E675" s="18"/>
      <c r="F675" s="18"/>
      <c r="G675" s="18"/>
      <c r="H675" s="18"/>
      <c r="I675" s="25"/>
      <c r="J675" s="18"/>
      <c r="K675" s="18"/>
      <c r="L675" s="18"/>
      <c r="M675" s="18"/>
      <c r="N675" s="18"/>
      <c r="O675" s="18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>
      <c r="A676" s="1"/>
      <c r="B676" s="1"/>
      <c r="C676" s="18"/>
      <c r="D676" s="47"/>
      <c r="E676" s="18"/>
      <c r="F676" s="18"/>
      <c r="G676" s="18"/>
      <c r="H676" s="18"/>
      <c r="I676" s="25"/>
      <c r="J676" s="18"/>
      <c r="K676" s="18"/>
      <c r="L676" s="18"/>
      <c r="M676" s="18"/>
      <c r="N676" s="18"/>
      <c r="O676" s="18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>
      <c r="A677" s="1"/>
      <c r="B677" s="1"/>
      <c r="C677" s="18"/>
      <c r="D677" s="47"/>
      <c r="E677" s="18"/>
      <c r="F677" s="18"/>
      <c r="G677" s="18"/>
      <c r="H677" s="18"/>
      <c r="I677" s="25"/>
      <c r="J677" s="18"/>
      <c r="K677" s="18"/>
      <c r="L677" s="18"/>
      <c r="M677" s="18"/>
      <c r="N677" s="18"/>
      <c r="O677" s="18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>
      <c r="A678" s="1"/>
      <c r="B678" s="1"/>
      <c r="C678" s="18"/>
      <c r="D678" s="47"/>
      <c r="E678" s="18"/>
      <c r="F678" s="18"/>
      <c r="G678" s="18"/>
      <c r="H678" s="18"/>
      <c r="I678" s="25"/>
      <c r="J678" s="18"/>
      <c r="K678" s="18"/>
      <c r="L678" s="18"/>
      <c r="M678" s="18"/>
      <c r="N678" s="18"/>
      <c r="O678" s="18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>
      <c r="A679" s="1"/>
      <c r="B679" s="1"/>
      <c r="C679" s="18"/>
      <c r="D679" s="47"/>
      <c r="E679" s="18"/>
      <c r="F679" s="18"/>
      <c r="G679" s="18"/>
      <c r="H679" s="18"/>
      <c r="I679" s="25"/>
      <c r="J679" s="18"/>
      <c r="K679" s="18"/>
      <c r="L679" s="18"/>
      <c r="M679" s="18"/>
      <c r="N679" s="18"/>
      <c r="O679" s="18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>
      <c r="A680" s="1"/>
      <c r="B680" s="1"/>
      <c r="C680" s="18"/>
      <c r="D680" s="47"/>
      <c r="E680" s="18"/>
      <c r="F680" s="18"/>
      <c r="G680" s="18"/>
      <c r="H680" s="18"/>
      <c r="I680" s="25"/>
      <c r="J680" s="18"/>
      <c r="K680" s="18"/>
      <c r="L680" s="18"/>
      <c r="M680" s="18"/>
      <c r="N680" s="18"/>
      <c r="O680" s="18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>
      <c r="A681" s="1"/>
      <c r="B681" s="1"/>
      <c r="C681" s="18"/>
      <c r="D681" s="47"/>
      <c r="E681" s="18"/>
      <c r="F681" s="18"/>
      <c r="G681" s="18"/>
      <c r="H681" s="18"/>
      <c r="I681" s="25"/>
      <c r="J681" s="18"/>
      <c r="K681" s="18"/>
      <c r="L681" s="18"/>
      <c r="M681" s="18"/>
      <c r="N681" s="18"/>
      <c r="O681" s="18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>
      <c r="A682" s="1"/>
      <c r="B682" s="1"/>
      <c r="C682" s="18"/>
      <c r="D682" s="47"/>
      <c r="E682" s="18"/>
      <c r="F682" s="18"/>
      <c r="G682" s="18"/>
      <c r="H682" s="18"/>
      <c r="I682" s="25"/>
      <c r="J682" s="18"/>
      <c r="K682" s="18"/>
      <c r="L682" s="18"/>
      <c r="M682" s="18"/>
      <c r="N682" s="18"/>
      <c r="O682" s="18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>
      <c r="A683" s="1"/>
      <c r="B683" s="1"/>
      <c r="C683" s="18"/>
      <c r="D683" s="47"/>
      <c r="E683" s="18"/>
      <c r="F683" s="18"/>
      <c r="G683" s="18"/>
      <c r="H683" s="18"/>
      <c r="I683" s="25"/>
      <c r="J683" s="18"/>
      <c r="K683" s="18"/>
      <c r="L683" s="18"/>
      <c r="M683" s="18"/>
      <c r="N683" s="18"/>
      <c r="O683" s="18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>
      <c r="A684" s="1"/>
      <c r="B684" s="1"/>
      <c r="C684" s="18"/>
      <c r="D684" s="47"/>
      <c r="E684" s="18"/>
      <c r="F684" s="18"/>
      <c r="G684" s="18"/>
      <c r="H684" s="18"/>
      <c r="I684" s="25"/>
      <c r="J684" s="18"/>
      <c r="K684" s="18"/>
      <c r="L684" s="18"/>
      <c r="M684" s="18"/>
      <c r="N684" s="18"/>
      <c r="O684" s="18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>
      <c r="A685" s="1"/>
      <c r="B685" s="1"/>
      <c r="C685" s="18"/>
      <c r="D685" s="47"/>
      <c r="E685" s="18"/>
      <c r="F685" s="18"/>
      <c r="G685" s="18"/>
      <c r="H685" s="18"/>
      <c r="I685" s="25"/>
      <c r="J685" s="18"/>
      <c r="K685" s="18"/>
      <c r="L685" s="18"/>
      <c r="M685" s="18"/>
      <c r="N685" s="18"/>
      <c r="O685" s="18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>
      <c r="A686" s="1"/>
      <c r="B686" s="1"/>
      <c r="C686" s="18"/>
      <c r="D686" s="47"/>
      <c r="E686" s="18"/>
      <c r="F686" s="18"/>
      <c r="G686" s="18"/>
      <c r="H686" s="18"/>
      <c r="I686" s="25"/>
      <c r="J686" s="18"/>
      <c r="K686" s="18"/>
      <c r="L686" s="18"/>
      <c r="M686" s="18"/>
      <c r="N686" s="18"/>
      <c r="O686" s="18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>
      <c r="A687" s="1"/>
      <c r="B687" s="1"/>
      <c r="C687" s="18"/>
      <c r="D687" s="47"/>
      <c r="E687" s="18"/>
      <c r="F687" s="18"/>
      <c r="G687" s="18"/>
      <c r="H687" s="18"/>
      <c r="I687" s="25"/>
      <c r="J687" s="18"/>
      <c r="K687" s="18"/>
      <c r="L687" s="18"/>
      <c r="M687" s="18"/>
      <c r="N687" s="18"/>
      <c r="O687" s="18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>
      <c r="A688" s="1"/>
      <c r="B688" s="1"/>
      <c r="C688" s="18"/>
      <c r="D688" s="47"/>
      <c r="E688" s="18"/>
      <c r="F688" s="18"/>
      <c r="G688" s="18"/>
      <c r="H688" s="18"/>
      <c r="I688" s="25"/>
      <c r="J688" s="18"/>
      <c r="K688" s="18"/>
      <c r="L688" s="18"/>
      <c r="M688" s="18"/>
      <c r="N688" s="18"/>
      <c r="O688" s="18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>
      <c r="A689" s="1"/>
      <c r="B689" s="1"/>
      <c r="C689" s="18"/>
      <c r="D689" s="47"/>
      <c r="E689" s="18"/>
      <c r="F689" s="18"/>
      <c r="G689" s="18"/>
      <c r="H689" s="18"/>
      <c r="I689" s="25"/>
      <c r="J689" s="18"/>
      <c r="K689" s="18"/>
      <c r="L689" s="18"/>
      <c r="M689" s="18"/>
      <c r="N689" s="18"/>
      <c r="O689" s="18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>
      <c r="A690" s="1"/>
      <c r="B690" s="1"/>
      <c r="C690" s="18"/>
      <c r="D690" s="47"/>
      <c r="E690" s="18"/>
      <c r="F690" s="18"/>
      <c r="G690" s="18"/>
      <c r="H690" s="18"/>
      <c r="I690" s="25"/>
      <c r="J690" s="18"/>
      <c r="K690" s="18"/>
      <c r="L690" s="18"/>
      <c r="M690" s="18"/>
      <c r="N690" s="18"/>
      <c r="O690" s="18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>
      <c r="A691" s="1"/>
      <c r="B691" s="1"/>
      <c r="C691" s="18"/>
      <c r="D691" s="47"/>
      <c r="E691" s="18"/>
      <c r="F691" s="18"/>
      <c r="G691" s="18"/>
      <c r="H691" s="18"/>
      <c r="I691" s="25"/>
      <c r="J691" s="18"/>
      <c r="K691" s="18"/>
      <c r="L691" s="18"/>
      <c r="M691" s="18"/>
      <c r="N691" s="18"/>
      <c r="O691" s="18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>
      <c r="A692" s="1"/>
      <c r="B692" s="1"/>
      <c r="C692" s="18"/>
      <c r="D692" s="47"/>
      <c r="E692" s="18"/>
      <c r="F692" s="18"/>
      <c r="G692" s="18"/>
      <c r="H692" s="18"/>
      <c r="I692" s="25"/>
      <c r="J692" s="18"/>
      <c r="K692" s="18"/>
      <c r="L692" s="18"/>
      <c r="M692" s="18"/>
      <c r="N692" s="18"/>
      <c r="O692" s="18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>
      <c r="A693" s="1"/>
      <c r="B693" s="1"/>
      <c r="C693" s="18"/>
      <c r="D693" s="47"/>
      <c r="E693" s="18"/>
      <c r="F693" s="18"/>
      <c r="G693" s="18"/>
      <c r="H693" s="18"/>
      <c r="I693" s="25"/>
      <c r="J693" s="18"/>
      <c r="K693" s="18"/>
      <c r="L693" s="18"/>
      <c r="M693" s="18"/>
      <c r="N693" s="18"/>
      <c r="O693" s="18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>
      <c r="A694" s="1"/>
      <c r="B694" s="1"/>
      <c r="C694" s="18"/>
      <c r="D694" s="47"/>
      <c r="E694" s="18"/>
      <c r="F694" s="18"/>
      <c r="G694" s="18"/>
      <c r="H694" s="18"/>
      <c r="I694" s="25"/>
      <c r="J694" s="18"/>
      <c r="K694" s="18"/>
      <c r="L694" s="18"/>
      <c r="M694" s="18"/>
      <c r="N694" s="18"/>
      <c r="O694" s="18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>
      <c r="A695" s="1"/>
      <c r="B695" s="1"/>
      <c r="C695" s="18"/>
      <c r="D695" s="47"/>
      <c r="E695" s="18"/>
      <c r="F695" s="18"/>
      <c r="G695" s="18"/>
      <c r="H695" s="18"/>
      <c r="I695" s="25"/>
      <c r="J695" s="18"/>
      <c r="K695" s="18"/>
      <c r="L695" s="18"/>
      <c r="M695" s="18"/>
      <c r="N695" s="18"/>
      <c r="O695" s="18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>
      <c r="A696" s="1"/>
      <c r="B696" s="1"/>
      <c r="C696" s="18"/>
      <c r="D696" s="47"/>
      <c r="E696" s="18"/>
      <c r="F696" s="18"/>
      <c r="G696" s="18"/>
      <c r="H696" s="18"/>
      <c r="I696" s="25"/>
      <c r="J696" s="18"/>
      <c r="K696" s="18"/>
      <c r="L696" s="18"/>
      <c r="M696" s="18"/>
      <c r="N696" s="18"/>
      <c r="O696" s="18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>
      <c r="A697" s="1"/>
      <c r="B697" s="1"/>
      <c r="C697" s="18"/>
      <c r="D697" s="47"/>
      <c r="E697" s="18"/>
      <c r="F697" s="18"/>
      <c r="G697" s="18"/>
      <c r="H697" s="18"/>
      <c r="I697" s="25"/>
      <c r="J697" s="18"/>
      <c r="K697" s="18"/>
      <c r="L697" s="18"/>
      <c r="M697" s="18"/>
      <c r="N697" s="18"/>
      <c r="O697" s="18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>
      <c r="A698" s="1"/>
      <c r="B698" s="1"/>
      <c r="C698" s="18"/>
      <c r="D698" s="47"/>
      <c r="E698" s="18"/>
      <c r="F698" s="18"/>
      <c r="G698" s="18"/>
      <c r="H698" s="18"/>
      <c r="I698" s="25"/>
      <c r="J698" s="18"/>
      <c r="K698" s="18"/>
      <c r="L698" s="18"/>
      <c r="M698" s="18"/>
      <c r="N698" s="18"/>
      <c r="O698" s="18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>
      <c r="A699" s="1"/>
      <c r="B699" s="1"/>
      <c r="C699" s="18"/>
      <c r="D699" s="47"/>
      <c r="E699" s="18"/>
      <c r="F699" s="18"/>
      <c r="G699" s="18"/>
      <c r="H699" s="18"/>
      <c r="I699" s="25"/>
      <c r="J699" s="18"/>
      <c r="K699" s="18"/>
      <c r="L699" s="18"/>
      <c r="M699" s="18"/>
      <c r="N699" s="18"/>
      <c r="O699" s="18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>
      <c r="A700" s="1"/>
      <c r="B700" s="1"/>
      <c r="C700" s="18"/>
      <c r="D700" s="47"/>
      <c r="E700" s="18"/>
      <c r="F700" s="18"/>
      <c r="G700" s="18"/>
      <c r="H700" s="18"/>
      <c r="I700" s="25"/>
      <c r="J700" s="18"/>
      <c r="K700" s="18"/>
      <c r="L700" s="18"/>
      <c r="M700" s="18"/>
      <c r="N700" s="18"/>
      <c r="O700" s="18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>
      <c r="A701" s="1"/>
      <c r="B701" s="1"/>
      <c r="C701" s="18"/>
      <c r="D701" s="47"/>
      <c r="E701" s="18"/>
      <c r="F701" s="18"/>
      <c r="G701" s="18"/>
      <c r="H701" s="18"/>
      <c r="I701" s="25"/>
      <c r="J701" s="18"/>
      <c r="K701" s="18"/>
      <c r="L701" s="18"/>
      <c r="M701" s="18"/>
      <c r="N701" s="18"/>
      <c r="O701" s="18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>
      <c r="A702" s="1"/>
      <c r="B702" s="1"/>
      <c r="C702" s="18"/>
      <c r="D702" s="47"/>
      <c r="E702" s="18"/>
      <c r="F702" s="18"/>
      <c r="G702" s="18"/>
      <c r="H702" s="18"/>
      <c r="I702" s="25"/>
      <c r="J702" s="18"/>
      <c r="K702" s="18"/>
      <c r="L702" s="18"/>
      <c r="M702" s="18"/>
      <c r="N702" s="18"/>
      <c r="O702" s="18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>
      <c r="A703" s="1"/>
      <c r="B703" s="1"/>
      <c r="C703" s="18"/>
      <c r="D703" s="47"/>
      <c r="E703" s="18"/>
      <c r="F703" s="18"/>
      <c r="G703" s="18"/>
      <c r="H703" s="18"/>
      <c r="I703" s="25"/>
      <c r="J703" s="18"/>
      <c r="K703" s="18"/>
      <c r="L703" s="18"/>
      <c r="M703" s="18"/>
      <c r="N703" s="18"/>
      <c r="O703" s="18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>
      <c r="A704" s="1"/>
      <c r="B704" s="1"/>
      <c r="C704" s="18"/>
      <c r="D704" s="47"/>
      <c r="E704" s="18"/>
      <c r="F704" s="18"/>
      <c r="G704" s="18"/>
      <c r="H704" s="18"/>
      <c r="I704" s="25"/>
      <c r="J704" s="18"/>
      <c r="K704" s="18"/>
      <c r="L704" s="18"/>
      <c r="M704" s="18"/>
      <c r="N704" s="18"/>
      <c r="O704" s="18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>
      <c r="A705" s="1"/>
      <c r="B705" s="1"/>
      <c r="C705" s="18"/>
      <c r="D705" s="47"/>
      <c r="E705" s="18"/>
      <c r="F705" s="18"/>
      <c r="G705" s="18"/>
      <c r="H705" s="18"/>
      <c r="I705" s="25"/>
      <c r="J705" s="18"/>
      <c r="K705" s="18"/>
      <c r="L705" s="18"/>
      <c r="M705" s="18"/>
      <c r="N705" s="18"/>
      <c r="O705" s="18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>
      <c r="A706" s="1"/>
      <c r="B706" s="1"/>
      <c r="C706" s="18"/>
      <c r="D706" s="47"/>
      <c r="E706" s="18"/>
      <c r="F706" s="18"/>
      <c r="G706" s="18"/>
      <c r="H706" s="18"/>
      <c r="I706" s="25"/>
      <c r="J706" s="18"/>
      <c r="K706" s="18"/>
      <c r="L706" s="18"/>
      <c r="M706" s="18"/>
      <c r="N706" s="18"/>
      <c r="O706" s="18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>
      <c r="A707" s="1"/>
      <c r="B707" s="1"/>
      <c r="C707" s="18"/>
      <c r="D707" s="47"/>
      <c r="E707" s="18"/>
      <c r="F707" s="18"/>
      <c r="G707" s="18"/>
      <c r="H707" s="18"/>
      <c r="I707" s="25"/>
      <c r="J707" s="18"/>
      <c r="K707" s="18"/>
      <c r="L707" s="18"/>
      <c r="M707" s="18"/>
      <c r="N707" s="18"/>
      <c r="O707" s="18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>
      <c r="A708" s="1"/>
      <c r="B708" s="1"/>
      <c r="C708" s="18"/>
      <c r="D708" s="47"/>
      <c r="E708" s="18"/>
      <c r="F708" s="18"/>
      <c r="G708" s="18"/>
      <c r="H708" s="18"/>
      <c r="I708" s="25"/>
      <c r="J708" s="18"/>
      <c r="K708" s="18"/>
      <c r="L708" s="18"/>
      <c r="M708" s="18"/>
      <c r="N708" s="18"/>
      <c r="O708" s="18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>
      <c r="A709" s="1"/>
      <c r="B709" s="1"/>
      <c r="C709" s="18"/>
      <c r="D709" s="47"/>
      <c r="E709" s="18"/>
      <c r="F709" s="18"/>
      <c r="G709" s="18"/>
      <c r="H709" s="18"/>
      <c r="I709" s="25"/>
      <c r="J709" s="18"/>
      <c r="K709" s="18"/>
      <c r="L709" s="18"/>
      <c r="M709" s="18"/>
      <c r="N709" s="18"/>
      <c r="O709" s="18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>
      <c r="A710" s="1"/>
      <c r="B710" s="1"/>
      <c r="C710" s="18"/>
      <c r="D710" s="47"/>
      <c r="E710" s="18"/>
      <c r="F710" s="18"/>
      <c r="G710" s="18"/>
      <c r="H710" s="18"/>
      <c r="I710" s="25"/>
      <c r="J710" s="18"/>
      <c r="K710" s="18"/>
      <c r="L710" s="18"/>
      <c r="M710" s="18"/>
      <c r="N710" s="18"/>
      <c r="O710" s="18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>
      <c r="A711" s="1"/>
      <c r="B711" s="1"/>
      <c r="C711" s="18"/>
      <c r="D711" s="47"/>
      <c r="E711" s="18"/>
      <c r="F711" s="18"/>
      <c r="G711" s="18"/>
      <c r="H711" s="18"/>
      <c r="I711" s="25"/>
      <c r="J711" s="18"/>
      <c r="K711" s="18"/>
      <c r="L711" s="18"/>
      <c r="M711" s="18"/>
      <c r="N711" s="18"/>
      <c r="O711" s="18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>
      <c r="A712" s="1"/>
      <c r="B712" s="1"/>
      <c r="C712" s="18"/>
      <c r="D712" s="47"/>
      <c r="E712" s="18"/>
      <c r="F712" s="18"/>
      <c r="G712" s="18"/>
      <c r="H712" s="18"/>
      <c r="I712" s="25"/>
      <c r="J712" s="18"/>
      <c r="K712" s="18"/>
      <c r="L712" s="18"/>
      <c r="M712" s="18"/>
      <c r="N712" s="18"/>
      <c r="O712" s="18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>
      <c r="A713" s="1"/>
      <c r="B713" s="1"/>
      <c r="C713" s="18"/>
      <c r="D713" s="47"/>
      <c r="E713" s="18"/>
      <c r="F713" s="18"/>
      <c r="G713" s="18"/>
      <c r="H713" s="18"/>
      <c r="I713" s="25"/>
      <c r="J713" s="18"/>
      <c r="K713" s="18"/>
      <c r="L713" s="18"/>
      <c r="M713" s="18"/>
      <c r="N713" s="18"/>
      <c r="O713" s="18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>
      <c r="A714" s="1"/>
      <c r="B714" s="1"/>
      <c r="C714" s="18"/>
      <c r="D714" s="47"/>
      <c r="E714" s="18"/>
      <c r="F714" s="18"/>
      <c r="G714" s="18"/>
      <c r="H714" s="18"/>
      <c r="I714" s="25"/>
      <c r="J714" s="18"/>
      <c r="K714" s="18"/>
      <c r="L714" s="18"/>
      <c r="M714" s="18"/>
      <c r="N714" s="18"/>
      <c r="O714" s="18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>
      <c r="A715" s="1"/>
      <c r="B715" s="1"/>
      <c r="C715" s="18"/>
      <c r="D715" s="47"/>
      <c r="E715" s="18"/>
      <c r="F715" s="18"/>
      <c r="G715" s="18"/>
      <c r="H715" s="18"/>
      <c r="I715" s="25"/>
      <c r="J715" s="18"/>
      <c r="K715" s="18"/>
      <c r="L715" s="18"/>
      <c r="M715" s="18"/>
      <c r="N715" s="18"/>
      <c r="O715" s="18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>
      <c r="A716" s="1"/>
      <c r="B716" s="1"/>
      <c r="C716" s="18"/>
      <c r="D716" s="47"/>
      <c r="E716" s="18"/>
      <c r="F716" s="18"/>
      <c r="G716" s="18"/>
      <c r="H716" s="18"/>
      <c r="I716" s="25"/>
      <c r="J716" s="18"/>
      <c r="K716" s="18"/>
      <c r="L716" s="18"/>
      <c r="M716" s="18"/>
      <c r="N716" s="18"/>
      <c r="O716" s="18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>
      <c r="A717" s="1"/>
      <c r="B717" s="1"/>
      <c r="C717" s="18"/>
      <c r="D717" s="47"/>
      <c r="E717" s="18"/>
      <c r="F717" s="18"/>
      <c r="G717" s="18"/>
      <c r="H717" s="18"/>
      <c r="I717" s="25"/>
      <c r="J717" s="18"/>
      <c r="K717" s="18"/>
      <c r="L717" s="18"/>
      <c r="M717" s="18"/>
      <c r="N717" s="18"/>
      <c r="O717" s="18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>
      <c r="A718" s="1"/>
      <c r="B718" s="1"/>
      <c r="C718" s="18"/>
      <c r="D718" s="47"/>
      <c r="E718" s="18"/>
      <c r="F718" s="18"/>
      <c r="G718" s="18"/>
      <c r="H718" s="18"/>
      <c r="I718" s="25"/>
      <c r="J718" s="18"/>
      <c r="K718" s="18"/>
      <c r="L718" s="18"/>
      <c r="M718" s="18"/>
      <c r="N718" s="18"/>
      <c r="O718" s="18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>
      <c r="A719" s="1"/>
      <c r="B719" s="1"/>
      <c r="C719" s="18"/>
      <c r="D719" s="47"/>
      <c r="E719" s="18"/>
      <c r="F719" s="18"/>
      <c r="G719" s="18"/>
      <c r="H719" s="18"/>
      <c r="I719" s="25"/>
      <c r="J719" s="18"/>
      <c r="K719" s="18"/>
      <c r="L719" s="18"/>
      <c r="M719" s="18"/>
      <c r="N719" s="18"/>
      <c r="O719" s="18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>
      <c r="A720" s="1"/>
      <c r="B720" s="1"/>
      <c r="C720" s="18"/>
      <c r="D720" s="47"/>
      <c r="E720" s="18"/>
      <c r="F720" s="18"/>
      <c r="G720" s="18"/>
      <c r="H720" s="18"/>
      <c r="I720" s="25"/>
      <c r="J720" s="18"/>
      <c r="K720" s="18"/>
      <c r="L720" s="18"/>
      <c r="M720" s="18"/>
      <c r="N720" s="18"/>
      <c r="O720" s="18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>
      <c r="A721" s="1"/>
      <c r="B721" s="1"/>
      <c r="C721" s="18"/>
      <c r="D721" s="47"/>
      <c r="E721" s="18"/>
      <c r="F721" s="18"/>
      <c r="G721" s="18"/>
      <c r="H721" s="18"/>
      <c r="I721" s="25"/>
      <c r="J721" s="18"/>
      <c r="K721" s="18"/>
      <c r="L721" s="18"/>
      <c r="M721" s="18"/>
      <c r="N721" s="18"/>
      <c r="O721" s="18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>
      <c r="A722" s="1"/>
      <c r="B722" s="1"/>
      <c r="C722" s="18"/>
      <c r="D722" s="47"/>
      <c r="E722" s="18"/>
      <c r="F722" s="18"/>
      <c r="G722" s="18"/>
      <c r="H722" s="18"/>
      <c r="I722" s="25"/>
      <c r="J722" s="18"/>
      <c r="K722" s="18"/>
      <c r="L722" s="18"/>
      <c r="M722" s="18"/>
      <c r="N722" s="18"/>
      <c r="O722" s="18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>
      <c r="A723" s="1"/>
      <c r="B723" s="1"/>
      <c r="C723" s="18"/>
      <c r="D723" s="47"/>
      <c r="E723" s="18"/>
      <c r="F723" s="18"/>
      <c r="G723" s="18"/>
      <c r="H723" s="18"/>
      <c r="I723" s="25"/>
      <c r="J723" s="18"/>
      <c r="K723" s="18"/>
      <c r="L723" s="18"/>
      <c r="M723" s="18"/>
      <c r="N723" s="18"/>
      <c r="O723" s="18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>
      <c r="A724" s="1"/>
      <c r="B724" s="1"/>
      <c r="C724" s="18"/>
      <c r="D724" s="47"/>
      <c r="E724" s="18"/>
      <c r="F724" s="18"/>
      <c r="G724" s="18"/>
      <c r="H724" s="18"/>
      <c r="I724" s="25"/>
      <c r="J724" s="18"/>
      <c r="K724" s="18"/>
      <c r="L724" s="18"/>
      <c r="M724" s="18"/>
      <c r="N724" s="18"/>
      <c r="O724" s="18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>
      <c r="A725" s="1"/>
      <c r="B725" s="1"/>
      <c r="C725" s="18"/>
      <c r="D725" s="47"/>
      <c r="E725" s="18"/>
      <c r="F725" s="18"/>
      <c r="G725" s="18"/>
      <c r="H725" s="18"/>
      <c r="I725" s="25"/>
      <c r="J725" s="18"/>
      <c r="K725" s="18"/>
      <c r="L725" s="18"/>
      <c r="M725" s="18"/>
      <c r="N725" s="18"/>
      <c r="O725" s="18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>
      <c r="A726" s="1"/>
      <c r="B726" s="1"/>
      <c r="C726" s="18"/>
      <c r="D726" s="47"/>
      <c r="E726" s="18"/>
      <c r="F726" s="18"/>
      <c r="G726" s="18"/>
      <c r="H726" s="18"/>
      <c r="I726" s="25"/>
      <c r="J726" s="18"/>
      <c r="K726" s="18"/>
      <c r="L726" s="18"/>
      <c r="M726" s="18"/>
      <c r="N726" s="18"/>
      <c r="O726" s="18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>
      <c r="A727" s="1"/>
      <c r="B727" s="1"/>
      <c r="C727" s="18"/>
      <c r="D727" s="47"/>
      <c r="E727" s="18"/>
      <c r="F727" s="18"/>
      <c r="G727" s="18"/>
      <c r="H727" s="18"/>
      <c r="I727" s="25"/>
      <c r="J727" s="18"/>
      <c r="K727" s="18"/>
      <c r="L727" s="18"/>
      <c r="M727" s="18"/>
      <c r="N727" s="18"/>
      <c r="O727" s="18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>
      <c r="A728" s="1"/>
      <c r="B728" s="1"/>
      <c r="C728" s="18"/>
      <c r="D728" s="47"/>
      <c r="E728" s="18"/>
      <c r="F728" s="18"/>
      <c r="G728" s="18"/>
      <c r="H728" s="18"/>
      <c r="I728" s="25"/>
      <c r="J728" s="18"/>
      <c r="K728" s="18"/>
      <c r="L728" s="18"/>
      <c r="M728" s="18"/>
      <c r="N728" s="18"/>
      <c r="O728" s="18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>
      <c r="A729" s="1"/>
      <c r="B729" s="1"/>
      <c r="C729" s="18"/>
      <c r="D729" s="47"/>
      <c r="E729" s="18"/>
      <c r="F729" s="18"/>
      <c r="G729" s="18"/>
      <c r="H729" s="18"/>
      <c r="I729" s="25"/>
      <c r="J729" s="18"/>
      <c r="K729" s="18"/>
      <c r="L729" s="18"/>
      <c r="M729" s="18"/>
      <c r="N729" s="18"/>
      <c r="O729" s="18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>
      <c r="A730" s="1"/>
      <c r="B730" s="1"/>
      <c r="C730" s="18"/>
      <c r="D730" s="47"/>
      <c r="E730" s="18"/>
      <c r="F730" s="18"/>
      <c r="G730" s="18"/>
      <c r="H730" s="18"/>
      <c r="I730" s="25"/>
      <c r="J730" s="18"/>
      <c r="K730" s="18"/>
      <c r="L730" s="18"/>
      <c r="M730" s="18"/>
      <c r="N730" s="18"/>
      <c r="O730" s="18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>
      <c r="A731" s="1"/>
      <c r="B731" s="1"/>
      <c r="C731" s="18"/>
      <c r="D731" s="47"/>
      <c r="E731" s="18"/>
      <c r="F731" s="18"/>
      <c r="G731" s="18"/>
      <c r="H731" s="18"/>
      <c r="I731" s="25"/>
      <c r="J731" s="18"/>
      <c r="K731" s="18"/>
      <c r="L731" s="18"/>
      <c r="M731" s="18"/>
      <c r="N731" s="18"/>
      <c r="O731" s="18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>
      <c r="A732" s="1"/>
      <c r="B732" s="1"/>
      <c r="C732" s="18"/>
      <c r="D732" s="47"/>
      <c r="E732" s="18"/>
      <c r="F732" s="18"/>
      <c r="G732" s="18"/>
      <c r="H732" s="18"/>
      <c r="I732" s="25"/>
      <c r="J732" s="18"/>
      <c r="K732" s="18"/>
      <c r="L732" s="18"/>
      <c r="M732" s="18"/>
      <c r="N732" s="18"/>
      <c r="O732" s="18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>
      <c r="A733" s="1"/>
      <c r="B733" s="1"/>
      <c r="C733" s="18"/>
      <c r="D733" s="47"/>
      <c r="E733" s="18"/>
      <c r="F733" s="18"/>
      <c r="G733" s="18"/>
      <c r="H733" s="18"/>
      <c r="I733" s="25"/>
      <c r="J733" s="18"/>
      <c r="K733" s="18"/>
      <c r="L733" s="18"/>
      <c r="M733" s="18"/>
      <c r="N733" s="18"/>
      <c r="O733" s="18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>
      <c r="A734" s="1"/>
      <c r="B734" s="1"/>
      <c r="C734" s="18"/>
      <c r="D734" s="47"/>
      <c r="E734" s="18"/>
      <c r="F734" s="18"/>
      <c r="G734" s="18"/>
      <c r="H734" s="18"/>
      <c r="I734" s="25"/>
      <c r="J734" s="18"/>
      <c r="K734" s="18"/>
      <c r="L734" s="18"/>
      <c r="M734" s="18"/>
      <c r="N734" s="18"/>
      <c r="O734" s="18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>
      <c r="A735" s="1"/>
      <c r="B735" s="1"/>
      <c r="C735" s="18"/>
      <c r="D735" s="47"/>
      <c r="E735" s="18"/>
      <c r="F735" s="18"/>
      <c r="G735" s="18"/>
      <c r="H735" s="18"/>
      <c r="I735" s="25"/>
      <c r="J735" s="18"/>
      <c r="K735" s="18"/>
      <c r="L735" s="18"/>
      <c r="M735" s="18"/>
      <c r="N735" s="18"/>
      <c r="O735" s="18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>
      <c r="A736" s="1"/>
      <c r="B736" s="1"/>
      <c r="C736" s="18"/>
      <c r="D736" s="47"/>
      <c r="E736" s="18"/>
      <c r="F736" s="18"/>
      <c r="G736" s="18"/>
      <c r="H736" s="18"/>
      <c r="I736" s="25"/>
      <c r="J736" s="18"/>
      <c r="K736" s="18"/>
      <c r="L736" s="18"/>
      <c r="M736" s="18"/>
      <c r="N736" s="18"/>
      <c r="O736" s="18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>
      <c r="A737" s="1"/>
      <c r="B737" s="1"/>
      <c r="C737" s="18"/>
      <c r="D737" s="47"/>
      <c r="E737" s="18"/>
      <c r="F737" s="18"/>
      <c r="G737" s="18"/>
      <c r="H737" s="18"/>
      <c r="I737" s="25"/>
      <c r="J737" s="18"/>
      <c r="K737" s="18"/>
      <c r="L737" s="18"/>
      <c r="M737" s="18"/>
      <c r="N737" s="18"/>
      <c r="O737" s="18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>
      <c r="A738" s="1"/>
      <c r="B738" s="1"/>
      <c r="C738" s="18"/>
      <c r="D738" s="47"/>
      <c r="E738" s="18"/>
      <c r="F738" s="18"/>
      <c r="G738" s="18"/>
      <c r="H738" s="18"/>
      <c r="I738" s="25"/>
      <c r="J738" s="18"/>
      <c r="K738" s="18"/>
      <c r="L738" s="18"/>
      <c r="M738" s="18"/>
      <c r="N738" s="18"/>
      <c r="O738" s="18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>
      <c r="A739" s="1"/>
      <c r="B739" s="1"/>
      <c r="C739" s="18"/>
      <c r="D739" s="47"/>
      <c r="E739" s="18"/>
      <c r="F739" s="18"/>
      <c r="G739" s="18"/>
      <c r="H739" s="18"/>
      <c r="I739" s="25"/>
      <c r="J739" s="18"/>
      <c r="K739" s="18"/>
      <c r="L739" s="18"/>
      <c r="M739" s="18"/>
      <c r="N739" s="18"/>
      <c r="O739" s="18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>
      <c r="A740" s="1"/>
      <c r="B740" s="1"/>
      <c r="C740" s="18"/>
      <c r="D740" s="47"/>
      <c r="E740" s="18"/>
      <c r="F740" s="18"/>
      <c r="G740" s="18"/>
      <c r="H740" s="18"/>
      <c r="I740" s="25"/>
      <c r="J740" s="18"/>
      <c r="K740" s="18"/>
      <c r="L740" s="18"/>
      <c r="M740" s="18"/>
      <c r="N740" s="18"/>
      <c r="O740" s="18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>
      <c r="A741" s="1"/>
      <c r="B741" s="1"/>
      <c r="C741" s="18"/>
      <c r="D741" s="47"/>
      <c r="E741" s="18"/>
      <c r="F741" s="18"/>
      <c r="G741" s="18"/>
      <c r="H741" s="18"/>
      <c r="I741" s="25"/>
      <c r="J741" s="18"/>
      <c r="K741" s="18"/>
      <c r="L741" s="18"/>
      <c r="M741" s="18"/>
      <c r="N741" s="18"/>
      <c r="O741" s="18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>
      <c r="A742" s="1"/>
      <c r="B742" s="1"/>
      <c r="C742" s="18"/>
      <c r="D742" s="47"/>
      <c r="E742" s="18"/>
      <c r="F742" s="18"/>
      <c r="G742" s="18"/>
      <c r="H742" s="18"/>
      <c r="I742" s="25"/>
      <c r="J742" s="18"/>
      <c r="K742" s="18"/>
      <c r="L742" s="18"/>
      <c r="M742" s="18"/>
      <c r="N742" s="18"/>
      <c r="O742" s="18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>
      <c r="A743" s="1"/>
      <c r="B743" s="1"/>
      <c r="C743" s="18"/>
      <c r="D743" s="47"/>
      <c r="E743" s="18"/>
      <c r="F743" s="18"/>
      <c r="G743" s="18"/>
      <c r="H743" s="18"/>
      <c r="I743" s="25"/>
      <c r="J743" s="18"/>
      <c r="K743" s="18"/>
      <c r="L743" s="18"/>
      <c r="M743" s="18"/>
      <c r="N743" s="18"/>
      <c r="O743" s="18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>
      <c r="A744" s="1"/>
      <c r="B744" s="1"/>
      <c r="C744" s="18"/>
      <c r="D744" s="47"/>
      <c r="E744" s="18"/>
      <c r="F744" s="18"/>
      <c r="G744" s="18"/>
      <c r="H744" s="18"/>
      <c r="I744" s="25"/>
      <c r="J744" s="18"/>
      <c r="K744" s="18"/>
      <c r="L744" s="18"/>
      <c r="M744" s="18"/>
      <c r="N744" s="18"/>
      <c r="O744" s="18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>
      <c r="A745" s="1"/>
      <c r="B745" s="1"/>
      <c r="C745" s="18"/>
      <c r="D745" s="47"/>
      <c r="E745" s="18"/>
      <c r="F745" s="18"/>
      <c r="G745" s="18"/>
      <c r="H745" s="18"/>
      <c r="I745" s="25"/>
      <c r="J745" s="18"/>
      <c r="K745" s="18"/>
      <c r="L745" s="18"/>
      <c r="M745" s="18"/>
      <c r="N745" s="18"/>
      <c r="O745" s="18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>
      <c r="A746" s="1"/>
      <c r="B746" s="1"/>
      <c r="C746" s="18"/>
      <c r="D746" s="47"/>
      <c r="E746" s="18"/>
      <c r="F746" s="18"/>
      <c r="G746" s="18"/>
      <c r="H746" s="18"/>
      <c r="I746" s="25"/>
      <c r="J746" s="18"/>
      <c r="K746" s="18"/>
      <c r="L746" s="18"/>
      <c r="M746" s="18"/>
      <c r="N746" s="18"/>
      <c r="O746" s="18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>
      <c r="A747" s="1"/>
      <c r="B747" s="1"/>
      <c r="C747" s="18"/>
      <c r="D747" s="47"/>
      <c r="E747" s="18"/>
      <c r="F747" s="18"/>
      <c r="G747" s="18"/>
      <c r="H747" s="18"/>
      <c r="I747" s="25"/>
      <c r="J747" s="18"/>
      <c r="K747" s="18"/>
      <c r="L747" s="18"/>
      <c r="M747" s="18"/>
      <c r="N747" s="18"/>
      <c r="O747" s="18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>
      <c r="A748" s="1"/>
      <c r="B748" s="1"/>
      <c r="C748" s="18"/>
      <c r="D748" s="47"/>
      <c r="E748" s="18"/>
      <c r="F748" s="18"/>
      <c r="G748" s="18"/>
      <c r="H748" s="18"/>
      <c r="I748" s="25"/>
      <c r="J748" s="18"/>
      <c r="K748" s="18"/>
      <c r="L748" s="18"/>
      <c r="M748" s="18"/>
      <c r="N748" s="18"/>
      <c r="O748" s="18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>
      <c r="A749" s="1"/>
      <c r="B749" s="1"/>
      <c r="C749" s="18"/>
      <c r="D749" s="47"/>
      <c r="E749" s="18"/>
      <c r="F749" s="18"/>
      <c r="G749" s="18"/>
      <c r="H749" s="18"/>
      <c r="I749" s="25"/>
      <c r="J749" s="18"/>
      <c r="K749" s="18"/>
      <c r="L749" s="18"/>
      <c r="M749" s="18"/>
      <c r="N749" s="18"/>
      <c r="O749" s="18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>
      <c r="A750" s="1"/>
      <c r="B750" s="1"/>
      <c r="C750" s="18"/>
      <c r="D750" s="47"/>
      <c r="E750" s="18"/>
      <c r="F750" s="18"/>
      <c r="G750" s="18"/>
      <c r="H750" s="18"/>
      <c r="I750" s="25"/>
      <c r="J750" s="18"/>
      <c r="K750" s="18"/>
      <c r="L750" s="18"/>
      <c r="M750" s="18"/>
      <c r="N750" s="18"/>
      <c r="O750" s="18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>
      <c r="A751" s="1"/>
      <c r="B751" s="1"/>
      <c r="C751" s="18"/>
      <c r="D751" s="47"/>
      <c r="E751" s="18"/>
      <c r="F751" s="18"/>
      <c r="G751" s="18"/>
      <c r="H751" s="18"/>
      <c r="I751" s="25"/>
      <c r="J751" s="18"/>
      <c r="K751" s="18"/>
      <c r="L751" s="18"/>
      <c r="M751" s="18"/>
      <c r="N751" s="18"/>
      <c r="O751" s="18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>
      <c r="A752" s="1"/>
      <c r="B752" s="1"/>
      <c r="C752" s="18"/>
      <c r="D752" s="47"/>
      <c r="E752" s="18"/>
      <c r="F752" s="18"/>
      <c r="G752" s="18"/>
      <c r="H752" s="18"/>
      <c r="I752" s="25"/>
      <c r="J752" s="18"/>
      <c r="K752" s="18"/>
      <c r="L752" s="18"/>
      <c r="M752" s="18"/>
      <c r="N752" s="18"/>
      <c r="O752" s="18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>
      <c r="A753" s="1"/>
      <c r="B753" s="1"/>
      <c r="C753" s="18"/>
      <c r="D753" s="47"/>
      <c r="E753" s="18"/>
      <c r="F753" s="18"/>
      <c r="G753" s="18"/>
      <c r="H753" s="18"/>
      <c r="I753" s="25"/>
      <c r="J753" s="18"/>
      <c r="K753" s="18"/>
      <c r="L753" s="18"/>
      <c r="M753" s="18"/>
      <c r="N753" s="18"/>
      <c r="O753" s="18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>
      <c r="A754" s="1"/>
      <c r="B754" s="1"/>
      <c r="C754" s="18"/>
      <c r="D754" s="47"/>
      <c r="E754" s="18"/>
      <c r="F754" s="18"/>
      <c r="G754" s="18"/>
      <c r="H754" s="18"/>
      <c r="I754" s="25"/>
      <c r="J754" s="18"/>
      <c r="K754" s="18"/>
      <c r="L754" s="18"/>
      <c r="M754" s="18"/>
      <c r="N754" s="18"/>
      <c r="O754" s="18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>
      <c r="A755" s="1"/>
      <c r="B755" s="1"/>
      <c r="C755" s="18"/>
      <c r="D755" s="47"/>
      <c r="E755" s="18"/>
      <c r="F755" s="18"/>
      <c r="G755" s="18"/>
      <c r="H755" s="18"/>
      <c r="I755" s="25"/>
      <c r="J755" s="18"/>
      <c r="K755" s="18"/>
      <c r="L755" s="18"/>
      <c r="M755" s="18"/>
      <c r="N755" s="18"/>
      <c r="O755" s="18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>
      <c r="A756" s="1"/>
      <c r="B756" s="1"/>
      <c r="C756" s="18"/>
      <c r="D756" s="47"/>
      <c r="E756" s="18"/>
      <c r="F756" s="18"/>
      <c r="G756" s="18"/>
      <c r="H756" s="18"/>
      <c r="I756" s="25"/>
      <c r="J756" s="18"/>
      <c r="K756" s="18"/>
      <c r="L756" s="18"/>
      <c r="M756" s="18"/>
      <c r="N756" s="18"/>
      <c r="O756" s="18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>
      <c r="A757" s="1"/>
      <c r="B757" s="1"/>
      <c r="C757" s="18"/>
      <c r="D757" s="47"/>
      <c r="E757" s="18"/>
      <c r="F757" s="18"/>
      <c r="G757" s="18"/>
      <c r="H757" s="18"/>
      <c r="I757" s="25"/>
      <c r="J757" s="18"/>
      <c r="K757" s="18"/>
      <c r="L757" s="18"/>
      <c r="M757" s="18"/>
      <c r="N757" s="18"/>
      <c r="O757" s="18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>
      <c r="A758" s="1"/>
      <c r="B758" s="1"/>
      <c r="C758" s="18"/>
      <c r="D758" s="47"/>
      <c r="E758" s="18"/>
      <c r="F758" s="18"/>
      <c r="G758" s="18"/>
      <c r="H758" s="18"/>
      <c r="I758" s="25"/>
      <c r="J758" s="18"/>
      <c r="K758" s="18"/>
      <c r="L758" s="18"/>
      <c r="M758" s="18"/>
      <c r="N758" s="18"/>
      <c r="O758" s="18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>
      <c r="A759" s="1"/>
      <c r="B759" s="1"/>
      <c r="C759" s="18"/>
      <c r="D759" s="47"/>
      <c r="E759" s="18"/>
      <c r="F759" s="18"/>
      <c r="G759" s="18"/>
      <c r="H759" s="18"/>
      <c r="I759" s="25"/>
      <c r="J759" s="18"/>
      <c r="K759" s="18"/>
      <c r="L759" s="18"/>
      <c r="M759" s="18"/>
      <c r="N759" s="18"/>
      <c r="O759" s="18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>
      <c r="A760" s="1"/>
      <c r="B760" s="1"/>
      <c r="C760" s="18"/>
      <c r="D760" s="47"/>
      <c r="E760" s="18"/>
      <c r="F760" s="18"/>
      <c r="G760" s="18"/>
      <c r="H760" s="18"/>
      <c r="I760" s="25"/>
      <c r="J760" s="18"/>
      <c r="K760" s="18"/>
      <c r="L760" s="18"/>
      <c r="M760" s="18"/>
      <c r="N760" s="18"/>
      <c r="O760" s="18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>
      <c r="A761" s="1"/>
      <c r="B761" s="1"/>
      <c r="C761" s="18"/>
      <c r="D761" s="47"/>
      <c r="E761" s="18"/>
      <c r="F761" s="18"/>
      <c r="G761" s="18"/>
      <c r="H761" s="18"/>
      <c r="I761" s="25"/>
      <c r="J761" s="18"/>
      <c r="K761" s="18"/>
      <c r="L761" s="18"/>
      <c r="M761" s="18"/>
      <c r="N761" s="18"/>
      <c r="O761" s="18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>
      <c r="A762" s="1"/>
      <c r="B762" s="1"/>
      <c r="C762" s="18"/>
      <c r="D762" s="47"/>
      <c r="E762" s="18"/>
      <c r="F762" s="18"/>
      <c r="G762" s="18"/>
      <c r="H762" s="18"/>
      <c r="I762" s="25"/>
      <c r="J762" s="18"/>
      <c r="K762" s="18"/>
      <c r="L762" s="18"/>
      <c r="M762" s="18"/>
      <c r="N762" s="18"/>
      <c r="O762" s="18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>
      <c r="A763" s="1"/>
      <c r="B763" s="1"/>
      <c r="C763" s="18"/>
      <c r="D763" s="47"/>
      <c r="E763" s="18"/>
      <c r="F763" s="18"/>
      <c r="G763" s="18"/>
      <c r="H763" s="18"/>
      <c r="I763" s="25"/>
      <c r="J763" s="18"/>
      <c r="K763" s="18"/>
      <c r="L763" s="18"/>
      <c r="M763" s="18"/>
      <c r="N763" s="18"/>
      <c r="O763" s="18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>
      <c r="A764" s="1"/>
      <c r="B764" s="1"/>
      <c r="C764" s="18"/>
      <c r="D764" s="47"/>
      <c r="E764" s="18"/>
      <c r="F764" s="18"/>
      <c r="G764" s="18"/>
      <c r="H764" s="18"/>
      <c r="I764" s="25"/>
      <c r="J764" s="18"/>
      <c r="K764" s="18"/>
      <c r="L764" s="18"/>
      <c r="M764" s="18"/>
      <c r="N764" s="18"/>
      <c r="O764" s="18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>
      <c r="A765" s="1"/>
      <c r="B765" s="1"/>
      <c r="C765" s="18"/>
      <c r="D765" s="47"/>
      <c r="E765" s="18"/>
      <c r="F765" s="18"/>
      <c r="G765" s="18"/>
      <c r="H765" s="18"/>
      <c r="I765" s="25"/>
      <c r="J765" s="18"/>
      <c r="K765" s="18"/>
      <c r="L765" s="18"/>
      <c r="M765" s="18"/>
      <c r="N765" s="18"/>
      <c r="O765" s="18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>
      <c r="A766" s="1"/>
      <c r="B766" s="1"/>
      <c r="C766" s="18"/>
      <c r="D766" s="47"/>
      <c r="E766" s="18"/>
      <c r="F766" s="18"/>
      <c r="G766" s="18"/>
      <c r="H766" s="18"/>
      <c r="I766" s="25"/>
      <c r="J766" s="18"/>
      <c r="K766" s="18"/>
      <c r="L766" s="18"/>
      <c r="M766" s="18"/>
      <c r="N766" s="18"/>
      <c r="O766" s="18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>
      <c r="A767" s="1"/>
      <c r="B767" s="1"/>
      <c r="C767" s="18"/>
      <c r="D767" s="47"/>
      <c r="E767" s="18"/>
      <c r="F767" s="18"/>
      <c r="G767" s="18"/>
      <c r="H767" s="18"/>
      <c r="I767" s="25"/>
      <c r="J767" s="18"/>
      <c r="K767" s="18"/>
      <c r="L767" s="18"/>
      <c r="M767" s="18"/>
      <c r="N767" s="18"/>
      <c r="O767" s="18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>
      <c r="A768" s="1"/>
      <c r="B768" s="1"/>
      <c r="C768" s="18"/>
      <c r="D768" s="47"/>
      <c r="E768" s="18"/>
      <c r="F768" s="18"/>
      <c r="G768" s="18"/>
      <c r="H768" s="18"/>
      <c r="I768" s="25"/>
      <c r="J768" s="18"/>
      <c r="K768" s="18"/>
      <c r="L768" s="18"/>
      <c r="M768" s="18"/>
      <c r="N768" s="18"/>
      <c r="O768" s="18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>
      <c r="A769" s="1"/>
      <c r="B769" s="1"/>
      <c r="C769" s="18"/>
      <c r="D769" s="47"/>
      <c r="E769" s="18"/>
      <c r="F769" s="18"/>
      <c r="G769" s="18"/>
      <c r="H769" s="18"/>
      <c r="I769" s="25"/>
      <c r="J769" s="18"/>
      <c r="K769" s="18"/>
      <c r="L769" s="18"/>
      <c r="M769" s="18"/>
      <c r="N769" s="18"/>
      <c r="O769" s="18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>
      <c r="A770" s="1"/>
      <c r="B770" s="1"/>
      <c r="C770" s="18"/>
      <c r="D770" s="47"/>
      <c r="E770" s="18"/>
      <c r="F770" s="18"/>
      <c r="G770" s="18"/>
      <c r="H770" s="18"/>
      <c r="I770" s="25"/>
      <c r="J770" s="18"/>
      <c r="K770" s="18"/>
      <c r="L770" s="18"/>
      <c r="M770" s="18"/>
      <c r="N770" s="18"/>
      <c r="O770" s="18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>
      <c r="A771" s="1"/>
      <c r="B771" s="1"/>
      <c r="C771" s="18"/>
      <c r="D771" s="47"/>
      <c r="E771" s="18"/>
      <c r="F771" s="18"/>
      <c r="G771" s="18"/>
      <c r="H771" s="18"/>
      <c r="I771" s="25"/>
      <c r="J771" s="18"/>
      <c r="K771" s="18"/>
      <c r="L771" s="18"/>
      <c r="M771" s="18"/>
      <c r="N771" s="18"/>
      <c r="O771" s="18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>
      <c r="A772" s="1"/>
      <c r="B772" s="1"/>
      <c r="C772" s="18"/>
      <c r="D772" s="47"/>
      <c r="E772" s="18"/>
      <c r="F772" s="18"/>
      <c r="G772" s="18"/>
      <c r="H772" s="18"/>
      <c r="I772" s="25"/>
      <c r="J772" s="18"/>
      <c r="K772" s="18"/>
      <c r="L772" s="18"/>
      <c r="M772" s="18"/>
      <c r="N772" s="18"/>
      <c r="O772" s="18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>
      <c r="A773" s="1"/>
      <c r="B773" s="1"/>
      <c r="C773" s="18"/>
      <c r="D773" s="47"/>
      <c r="E773" s="18"/>
      <c r="F773" s="18"/>
      <c r="G773" s="18"/>
      <c r="H773" s="18"/>
      <c r="I773" s="25"/>
      <c r="J773" s="18"/>
      <c r="K773" s="18"/>
      <c r="L773" s="18"/>
      <c r="M773" s="18"/>
      <c r="N773" s="18"/>
      <c r="O773" s="18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>
      <c r="A774" s="1"/>
      <c r="B774" s="1"/>
      <c r="C774" s="18"/>
      <c r="D774" s="47"/>
      <c r="E774" s="18"/>
      <c r="F774" s="18"/>
      <c r="G774" s="18"/>
      <c r="H774" s="18"/>
      <c r="I774" s="25"/>
      <c r="J774" s="18"/>
      <c r="K774" s="18"/>
      <c r="L774" s="18"/>
      <c r="M774" s="18"/>
      <c r="N774" s="18"/>
      <c r="O774" s="18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>
      <c r="A775" s="1"/>
      <c r="B775" s="1"/>
      <c r="C775" s="18"/>
      <c r="D775" s="47"/>
      <c r="E775" s="18"/>
      <c r="F775" s="18"/>
      <c r="G775" s="18"/>
      <c r="H775" s="18"/>
      <c r="I775" s="25"/>
      <c r="J775" s="18"/>
      <c r="K775" s="18"/>
      <c r="L775" s="18"/>
      <c r="M775" s="18"/>
      <c r="N775" s="18"/>
      <c r="O775" s="18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>
      <c r="A776" s="1"/>
      <c r="B776" s="1"/>
      <c r="C776" s="18"/>
      <c r="D776" s="47"/>
      <c r="E776" s="18"/>
      <c r="F776" s="18"/>
      <c r="G776" s="18"/>
      <c r="H776" s="18"/>
      <c r="I776" s="25"/>
      <c r="J776" s="18"/>
      <c r="K776" s="18"/>
      <c r="L776" s="18"/>
      <c r="M776" s="18"/>
      <c r="N776" s="18"/>
      <c r="O776" s="18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>
      <c r="A777" s="1"/>
      <c r="B777" s="1"/>
      <c r="C777" s="18"/>
      <c r="D777" s="47"/>
      <c r="E777" s="18"/>
      <c r="F777" s="18"/>
      <c r="G777" s="18"/>
      <c r="H777" s="18"/>
      <c r="I777" s="25"/>
      <c r="J777" s="18"/>
      <c r="K777" s="18"/>
      <c r="L777" s="18"/>
      <c r="M777" s="18"/>
      <c r="N777" s="18"/>
      <c r="O777" s="18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>
      <c r="A778" s="1"/>
      <c r="B778" s="1"/>
      <c r="C778" s="18"/>
      <c r="D778" s="47"/>
      <c r="E778" s="18"/>
      <c r="F778" s="18"/>
      <c r="G778" s="18"/>
      <c r="H778" s="18"/>
      <c r="I778" s="25"/>
      <c r="J778" s="18"/>
      <c r="K778" s="18"/>
      <c r="L778" s="18"/>
      <c r="M778" s="18"/>
      <c r="N778" s="18"/>
      <c r="O778" s="18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>
      <c r="A779" s="1"/>
      <c r="B779" s="1"/>
      <c r="C779" s="18"/>
      <c r="D779" s="47"/>
      <c r="E779" s="18"/>
      <c r="F779" s="18"/>
      <c r="G779" s="18"/>
      <c r="H779" s="18"/>
      <c r="I779" s="25"/>
      <c r="J779" s="18"/>
      <c r="K779" s="18"/>
      <c r="L779" s="18"/>
      <c r="M779" s="18"/>
      <c r="N779" s="18"/>
      <c r="O779" s="18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>
      <c r="A780" s="1"/>
      <c r="B780" s="1"/>
      <c r="C780" s="18"/>
      <c r="D780" s="47"/>
      <c r="E780" s="18"/>
      <c r="F780" s="18"/>
      <c r="G780" s="18"/>
      <c r="H780" s="18"/>
      <c r="I780" s="25"/>
      <c r="J780" s="18"/>
      <c r="K780" s="18"/>
      <c r="L780" s="18"/>
      <c r="M780" s="18"/>
      <c r="N780" s="18"/>
      <c r="O780" s="18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>
      <c r="A781" s="1"/>
      <c r="B781" s="1"/>
      <c r="C781" s="18"/>
      <c r="D781" s="47"/>
      <c r="E781" s="18"/>
      <c r="F781" s="18"/>
      <c r="G781" s="18"/>
      <c r="H781" s="18"/>
      <c r="I781" s="25"/>
      <c r="J781" s="18"/>
      <c r="K781" s="18"/>
      <c r="L781" s="18"/>
      <c r="M781" s="18"/>
      <c r="N781" s="18"/>
      <c r="O781" s="18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>
      <c r="A782" s="1"/>
      <c r="B782" s="1"/>
      <c r="C782" s="18"/>
      <c r="D782" s="47"/>
      <c r="E782" s="18"/>
      <c r="F782" s="18"/>
      <c r="G782" s="18"/>
      <c r="H782" s="18"/>
      <c r="I782" s="25"/>
      <c r="J782" s="18"/>
      <c r="K782" s="18"/>
      <c r="L782" s="18"/>
      <c r="M782" s="18"/>
      <c r="N782" s="18"/>
      <c r="O782" s="18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>
      <c r="A783" s="1"/>
      <c r="B783" s="1"/>
      <c r="C783" s="18"/>
      <c r="D783" s="47"/>
      <c r="E783" s="18"/>
      <c r="F783" s="18"/>
      <c r="G783" s="18"/>
      <c r="H783" s="18"/>
      <c r="I783" s="25"/>
      <c r="J783" s="18"/>
      <c r="K783" s="18"/>
      <c r="L783" s="18"/>
      <c r="M783" s="18"/>
      <c r="N783" s="18"/>
      <c r="O783" s="18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>
      <c r="A784" s="1"/>
      <c r="B784" s="1"/>
      <c r="C784" s="18"/>
      <c r="D784" s="47"/>
      <c r="E784" s="18"/>
      <c r="F784" s="18"/>
      <c r="G784" s="18"/>
      <c r="H784" s="18"/>
      <c r="I784" s="25"/>
      <c r="J784" s="18"/>
      <c r="K784" s="18"/>
      <c r="L784" s="18"/>
      <c r="M784" s="18"/>
      <c r="N784" s="18"/>
      <c r="O784" s="18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>
      <c r="A785" s="1"/>
      <c r="B785" s="1"/>
      <c r="C785" s="18"/>
      <c r="D785" s="47"/>
      <c r="E785" s="18"/>
      <c r="F785" s="18"/>
      <c r="G785" s="18"/>
      <c r="H785" s="18"/>
      <c r="I785" s="25"/>
      <c r="J785" s="18"/>
      <c r="K785" s="18"/>
      <c r="L785" s="18"/>
      <c r="M785" s="18"/>
      <c r="N785" s="18"/>
      <c r="O785" s="18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>
      <c r="A786" s="1"/>
      <c r="B786" s="1"/>
      <c r="C786" s="18"/>
      <c r="D786" s="47"/>
      <c r="E786" s="18"/>
      <c r="F786" s="18"/>
      <c r="G786" s="18"/>
      <c r="H786" s="18"/>
      <c r="I786" s="25"/>
      <c r="J786" s="18"/>
      <c r="K786" s="18"/>
      <c r="L786" s="18"/>
      <c r="M786" s="18"/>
      <c r="N786" s="18"/>
      <c r="O786" s="18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>
      <c r="A787" s="1"/>
      <c r="B787" s="1"/>
      <c r="C787" s="18"/>
      <c r="D787" s="47"/>
      <c r="E787" s="18"/>
      <c r="F787" s="18"/>
      <c r="G787" s="18"/>
      <c r="H787" s="18"/>
      <c r="I787" s="25"/>
      <c r="J787" s="18"/>
      <c r="K787" s="18"/>
      <c r="L787" s="18"/>
      <c r="M787" s="18"/>
      <c r="N787" s="18"/>
      <c r="O787" s="18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>
      <c r="A788" s="1"/>
      <c r="B788" s="1"/>
      <c r="C788" s="18"/>
      <c r="D788" s="47"/>
      <c r="E788" s="18"/>
      <c r="F788" s="18"/>
      <c r="G788" s="18"/>
      <c r="H788" s="18"/>
      <c r="I788" s="25"/>
      <c r="J788" s="18"/>
      <c r="K788" s="18"/>
      <c r="L788" s="18"/>
      <c r="M788" s="18"/>
      <c r="N788" s="18"/>
      <c r="O788" s="18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>
      <c r="A789" s="1"/>
      <c r="B789" s="1"/>
      <c r="C789" s="18"/>
      <c r="D789" s="47"/>
      <c r="E789" s="18"/>
      <c r="F789" s="18"/>
      <c r="G789" s="18"/>
      <c r="H789" s="18"/>
      <c r="I789" s="25"/>
      <c r="J789" s="18"/>
      <c r="K789" s="18"/>
      <c r="L789" s="18"/>
      <c r="M789" s="18"/>
      <c r="N789" s="18"/>
      <c r="O789" s="18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>
      <c r="A790" s="1"/>
      <c r="B790" s="1"/>
      <c r="C790" s="18"/>
      <c r="D790" s="47"/>
      <c r="E790" s="18"/>
      <c r="F790" s="18"/>
      <c r="G790" s="18"/>
      <c r="H790" s="18"/>
      <c r="I790" s="25"/>
      <c r="J790" s="18"/>
      <c r="K790" s="18"/>
      <c r="L790" s="18"/>
      <c r="M790" s="18"/>
      <c r="N790" s="18"/>
      <c r="O790" s="18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>
      <c r="A791" s="1"/>
      <c r="B791" s="1"/>
      <c r="C791" s="18"/>
      <c r="D791" s="47"/>
      <c r="E791" s="18"/>
      <c r="F791" s="18"/>
      <c r="G791" s="18"/>
      <c r="H791" s="18"/>
      <c r="I791" s="25"/>
      <c r="J791" s="18"/>
      <c r="K791" s="18"/>
      <c r="L791" s="18"/>
      <c r="M791" s="18"/>
      <c r="N791" s="18"/>
      <c r="O791" s="18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>
      <c r="A792" s="1"/>
      <c r="B792" s="1"/>
      <c r="C792" s="18"/>
      <c r="D792" s="47"/>
      <c r="E792" s="18"/>
      <c r="F792" s="18"/>
      <c r="G792" s="18"/>
      <c r="H792" s="18"/>
      <c r="I792" s="25"/>
      <c r="J792" s="18"/>
      <c r="K792" s="18"/>
      <c r="L792" s="18"/>
      <c r="M792" s="18"/>
      <c r="N792" s="18"/>
      <c r="O792" s="18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>
      <c r="A793" s="1"/>
      <c r="B793" s="1"/>
      <c r="C793" s="18"/>
      <c r="D793" s="47"/>
      <c r="E793" s="18"/>
      <c r="F793" s="18"/>
      <c r="G793" s="18"/>
      <c r="H793" s="18"/>
      <c r="I793" s="25"/>
      <c r="J793" s="18"/>
      <c r="K793" s="18"/>
      <c r="L793" s="18"/>
      <c r="M793" s="18"/>
      <c r="N793" s="18"/>
      <c r="O793" s="18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>
      <c r="A794" s="1"/>
      <c r="B794" s="1"/>
      <c r="C794" s="18"/>
      <c r="D794" s="47"/>
      <c r="E794" s="18"/>
      <c r="F794" s="18"/>
      <c r="G794" s="18"/>
      <c r="H794" s="18"/>
      <c r="I794" s="25"/>
      <c r="J794" s="18"/>
      <c r="K794" s="18"/>
      <c r="L794" s="18"/>
      <c r="M794" s="18"/>
      <c r="N794" s="18"/>
      <c r="O794" s="18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>
      <c r="A795" s="1"/>
      <c r="B795" s="1"/>
      <c r="C795" s="18"/>
      <c r="D795" s="47"/>
      <c r="E795" s="18"/>
      <c r="F795" s="18"/>
      <c r="G795" s="18"/>
      <c r="H795" s="18"/>
      <c r="I795" s="25"/>
      <c r="J795" s="18"/>
      <c r="K795" s="18"/>
      <c r="L795" s="18"/>
      <c r="M795" s="18"/>
      <c r="N795" s="18"/>
      <c r="O795" s="18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>
      <c r="A796" s="1"/>
      <c r="B796" s="1"/>
      <c r="C796" s="18"/>
      <c r="D796" s="47"/>
      <c r="E796" s="18"/>
      <c r="F796" s="18"/>
      <c r="G796" s="18"/>
      <c r="H796" s="18"/>
      <c r="I796" s="25"/>
      <c r="J796" s="18"/>
      <c r="K796" s="18"/>
      <c r="L796" s="18"/>
      <c r="M796" s="18"/>
      <c r="N796" s="18"/>
      <c r="O796" s="18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>
      <c r="A797" s="1"/>
      <c r="B797" s="1"/>
      <c r="C797" s="18"/>
      <c r="D797" s="47"/>
      <c r="E797" s="18"/>
      <c r="F797" s="18"/>
      <c r="G797" s="18"/>
      <c r="H797" s="18"/>
      <c r="I797" s="25"/>
      <c r="J797" s="18"/>
      <c r="K797" s="18"/>
      <c r="L797" s="18"/>
      <c r="M797" s="18"/>
      <c r="N797" s="18"/>
      <c r="O797" s="18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>
      <c r="A798" s="1"/>
      <c r="B798" s="1"/>
      <c r="C798" s="18"/>
      <c r="D798" s="47"/>
      <c r="E798" s="18"/>
      <c r="F798" s="18"/>
      <c r="G798" s="18"/>
      <c r="H798" s="18"/>
      <c r="I798" s="25"/>
      <c r="J798" s="18"/>
      <c r="K798" s="18"/>
      <c r="L798" s="18"/>
      <c r="M798" s="18"/>
      <c r="N798" s="18"/>
      <c r="O798" s="18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>
      <c r="A799" s="1"/>
      <c r="B799" s="1"/>
      <c r="C799" s="18"/>
      <c r="D799" s="47"/>
      <c r="E799" s="18"/>
      <c r="F799" s="18"/>
      <c r="G799" s="18"/>
      <c r="H799" s="18"/>
      <c r="I799" s="25"/>
      <c r="J799" s="18"/>
      <c r="K799" s="18"/>
      <c r="L799" s="18"/>
      <c r="M799" s="18"/>
      <c r="N799" s="18"/>
      <c r="O799" s="18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>
      <c r="A800" s="1"/>
      <c r="B800" s="1"/>
      <c r="C800" s="18"/>
      <c r="D800" s="47"/>
      <c r="E800" s="18"/>
      <c r="F800" s="18"/>
      <c r="G800" s="18"/>
      <c r="H800" s="18"/>
      <c r="I800" s="25"/>
      <c r="J800" s="18"/>
      <c r="K800" s="18"/>
      <c r="L800" s="18"/>
      <c r="M800" s="18"/>
      <c r="N800" s="18"/>
      <c r="O800" s="18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>
      <c r="A801" s="1"/>
      <c r="B801" s="1"/>
      <c r="C801" s="18"/>
      <c r="D801" s="47"/>
      <c r="E801" s="18"/>
      <c r="F801" s="18"/>
      <c r="G801" s="18"/>
      <c r="H801" s="18"/>
      <c r="I801" s="25"/>
      <c r="J801" s="18"/>
      <c r="K801" s="18"/>
      <c r="L801" s="18"/>
      <c r="M801" s="18"/>
      <c r="N801" s="18"/>
      <c r="O801" s="18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>
      <c r="A802" s="1"/>
      <c r="B802" s="1"/>
      <c r="C802" s="18"/>
      <c r="D802" s="47"/>
      <c r="E802" s="18"/>
      <c r="F802" s="18"/>
      <c r="G802" s="18"/>
      <c r="H802" s="18"/>
      <c r="I802" s="25"/>
      <c r="J802" s="18"/>
      <c r="K802" s="18"/>
      <c r="L802" s="18"/>
      <c r="M802" s="18"/>
      <c r="N802" s="18"/>
      <c r="O802" s="18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>
      <c r="A803" s="1"/>
      <c r="B803" s="1"/>
      <c r="C803" s="18"/>
      <c r="D803" s="47"/>
      <c r="E803" s="18"/>
      <c r="F803" s="18"/>
      <c r="G803" s="18"/>
      <c r="H803" s="18"/>
      <c r="I803" s="25"/>
      <c r="J803" s="18"/>
      <c r="K803" s="18"/>
      <c r="L803" s="18"/>
      <c r="M803" s="18"/>
      <c r="N803" s="18"/>
      <c r="O803" s="18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>
      <c r="A804" s="1"/>
      <c r="B804" s="1"/>
      <c r="C804" s="18"/>
      <c r="D804" s="47"/>
      <c r="E804" s="18"/>
      <c r="F804" s="18"/>
      <c r="G804" s="18"/>
      <c r="H804" s="18"/>
      <c r="I804" s="25"/>
      <c r="J804" s="18"/>
      <c r="K804" s="18"/>
      <c r="L804" s="18"/>
      <c r="M804" s="18"/>
      <c r="N804" s="18"/>
      <c r="O804" s="18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>
      <c r="A805" s="1"/>
      <c r="B805" s="1"/>
      <c r="C805" s="18"/>
      <c r="D805" s="47"/>
      <c r="E805" s="18"/>
      <c r="F805" s="18"/>
      <c r="G805" s="18"/>
      <c r="H805" s="18"/>
      <c r="I805" s="25"/>
      <c r="J805" s="18"/>
      <c r="K805" s="18"/>
      <c r="L805" s="18"/>
      <c r="M805" s="18"/>
      <c r="N805" s="18"/>
      <c r="O805" s="18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>
      <c r="A806" s="1"/>
      <c r="B806" s="1"/>
      <c r="C806" s="18"/>
      <c r="D806" s="47"/>
      <c r="E806" s="18"/>
      <c r="F806" s="18"/>
      <c r="G806" s="18"/>
      <c r="H806" s="18"/>
      <c r="I806" s="25"/>
      <c r="J806" s="18"/>
      <c r="K806" s="18"/>
      <c r="L806" s="18"/>
      <c r="M806" s="18"/>
      <c r="N806" s="18"/>
      <c r="O806" s="18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>
      <c r="A807" s="1"/>
      <c r="B807" s="1"/>
      <c r="C807" s="18"/>
      <c r="D807" s="47"/>
      <c r="E807" s="18"/>
      <c r="F807" s="18"/>
      <c r="G807" s="18"/>
      <c r="H807" s="18"/>
      <c r="I807" s="25"/>
      <c r="J807" s="18"/>
      <c r="K807" s="18"/>
      <c r="L807" s="18"/>
      <c r="M807" s="18"/>
      <c r="N807" s="18"/>
      <c r="O807" s="18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>
      <c r="A808" s="1"/>
      <c r="B808" s="1"/>
      <c r="C808" s="18"/>
      <c r="D808" s="47"/>
      <c r="E808" s="18"/>
      <c r="F808" s="18"/>
      <c r="G808" s="18"/>
      <c r="H808" s="18"/>
      <c r="I808" s="25"/>
      <c r="J808" s="18"/>
      <c r="K808" s="18"/>
      <c r="L808" s="18"/>
      <c r="M808" s="18"/>
      <c r="N808" s="18"/>
      <c r="O808" s="18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>
      <c r="A809" s="1"/>
      <c r="B809" s="1"/>
      <c r="C809" s="18"/>
      <c r="D809" s="47"/>
      <c r="E809" s="18"/>
      <c r="F809" s="18"/>
      <c r="G809" s="18"/>
      <c r="H809" s="18"/>
      <c r="I809" s="25"/>
      <c r="J809" s="18"/>
      <c r="K809" s="18"/>
      <c r="L809" s="18"/>
      <c r="M809" s="18"/>
      <c r="N809" s="18"/>
      <c r="O809" s="18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>
      <c r="A810" s="1"/>
      <c r="B810" s="1"/>
      <c r="C810" s="18"/>
      <c r="D810" s="47"/>
      <c r="E810" s="18"/>
      <c r="F810" s="18"/>
      <c r="G810" s="18"/>
      <c r="H810" s="18"/>
      <c r="I810" s="25"/>
      <c r="J810" s="18"/>
      <c r="K810" s="18"/>
      <c r="L810" s="18"/>
      <c r="M810" s="18"/>
      <c r="N810" s="18"/>
      <c r="O810" s="18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>
      <c r="A811" s="1"/>
      <c r="B811" s="1"/>
      <c r="C811" s="18"/>
      <c r="D811" s="47"/>
      <c r="E811" s="18"/>
      <c r="F811" s="18"/>
      <c r="G811" s="18"/>
      <c r="H811" s="18"/>
      <c r="I811" s="25"/>
      <c r="J811" s="18"/>
      <c r="K811" s="18"/>
      <c r="L811" s="18"/>
      <c r="M811" s="18"/>
      <c r="N811" s="18"/>
      <c r="O811" s="18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>
      <c r="A812" s="1"/>
      <c r="B812" s="1"/>
      <c r="C812" s="18"/>
      <c r="D812" s="47"/>
      <c r="E812" s="18"/>
      <c r="F812" s="18"/>
      <c r="G812" s="18"/>
      <c r="H812" s="18"/>
      <c r="I812" s="25"/>
      <c r="J812" s="18"/>
      <c r="K812" s="18"/>
      <c r="L812" s="18"/>
      <c r="M812" s="18"/>
      <c r="N812" s="18"/>
      <c r="O812" s="18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>
      <c r="A813" s="1"/>
      <c r="B813" s="1"/>
      <c r="C813" s="18"/>
      <c r="D813" s="47"/>
      <c r="E813" s="18"/>
      <c r="F813" s="18"/>
      <c r="G813" s="18"/>
      <c r="H813" s="18"/>
      <c r="I813" s="25"/>
      <c r="J813" s="18"/>
      <c r="K813" s="18"/>
      <c r="L813" s="18"/>
      <c r="M813" s="18"/>
      <c r="N813" s="18"/>
      <c r="O813" s="18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>
      <c r="A814" s="1"/>
      <c r="B814" s="1"/>
      <c r="C814" s="18"/>
      <c r="D814" s="47"/>
      <c r="E814" s="18"/>
      <c r="F814" s="18"/>
      <c r="G814" s="18"/>
      <c r="H814" s="18"/>
      <c r="I814" s="25"/>
      <c r="J814" s="18"/>
      <c r="K814" s="18"/>
      <c r="L814" s="18"/>
      <c r="M814" s="18"/>
      <c r="N814" s="18"/>
      <c r="O814" s="18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>
      <c r="A815" s="1"/>
      <c r="B815" s="1"/>
      <c r="C815" s="18"/>
      <c r="D815" s="47"/>
      <c r="E815" s="18"/>
      <c r="F815" s="18"/>
      <c r="G815" s="18"/>
      <c r="H815" s="18"/>
      <c r="I815" s="25"/>
      <c r="J815" s="18"/>
      <c r="K815" s="18"/>
      <c r="L815" s="18"/>
      <c r="M815" s="18"/>
      <c r="N815" s="18"/>
      <c r="O815" s="18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>
      <c r="A816" s="1"/>
      <c r="B816" s="1"/>
      <c r="C816" s="18"/>
      <c r="D816" s="47"/>
      <c r="E816" s="18"/>
      <c r="F816" s="18"/>
      <c r="G816" s="18"/>
      <c r="H816" s="18"/>
      <c r="I816" s="25"/>
      <c r="J816" s="18"/>
      <c r="K816" s="18"/>
      <c r="L816" s="18"/>
      <c r="M816" s="18"/>
      <c r="N816" s="18"/>
      <c r="O816" s="18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>
      <c r="A817" s="1"/>
      <c r="B817" s="1"/>
      <c r="C817" s="18"/>
      <c r="D817" s="47"/>
      <c r="E817" s="18"/>
      <c r="F817" s="18"/>
      <c r="G817" s="18"/>
      <c r="H817" s="18"/>
      <c r="I817" s="25"/>
      <c r="J817" s="18"/>
      <c r="K817" s="18"/>
      <c r="L817" s="18"/>
      <c r="M817" s="18"/>
      <c r="N817" s="18"/>
      <c r="O817" s="18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>
      <c r="A818" s="1"/>
      <c r="B818" s="1"/>
      <c r="C818" s="18"/>
      <c r="D818" s="47"/>
      <c r="E818" s="18"/>
      <c r="F818" s="18"/>
      <c r="G818" s="18"/>
      <c r="H818" s="18"/>
      <c r="I818" s="25"/>
      <c r="J818" s="18"/>
      <c r="K818" s="18"/>
      <c r="L818" s="18"/>
      <c r="M818" s="18"/>
      <c r="N818" s="18"/>
      <c r="O818" s="18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>
      <c r="A819" s="1"/>
      <c r="B819" s="1"/>
      <c r="C819" s="18"/>
      <c r="D819" s="47"/>
      <c r="E819" s="18"/>
      <c r="F819" s="18"/>
      <c r="G819" s="18"/>
      <c r="H819" s="18"/>
      <c r="I819" s="25"/>
      <c r="J819" s="18"/>
      <c r="K819" s="18"/>
      <c r="L819" s="18"/>
      <c r="M819" s="18"/>
      <c r="N819" s="18"/>
      <c r="O819" s="18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>
      <c r="A820" s="1"/>
      <c r="B820" s="1"/>
      <c r="C820" s="18"/>
      <c r="D820" s="47"/>
      <c r="E820" s="18"/>
      <c r="F820" s="18"/>
      <c r="G820" s="18"/>
      <c r="H820" s="18"/>
      <c r="I820" s="25"/>
      <c r="J820" s="18"/>
      <c r="K820" s="18"/>
      <c r="L820" s="18"/>
      <c r="M820" s="18"/>
      <c r="N820" s="18"/>
      <c r="O820" s="18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>
      <c r="A821" s="1"/>
      <c r="B821" s="1"/>
      <c r="C821" s="18"/>
      <c r="D821" s="47"/>
      <c r="E821" s="18"/>
      <c r="F821" s="18"/>
      <c r="G821" s="18"/>
      <c r="H821" s="18"/>
      <c r="I821" s="25"/>
      <c r="J821" s="18"/>
      <c r="K821" s="18"/>
      <c r="L821" s="18"/>
      <c r="M821" s="18"/>
      <c r="N821" s="18"/>
      <c r="O821" s="18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>
      <c r="A822" s="1"/>
      <c r="B822" s="1"/>
      <c r="C822" s="18"/>
      <c r="D822" s="47"/>
      <c r="E822" s="18"/>
      <c r="F822" s="18"/>
      <c r="G822" s="18"/>
      <c r="H822" s="18"/>
      <c r="I822" s="25"/>
      <c r="J822" s="18"/>
      <c r="K822" s="18"/>
      <c r="L822" s="18"/>
      <c r="M822" s="18"/>
      <c r="N822" s="18"/>
      <c r="O822" s="18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>
      <c r="A823" s="1"/>
      <c r="B823" s="1"/>
      <c r="C823" s="18"/>
      <c r="D823" s="47"/>
      <c r="E823" s="18"/>
      <c r="F823" s="18"/>
      <c r="G823" s="18"/>
      <c r="H823" s="18"/>
      <c r="I823" s="25"/>
      <c r="J823" s="18"/>
      <c r="K823" s="18"/>
      <c r="L823" s="18"/>
      <c r="M823" s="18"/>
      <c r="N823" s="18"/>
      <c r="O823" s="18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>
      <c r="A824" s="1"/>
      <c r="B824" s="1"/>
      <c r="C824" s="18"/>
      <c r="D824" s="47"/>
      <c r="E824" s="18"/>
      <c r="F824" s="18"/>
      <c r="G824" s="18"/>
      <c r="H824" s="18"/>
      <c r="I824" s="25"/>
      <c r="J824" s="18"/>
      <c r="K824" s="18"/>
      <c r="L824" s="18"/>
      <c r="M824" s="18"/>
      <c r="N824" s="18"/>
      <c r="O824" s="18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>
      <c r="A825" s="1"/>
      <c r="B825" s="1"/>
      <c r="C825" s="18"/>
      <c r="D825" s="47"/>
      <c r="E825" s="18"/>
      <c r="F825" s="18"/>
      <c r="G825" s="18"/>
      <c r="H825" s="18"/>
      <c r="I825" s="25"/>
      <c r="J825" s="18"/>
      <c r="K825" s="18"/>
      <c r="L825" s="18"/>
      <c r="M825" s="18"/>
      <c r="N825" s="18"/>
      <c r="O825" s="18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>
      <c r="A826" s="1"/>
      <c r="B826" s="1"/>
      <c r="C826" s="18"/>
      <c r="D826" s="47"/>
      <c r="E826" s="18"/>
      <c r="F826" s="18"/>
      <c r="G826" s="18"/>
      <c r="H826" s="18"/>
      <c r="I826" s="25"/>
      <c r="J826" s="18"/>
      <c r="K826" s="18"/>
      <c r="L826" s="18"/>
      <c r="M826" s="18"/>
      <c r="N826" s="18"/>
      <c r="O826" s="18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>
      <c r="A827" s="1"/>
      <c r="B827" s="1"/>
      <c r="C827" s="18"/>
      <c r="D827" s="47"/>
      <c r="E827" s="18"/>
      <c r="F827" s="18"/>
      <c r="G827" s="18"/>
      <c r="H827" s="18"/>
      <c r="I827" s="25"/>
      <c r="J827" s="18"/>
      <c r="K827" s="18"/>
      <c r="L827" s="18"/>
      <c r="M827" s="18"/>
      <c r="N827" s="18"/>
      <c r="O827" s="18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>
      <c r="A828" s="1"/>
      <c r="B828" s="1"/>
      <c r="C828" s="18"/>
      <c r="D828" s="47"/>
      <c r="E828" s="18"/>
      <c r="F828" s="18"/>
      <c r="G828" s="18"/>
      <c r="H828" s="18"/>
      <c r="I828" s="25"/>
      <c r="J828" s="18"/>
      <c r="K828" s="18"/>
      <c r="L828" s="18"/>
      <c r="M828" s="18"/>
      <c r="N828" s="18"/>
      <c r="O828" s="18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>
      <c r="A829" s="1"/>
      <c r="B829" s="1"/>
      <c r="C829" s="18"/>
      <c r="D829" s="47"/>
      <c r="E829" s="18"/>
      <c r="F829" s="18"/>
      <c r="G829" s="18"/>
      <c r="H829" s="18"/>
      <c r="I829" s="25"/>
      <c r="J829" s="18"/>
      <c r="K829" s="18"/>
      <c r="L829" s="18"/>
      <c r="M829" s="18"/>
      <c r="N829" s="18"/>
      <c r="O829" s="18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>
      <c r="A830" s="1"/>
      <c r="B830" s="1"/>
      <c r="C830" s="18"/>
      <c r="D830" s="47"/>
      <c r="E830" s="18"/>
      <c r="F830" s="18"/>
      <c r="G830" s="18"/>
      <c r="H830" s="18"/>
      <c r="I830" s="25"/>
      <c r="J830" s="18"/>
      <c r="K830" s="18"/>
      <c r="L830" s="18"/>
      <c r="M830" s="18"/>
      <c r="N830" s="18"/>
      <c r="O830" s="18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>
      <c r="A831" s="1"/>
      <c r="B831" s="1"/>
      <c r="C831" s="18"/>
      <c r="D831" s="47"/>
      <c r="E831" s="18"/>
      <c r="F831" s="18"/>
      <c r="G831" s="18"/>
      <c r="H831" s="18"/>
      <c r="I831" s="25"/>
      <c r="J831" s="18"/>
      <c r="K831" s="18"/>
      <c r="L831" s="18"/>
      <c r="M831" s="18"/>
      <c r="N831" s="18"/>
      <c r="O831" s="18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>
      <c r="A832" s="1"/>
      <c r="B832" s="1"/>
      <c r="C832" s="18"/>
      <c r="D832" s="47"/>
      <c r="E832" s="18"/>
      <c r="F832" s="18"/>
      <c r="G832" s="18"/>
      <c r="H832" s="18"/>
      <c r="I832" s="25"/>
      <c r="J832" s="18"/>
      <c r="K832" s="18"/>
      <c r="L832" s="18"/>
      <c r="M832" s="18"/>
      <c r="N832" s="18"/>
      <c r="O832" s="18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>
      <c r="A833" s="1"/>
      <c r="B833" s="1"/>
      <c r="C833" s="18"/>
      <c r="D833" s="47"/>
      <c r="E833" s="18"/>
      <c r="F833" s="18"/>
      <c r="G833" s="18"/>
      <c r="H833" s="18"/>
      <c r="I833" s="25"/>
      <c r="J833" s="18"/>
      <c r="K833" s="18"/>
      <c r="L833" s="18"/>
      <c r="M833" s="18"/>
      <c r="N833" s="18"/>
      <c r="O833" s="18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>
      <c r="A834" s="1"/>
      <c r="B834" s="1"/>
      <c r="C834" s="18"/>
      <c r="D834" s="47"/>
      <c r="E834" s="18"/>
      <c r="F834" s="18"/>
      <c r="G834" s="18"/>
      <c r="H834" s="18"/>
      <c r="I834" s="25"/>
      <c r="J834" s="18"/>
      <c r="K834" s="18"/>
      <c r="L834" s="18"/>
      <c r="M834" s="18"/>
      <c r="N834" s="18"/>
      <c r="O834" s="18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>
      <c r="A835" s="1"/>
      <c r="B835" s="1"/>
      <c r="C835" s="18"/>
      <c r="D835" s="47"/>
      <c r="E835" s="18"/>
      <c r="F835" s="18"/>
      <c r="G835" s="18"/>
      <c r="H835" s="18"/>
      <c r="I835" s="25"/>
      <c r="J835" s="18"/>
      <c r="K835" s="18"/>
      <c r="L835" s="18"/>
      <c r="M835" s="18"/>
      <c r="N835" s="18"/>
      <c r="O835" s="18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>
      <c r="A836" s="1"/>
      <c r="B836" s="1"/>
      <c r="C836" s="18"/>
      <c r="D836" s="47"/>
      <c r="E836" s="18"/>
      <c r="F836" s="18"/>
      <c r="G836" s="18"/>
      <c r="H836" s="18"/>
      <c r="I836" s="25"/>
      <c r="J836" s="18"/>
      <c r="K836" s="18"/>
      <c r="L836" s="18"/>
      <c r="M836" s="18"/>
      <c r="N836" s="18"/>
      <c r="O836" s="18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>
      <c r="A837" s="1"/>
      <c r="B837" s="1"/>
      <c r="C837" s="18"/>
      <c r="D837" s="47"/>
      <c r="E837" s="18"/>
      <c r="F837" s="18"/>
      <c r="G837" s="18"/>
      <c r="H837" s="18"/>
      <c r="I837" s="25"/>
      <c r="J837" s="18"/>
      <c r="K837" s="18"/>
      <c r="L837" s="18"/>
      <c r="M837" s="18"/>
      <c r="N837" s="18"/>
      <c r="O837" s="18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>
      <c r="A838" s="1"/>
      <c r="B838" s="1"/>
      <c r="C838" s="18"/>
      <c r="D838" s="47"/>
      <c r="E838" s="18"/>
      <c r="F838" s="18"/>
      <c r="G838" s="18"/>
      <c r="H838" s="18"/>
      <c r="I838" s="25"/>
      <c r="J838" s="18"/>
      <c r="K838" s="18"/>
      <c r="L838" s="18"/>
      <c r="M838" s="18"/>
      <c r="N838" s="18"/>
      <c r="O838" s="18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>
      <c r="A839" s="1"/>
      <c r="B839" s="1"/>
      <c r="C839" s="18"/>
      <c r="D839" s="47"/>
      <c r="E839" s="18"/>
      <c r="F839" s="18"/>
      <c r="G839" s="18"/>
      <c r="H839" s="18"/>
      <c r="I839" s="25"/>
      <c r="J839" s="18"/>
      <c r="K839" s="18"/>
      <c r="L839" s="18"/>
      <c r="M839" s="18"/>
      <c r="N839" s="18"/>
      <c r="O839" s="18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>
      <c r="A840" s="1"/>
      <c r="B840" s="1"/>
      <c r="C840" s="18"/>
      <c r="D840" s="47"/>
      <c r="E840" s="18"/>
      <c r="F840" s="18"/>
      <c r="G840" s="18"/>
      <c r="H840" s="18"/>
      <c r="I840" s="25"/>
      <c r="J840" s="18"/>
      <c r="K840" s="18"/>
      <c r="L840" s="18"/>
      <c r="M840" s="18"/>
      <c r="N840" s="18"/>
      <c r="O840" s="18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>
      <c r="A841" s="1"/>
      <c r="B841" s="1"/>
      <c r="C841" s="18"/>
      <c r="D841" s="47"/>
      <c r="E841" s="18"/>
      <c r="F841" s="18"/>
      <c r="G841" s="18"/>
      <c r="H841" s="18"/>
      <c r="I841" s="25"/>
      <c r="J841" s="18"/>
      <c r="K841" s="18"/>
      <c r="L841" s="18"/>
      <c r="M841" s="18"/>
      <c r="N841" s="18"/>
      <c r="O841" s="18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>
      <c r="A842" s="1"/>
      <c r="B842" s="1"/>
      <c r="C842" s="18"/>
      <c r="D842" s="47"/>
      <c r="E842" s="18"/>
      <c r="F842" s="18"/>
      <c r="G842" s="18"/>
      <c r="H842" s="18"/>
      <c r="I842" s="25"/>
      <c r="J842" s="18"/>
      <c r="K842" s="18"/>
      <c r="L842" s="18"/>
      <c r="M842" s="18"/>
      <c r="N842" s="18"/>
      <c r="O842" s="18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>
      <c r="A843" s="1"/>
      <c r="B843" s="1"/>
      <c r="C843" s="18"/>
      <c r="D843" s="47"/>
      <c r="E843" s="18"/>
      <c r="F843" s="18"/>
      <c r="G843" s="18"/>
      <c r="H843" s="18"/>
      <c r="I843" s="25"/>
      <c r="J843" s="18"/>
      <c r="K843" s="18"/>
      <c r="L843" s="18"/>
      <c r="M843" s="18"/>
      <c r="N843" s="18"/>
      <c r="O843" s="18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>
      <c r="A844" s="1"/>
      <c r="B844" s="1"/>
      <c r="C844" s="18"/>
      <c r="D844" s="47"/>
      <c r="E844" s="18"/>
      <c r="F844" s="18"/>
      <c r="G844" s="18"/>
      <c r="H844" s="18"/>
      <c r="I844" s="25"/>
      <c r="J844" s="18"/>
      <c r="K844" s="18"/>
      <c r="L844" s="18"/>
      <c r="M844" s="18"/>
      <c r="N844" s="18"/>
      <c r="O844" s="18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>
      <c r="A845" s="1"/>
      <c r="B845" s="1"/>
      <c r="C845" s="18"/>
      <c r="D845" s="47"/>
      <c r="E845" s="18"/>
      <c r="F845" s="18"/>
      <c r="G845" s="18"/>
      <c r="H845" s="18"/>
      <c r="I845" s="25"/>
      <c r="J845" s="18"/>
      <c r="K845" s="18"/>
      <c r="L845" s="18"/>
      <c r="M845" s="18"/>
      <c r="N845" s="18"/>
      <c r="O845" s="18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>
      <c r="A846" s="1"/>
      <c r="B846" s="1"/>
      <c r="C846" s="18"/>
      <c r="D846" s="47"/>
      <c r="E846" s="18"/>
      <c r="F846" s="18"/>
      <c r="G846" s="18"/>
      <c r="H846" s="18"/>
      <c r="I846" s="25"/>
      <c r="J846" s="18"/>
      <c r="K846" s="18"/>
      <c r="L846" s="18"/>
      <c r="M846" s="18"/>
      <c r="N846" s="18"/>
      <c r="O846" s="18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>
      <c r="A847" s="1"/>
      <c r="B847" s="1"/>
      <c r="C847" s="18"/>
      <c r="D847" s="47"/>
      <c r="E847" s="18"/>
      <c r="F847" s="18"/>
      <c r="G847" s="18"/>
      <c r="H847" s="18"/>
      <c r="I847" s="25"/>
      <c r="J847" s="18"/>
      <c r="K847" s="18"/>
      <c r="L847" s="18"/>
      <c r="M847" s="18"/>
      <c r="N847" s="18"/>
      <c r="O847" s="18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>
      <c r="A848" s="1"/>
      <c r="B848" s="1"/>
      <c r="C848" s="18"/>
      <c r="D848" s="47"/>
      <c r="E848" s="18"/>
      <c r="F848" s="18"/>
      <c r="G848" s="18"/>
      <c r="H848" s="18"/>
      <c r="I848" s="25"/>
      <c r="J848" s="18"/>
      <c r="K848" s="18"/>
      <c r="L848" s="18"/>
      <c r="M848" s="18"/>
      <c r="N848" s="18"/>
      <c r="O848" s="18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>
      <c r="A849" s="1"/>
      <c r="B849" s="1"/>
      <c r="C849" s="18"/>
      <c r="D849" s="47"/>
      <c r="E849" s="18"/>
      <c r="F849" s="18"/>
      <c r="G849" s="18"/>
      <c r="H849" s="18"/>
      <c r="I849" s="25"/>
      <c r="J849" s="18"/>
      <c r="K849" s="18"/>
      <c r="L849" s="18"/>
      <c r="M849" s="18"/>
      <c r="N849" s="18"/>
      <c r="O849" s="18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>
      <c r="A850" s="1"/>
      <c r="B850" s="1"/>
      <c r="C850" s="18"/>
      <c r="D850" s="47"/>
      <c r="E850" s="18"/>
      <c r="F850" s="18"/>
      <c r="G850" s="18"/>
      <c r="H850" s="18"/>
      <c r="I850" s="25"/>
      <c r="J850" s="18"/>
      <c r="K850" s="18"/>
      <c r="L850" s="18"/>
      <c r="M850" s="18"/>
      <c r="N850" s="18"/>
      <c r="O850" s="18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>
      <c r="A851" s="1"/>
      <c r="B851" s="1"/>
      <c r="C851" s="18"/>
      <c r="D851" s="47"/>
      <c r="E851" s="18"/>
      <c r="F851" s="18"/>
      <c r="G851" s="18"/>
      <c r="H851" s="18"/>
      <c r="I851" s="25"/>
      <c r="J851" s="18"/>
      <c r="K851" s="18"/>
      <c r="L851" s="18"/>
      <c r="M851" s="18"/>
      <c r="N851" s="18"/>
      <c r="O851" s="18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>
      <c r="A852" s="1"/>
      <c r="B852" s="1"/>
      <c r="C852" s="18"/>
      <c r="D852" s="47"/>
      <c r="E852" s="18"/>
      <c r="F852" s="18"/>
      <c r="G852" s="18"/>
      <c r="H852" s="18"/>
      <c r="I852" s="25"/>
      <c r="J852" s="18"/>
      <c r="K852" s="18"/>
      <c r="L852" s="18"/>
      <c r="M852" s="18"/>
      <c r="N852" s="18"/>
      <c r="O852" s="18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>
      <c r="A853" s="1"/>
      <c r="B853" s="1"/>
      <c r="C853" s="18"/>
      <c r="D853" s="47"/>
      <c r="E853" s="18"/>
      <c r="F853" s="18"/>
      <c r="G853" s="18"/>
      <c r="H853" s="18"/>
      <c r="I853" s="25"/>
      <c r="J853" s="18"/>
      <c r="K853" s="18"/>
      <c r="L853" s="18"/>
      <c r="M853" s="18"/>
      <c r="N853" s="18"/>
      <c r="O853" s="18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>
      <c r="A854" s="1"/>
      <c r="B854" s="1"/>
      <c r="C854" s="18"/>
      <c r="D854" s="47"/>
      <c r="E854" s="18"/>
      <c r="F854" s="18"/>
      <c r="G854" s="18"/>
      <c r="H854" s="18"/>
      <c r="I854" s="25"/>
      <c r="J854" s="18"/>
      <c r="K854" s="18"/>
      <c r="L854" s="18"/>
      <c r="M854" s="18"/>
      <c r="N854" s="18"/>
      <c r="O854" s="18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>
      <c r="A855" s="1"/>
      <c r="B855" s="1"/>
      <c r="C855" s="18"/>
      <c r="D855" s="47"/>
      <c r="E855" s="18"/>
      <c r="F855" s="18"/>
      <c r="G855" s="18"/>
      <c r="H855" s="18"/>
      <c r="I855" s="25"/>
      <c r="J855" s="18"/>
      <c r="K855" s="18"/>
      <c r="L855" s="18"/>
      <c r="M855" s="18"/>
      <c r="N855" s="18"/>
      <c r="O855" s="18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>
      <c r="A856" s="1"/>
      <c r="B856" s="1"/>
      <c r="C856" s="18"/>
      <c r="D856" s="47"/>
      <c r="E856" s="18"/>
      <c r="F856" s="18"/>
      <c r="G856" s="18"/>
      <c r="H856" s="18"/>
      <c r="I856" s="25"/>
      <c r="J856" s="18"/>
      <c r="K856" s="18"/>
      <c r="L856" s="18"/>
      <c r="M856" s="18"/>
      <c r="N856" s="18"/>
      <c r="O856" s="18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>
      <c r="A857" s="1"/>
      <c r="B857" s="1"/>
      <c r="C857" s="18"/>
      <c r="D857" s="47"/>
      <c r="E857" s="18"/>
      <c r="F857" s="18"/>
      <c r="G857" s="18"/>
      <c r="H857" s="18"/>
      <c r="I857" s="25"/>
      <c r="J857" s="18"/>
      <c r="K857" s="18"/>
      <c r="L857" s="18"/>
      <c r="M857" s="18"/>
      <c r="N857" s="18"/>
      <c r="O857" s="18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>
      <c r="A858" s="1"/>
      <c r="B858" s="1"/>
      <c r="C858" s="18"/>
      <c r="D858" s="47"/>
      <c r="E858" s="18"/>
      <c r="F858" s="18"/>
      <c r="G858" s="18"/>
      <c r="H858" s="18"/>
      <c r="I858" s="25"/>
      <c r="J858" s="18"/>
      <c r="K858" s="18"/>
      <c r="L858" s="18"/>
      <c r="M858" s="18"/>
      <c r="N858" s="18"/>
      <c r="O858" s="18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>
      <c r="A859" s="1"/>
      <c r="B859" s="1"/>
      <c r="C859" s="18"/>
      <c r="D859" s="47"/>
      <c r="E859" s="18"/>
      <c r="F859" s="18"/>
      <c r="G859" s="18"/>
      <c r="H859" s="18"/>
      <c r="I859" s="25"/>
      <c r="J859" s="18"/>
      <c r="K859" s="18"/>
      <c r="L859" s="18"/>
      <c r="M859" s="18"/>
      <c r="N859" s="18"/>
      <c r="O859" s="18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>
      <c r="A860" s="1"/>
      <c r="B860" s="1"/>
      <c r="C860" s="18"/>
      <c r="D860" s="47"/>
      <c r="E860" s="18"/>
      <c r="F860" s="18"/>
      <c r="G860" s="18"/>
      <c r="H860" s="18"/>
      <c r="I860" s="25"/>
      <c r="J860" s="18"/>
      <c r="K860" s="18"/>
      <c r="L860" s="18"/>
      <c r="M860" s="18"/>
      <c r="N860" s="18"/>
      <c r="O860" s="18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>
      <c r="A861" s="1"/>
      <c r="B861" s="1"/>
      <c r="C861" s="18"/>
      <c r="D861" s="47"/>
      <c r="E861" s="18"/>
      <c r="F861" s="18"/>
      <c r="G861" s="18"/>
      <c r="H861" s="18"/>
      <c r="I861" s="25"/>
      <c r="J861" s="18"/>
      <c r="K861" s="18"/>
      <c r="L861" s="18"/>
      <c r="M861" s="18"/>
      <c r="N861" s="18"/>
      <c r="O861" s="18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>
      <c r="A862" s="1"/>
      <c r="B862" s="1"/>
      <c r="C862" s="18"/>
      <c r="D862" s="47"/>
      <c r="E862" s="18"/>
      <c r="F862" s="18"/>
      <c r="G862" s="18"/>
      <c r="H862" s="18"/>
      <c r="I862" s="25"/>
      <c r="J862" s="18"/>
      <c r="K862" s="18"/>
      <c r="L862" s="18"/>
      <c r="M862" s="18"/>
      <c r="N862" s="18"/>
      <c r="O862" s="18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>
      <c r="A863" s="1"/>
      <c r="B863" s="1"/>
      <c r="C863" s="18"/>
      <c r="D863" s="47"/>
      <c r="E863" s="18"/>
      <c r="F863" s="18"/>
      <c r="G863" s="18"/>
      <c r="H863" s="18"/>
      <c r="I863" s="25"/>
      <c r="J863" s="18"/>
      <c r="K863" s="18"/>
      <c r="L863" s="18"/>
      <c r="M863" s="18"/>
      <c r="N863" s="18"/>
      <c r="O863" s="18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>
      <c r="A864" s="1"/>
      <c r="B864" s="1"/>
      <c r="C864" s="18"/>
      <c r="D864" s="47"/>
      <c r="E864" s="18"/>
      <c r="F864" s="18"/>
      <c r="G864" s="18"/>
      <c r="H864" s="18"/>
      <c r="I864" s="25"/>
      <c r="J864" s="18"/>
      <c r="K864" s="18"/>
      <c r="L864" s="18"/>
      <c r="M864" s="18"/>
      <c r="N864" s="18"/>
      <c r="O864" s="18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>
      <c r="A865" s="1"/>
      <c r="B865" s="1"/>
      <c r="C865" s="18"/>
      <c r="D865" s="47"/>
      <c r="E865" s="18"/>
      <c r="F865" s="18"/>
      <c r="G865" s="18"/>
      <c r="H865" s="18"/>
      <c r="I865" s="25"/>
      <c r="J865" s="18"/>
      <c r="K865" s="18"/>
      <c r="L865" s="18"/>
      <c r="M865" s="18"/>
      <c r="N865" s="18"/>
      <c r="O865" s="18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>
      <c r="A866" s="1"/>
      <c r="B866" s="1"/>
      <c r="C866" s="18"/>
      <c r="D866" s="47"/>
      <c r="E866" s="18"/>
      <c r="F866" s="18"/>
      <c r="G866" s="18"/>
      <c r="H866" s="18"/>
      <c r="I866" s="25"/>
      <c r="J866" s="18"/>
      <c r="K866" s="18"/>
      <c r="L866" s="18"/>
      <c r="M866" s="18"/>
      <c r="N866" s="18"/>
      <c r="O866" s="18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>
      <c r="A867" s="1"/>
      <c r="B867" s="1"/>
      <c r="C867" s="18"/>
      <c r="D867" s="47"/>
      <c r="E867" s="18"/>
      <c r="F867" s="18"/>
      <c r="G867" s="18"/>
      <c r="H867" s="18"/>
      <c r="I867" s="25"/>
      <c r="J867" s="18"/>
      <c r="K867" s="18"/>
      <c r="L867" s="18"/>
      <c r="M867" s="18"/>
      <c r="N867" s="18"/>
      <c r="O867" s="18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>
      <c r="A868" s="1"/>
      <c r="B868" s="1"/>
      <c r="C868" s="18"/>
      <c r="D868" s="47"/>
      <c r="E868" s="18"/>
      <c r="F868" s="18"/>
      <c r="G868" s="18"/>
      <c r="H868" s="18"/>
      <c r="I868" s="25"/>
      <c r="J868" s="18"/>
      <c r="K868" s="18"/>
      <c r="L868" s="18"/>
      <c r="M868" s="18"/>
      <c r="N868" s="18"/>
      <c r="O868" s="18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>
      <c r="A869" s="1"/>
      <c r="B869" s="1"/>
      <c r="C869" s="18"/>
      <c r="D869" s="47"/>
      <c r="E869" s="18"/>
      <c r="F869" s="18"/>
      <c r="G869" s="18"/>
      <c r="H869" s="18"/>
      <c r="I869" s="25"/>
      <c r="J869" s="18"/>
      <c r="K869" s="18"/>
      <c r="L869" s="18"/>
      <c r="M869" s="18"/>
      <c r="N869" s="18"/>
      <c r="O869" s="18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>
      <c r="A870" s="1"/>
      <c r="B870" s="1"/>
      <c r="C870" s="18"/>
      <c r="D870" s="47"/>
      <c r="E870" s="18"/>
      <c r="F870" s="18"/>
      <c r="G870" s="18"/>
      <c r="H870" s="18"/>
      <c r="I870" s="25"/>
      <c r="J870" s="18"/>
      <c r="K870" s="18"/>
      <c r="L870" s="18"/>
      <c r="M870" s="18"/>
      <c r="N870" s="18"/>
      <c r="O870" s="18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>
      <c r="A871" s="1"/>
      <c r="B871" s="1"/>
      <c r="C871" s="18"/>
      <c r="D871" s="47"/>
      <c r="E871" s="18"/>
      <c r="F871" s="18"/>
      <c r="G871" s="18"/>
      <c r="H871" s="18"/>
      <c r="I871" s="25"/>
      <c r="J871" s="18"/>
      <c r="K871" s="18"/>
      <c r="L871" s="18"/>
      <c r="M871" s="18"/>
      <c r="N871" s="18"/>
      <c r="O871" s="18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>
      <c r="A872" s="1"/>
      <c r="B872" s="1"/>
      <c r="C872" s="18"/>
      <c r="D872" s="47"/>
      <c r="E872" s="18"/>
      <c r="F872" s="18"/>
      <c r="G872" s="18"/>
      <c r="H872" s="18"/>
      <c r="I872" s="25"/>
      <c r="J872" s="18"/>
      <c r="K872" s="18"/>
      <c r="L872" s="18"/>
      <c r="M872" s="18"/>
      <c r="N872" s="18"/>
      <c r="O872" s="18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>
      <c r="A873" s="1"/>
      <c r="B873" s="1"/>
      <c r="C873" s="18"/>
      <c r="D873" s="47"/>
      <c r="E873" s="18"/>
      <c r="F873" s="18"/>
      <c r="G873" s="18"/>
      <c r="H873" s="18"/>
      <c r="I873" s="25"/>
      <c r="J873" s="18"/>
      <c r="K873" s="18"/>
      <c r="L873" s="18"/>
      <c r="M873" s="18"/>
      <c r="N873" s="18"/>
      <c r="O873" s="18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>
      <c r="A874" s="1"/>
      <c r="B874" s="1"/>
      <c r="C874" s="18"/>
      <c r="D874" s="47"/>
      <c r="E874" s="18"/>
      <c r="F874" s="18"/>
      <c r="G874" s="18"/>
      <c r="H874" s="18"/>
      <c r="I874" s="25"/>
      <c r="J874" s="18"/>
      <c r="K874" s="18"/>
      <c r="L874" s="18"/>
      <c r="M874" s="18"/>
      <c r="N874" s="18"/>
      <c r="O874" s="18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>
      <c r="A875" s="1"/>
      <c r="B875" s="1"/>
      <c r="C875" s="18"/>
      <c r="D875" s="47"/>
      <c r="E875" s="18"/>
      <c r="F875" s="18"/>
      <c r="G875" s="18"/>
      <c r="H875" s="18"/>
      <c r="I875" s="25"/>
      <c r="J875" s="18"/>
      <c r="K875" s="18"/>
      <c r="L875" s="18"/>
      <c r="M875" s="18"/>
      <c r="N875" s="18"/>
      <c r="O875" s="18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>
      <c r="A876" s="1"/>
      <c r="B876" s="1"/>
      <c r="C876" s="18"/>
      <c r="D876" s="47"/>
      <c r="E876" s="18"/>
      <c r="F876" s="18"/>
      <c r="G876" s="18"/>
      <c r="H876" s="18"/>
      <c r="I876" s="25"/>
      <c r="J876" s="18"/>
      <c r="K876" s="18"/>
      <c r="L876" s="18"/>
      <c r="M876" s="18"/>
      <c r="N876" s="18"/>
      <c r="O876" s="18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>
      <c r="A877" s="1"/>
      <c r="B877" s="1"/>
      <c r="C877" s="18"/>
      <c r="D877" s="47"/>
      <c r="E877" s="18"/>
      <c r="F877" s="18"/>
      <c r="G877" s="18"/>
      <c r="H877" s="18"/>
      <c r="I877" s="25"/>
      <c r="J877" s="18"/>
      <c r="K877" s="18"/>
      <c r="L877" s="18"/>
      <c r="M877" s="18"/>
      <c r="N877" s="18"/>
      <c r="O877" s="18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>
      <c r="A878" s="1"/>
      <c r="B878" s="1"/>
      <c r="C878" s="18"/>
      <c r="D878" s="47"/>
      <c r="E878" s="18"/>
      <c r="F878" s="18"/>
      <c r="G878" s="18"/>
      <c r="H878" s="18"/>
      <c r="I878" s="25"/>
      <c r="J878" s="18"/>
      <c r="K878" s="18"/>
      <c r="L878" s="18"/>
      <c r="M878" s="18"/>
      <c r="N878" s="18"/>
      <c r="O878" s="18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>
      <c r="A879" s="1"/>
      <c r="B879" s="1"/>
      <c r="C879" s="18"/>
      <c r="D879" s="47"/>
      <c r="E879" s="18"/>
      <c r="F879" s="18"/>
      <c r="G879" s="18"/>
      <c r="H879" s="18"/>
      <c r="I879" s="25"/>
      <c r="J879" s="18"/>
      <c r="K879" s="18"/>
      <c r="L879" s="18"/>
      <c r="M879" s="18"/>
      <c r="N879" s="18"/>
      <c r="O879" s="18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>
      <c r="A880" s="1"/>
      <c r="B880" s="1"/>
      <c r="C880" s="18"/>
      <c r="D880" s="47"/>
      <c r="E880" s="18"/>
      <c r="F880" s="18"/>
      <c r="G880" s="18"/>
      <c r="H880" s="18"/>
      <c r="I880" s="25"/>
      <c r="J880" s="18"/>
      <c r="K880" s="18"/>
      <c r="L880" s="18"/>
      <c r="M880" s="18"/>
      <c r="N880" s="18"/>
      <c r="O880" s="18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>
      <c r="A881" s="1"/>
      <c r="B881" s="1"/>
      <c r="C881" s="18"/>
      <c r="D881" s="47"/>
      <c r="E881" s="18"/>
      <c r="F881" s="18"/>
      <c r="G881" s="18"/>
      <c r="H881" s="18"/>
      <c r="I881" s="25"/>
      <c r="J881" s="18"/>
      <c r="K881" s="18"/>
      <c r="L881" s="18"/>
      <c r="M881" s="18"/>
      <c r="N881" s="18"/>
      <c r="O881" s="18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>
      <c r="A882" s="1"/>
      <c r="B882" s="1"/>
      <c r="C882" s="18"/>
      <c r="D882" s="47"/>
      <c r="E882" s="18"/>
      <c r="F882" s="18"/>
      <c r="G882" s="18"/>
      <c r="H882" s="18"/>
      <c r="I882" s="25"/>
      <c r="J882" s="18"/>
      <c r="K882" s="18"/>
      <c r="L882" s="18"/>
      <c r="M882" s="18"/>
      <c r="N882" s="18"/>
      <c r="O882" s="18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>
      <c r="A883" s="1"/>
      <c r="B883" s="1"/>
      <c r="C883" s="18"/>
      <c r="D883" s="47"/>
      <c r="E883" s="18"/>
      <c r="F883" s="18"/>
      <c r="G883" s="18"/>
      <c r="H883" s="18"/>
      <c r="I883" s="25"/>
      <c r="J883" s="18"/>
      <c r="K883" s="18"/>
      <c r="L883" s="18"/>
      <c r="M883" s="18"/>
      <c r="N883" s="18"/>
      <c r="O883" s="18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>
      <c r="A884" s="1"/>
      <c r="B884" s="1"/>
      <c r="C884" s="18"/>
      <c r="D884" s="47"/>
      <c r="E884" s="18"/>
      <c r="F884" s="18"/>
      <c r="G884" s="18"/>
      <c r="H884" s="18"/>
      <c r="I884" s="25"/>
      <c r="J884" s="18"/>
      <c r="K884" s="18"/>
      <c r="L884" s="18"/>
      <c r="M884" s="18"/>
      <c r="N884" s="18"/>
      <c r="O884" s="18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>
      <c r="A885" s="1"/>
      <c r="B885" s="1"/>
      <c r="C885" s="18"/>
      <c r="D885" s="47"/>
      <c r="E885" s="18"/>
      <c r="F885" s="18"/>
      <c r="G885" s="18"/>
      <c r="H885" s="18"/>
      <c r="I885" s="25"/>
      <c r="J885" s="18"/>
      <c r="K885" s="18"/>
      <c r="L885" s="18"/>
      <c r="M885" s="18"/>
      <c r="N885" s="18"/>
      <c r="O885" s="18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>
      <c r="A886" s="1"/>
      <c r="B886" s="1"/>
      <c r="C886" s="18"/>
      <c r="D886" s="47"/>
      <c r="E886" s="18"/>
      <c r="F886" s="18"/>
      <c r="G886" s="18"/>
      <c r="H886" s="18"/>
      <c r="I886" s="25"/>
      <c r="J886" s="18"/>
      <c r="K886" s="18"/>
      <c r="L886" s="18"/>
      <c r="M886" s="18"/>
      <c r="N886" s="18"/>
      <c r="O886" s="18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>
      <c r="A887" s="1"/>
      <c r="B887" s="1"/>
      <c r="C887" s="18"/>
      <c r="D887" s="47"/>
      <c r="E887" s="18"/>
      <c r="F887" s="18"/>
      <c r="G887" s="18"/>
      <c r="H887" s="18"/>
      <c r="I887" s="25"/>
      <c r="J887" s="18"/>
      <c r="K887" s="18"/>
      <c r="L887" s="18"/>
      <c r="M887" s="18"/>
      <c r="N887" s="18"/>
      <c r="O887" s="18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>
      <c r="A888" s="1"/>
      <c r="B888" s="1"/>
      <c r="C888" s="18"/>
      <c r="D888" s="47"/>
      <c r="E888" s="18"/>
      <c r="F888" s="18"/>
      <c r="G888" s="18"/>
      <c r="H888" s="18"/>
      <c r="I888" s="25"/>
      <c r="J888" s="18"/>
      <c r="K888" s="18"/>
      <c r="L888" s="18"/>
      <c r="M888" s="18"/>
      <c r="N888" s="18"/>
      <c r="O888" s="18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>
      <c r="A889" s="1"/>
      <c r="B889" s="1"/>
      <c r="C889" s="18"/>
      <c r="D889" s="47"/>
      <c r="E889" s="18"/>
      <c r="F889" s="18"/>
      <c r="G889" s="18"/>
      <c r="H889" s="18"/>
      <c r="I889" s="25"/>
      <c r="J889" s="18"/>
      <c r="K889" s="18"/>
      <c r="L889" s="18"/>
      <c r="M889" s="18"/>
      <c r="N889" s="18"/>
      <c r="O889" s="18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>
      <c r="A890" s="1"/>
      <c r="B890" s="1"/>
      <c r="C890" s="18"/>
      <c r="D890" s="47"/>
      <c r="E890" s="18"/>
      <c r="F890" s="18"/>
      <c r="G890" s="18"/>
      <c r="H890" s="18"/>
      <c r="I890" s="25"/>
      <c r="J890" s="18"/>
      <c r="K890" s="18"/>
      <c r="L890" s="18"/>
      <c r="M890" s="18"/>
      <c r="N890" s="18"/>
      <c r="O890" s="18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>
      <c r="A891" s="1"/>
      <c r="B891" s="1"/>
      <c r="C891" s="18"/>
      <c r="D891" s="47"/>
      <c r="E891" s="18"/>
      <c r="F891" s="18"/>
      <c r="G891" s="18"/>
      <c r="H891" s="18"/>
      <c r="I891" s="25"/>
      <c r="J891" s="18"/>
      <c r="K891" s="18"/>
      <c r="L891" s="18"/>
      <c r="M891" s="18"/>
      <c r="N891" s="18"/>
      <c r="O891" s="18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>
      <c r="A892" s="1"/>
      <c r="B892" s="1"/>
      <c r="C892" s="18"/>
      <c r="D892" s="47"/>
      <c r="E892" s="18"/>
      <c r="F892" s="18"/>
      <c r="G892" s="18"/>
      <c r="H892" s="18"/>
      <c r="I892" s="25"/>
      <c r="J892" s="18"/>
      <c r="K892" s="18"/>
      <c r="L892" s="18"/>
      <c r="M892" s="18"/>
      <c r="N892" s="18"/>
      <c r="O892" s="18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>
      <c r="A893" s="1"/>
      <c r="B893" s="1"/>
      <c r="C893" s="18"/>
      <c r="D893" s="47"/>
      <c r="E893" s="18"/>
      <c r="F893" s="18"/>
      <c r="G893" s="18"/>
      <c r="H893" s="18"/>
      <c r="I893" s="25"/>
      <c r="J893" s="18"/>
      <c r="K893" s="18"/>
      <c r="L893" s="18"/>
      <c r="M893" s="18"/>
      <c r="N893" s="18"/>
      <c r="O893" s="18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>
      <c r="A894" s="1"/>
      <c r="B894" s="1"/>
      <c r="C894" s="18"/>
      <c r="D894" s="47"/>
      <c r="E894" s="18"/>
      <c r="F894" s="18"/>
      <c r="G894" s="18"/>
      <c r="H894" s="18"/>
      <c r="I894" s="25"/>
      <c r="J894" s="18"/>
      <c r="K894" s="18"/>
      <c r="L894" s="18"/>
      <c r="M894" s="18"/>
      <c r="N894" s="18"/>
      <c r="O894" s="18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>
      <c r="A895" s="1"/>
      <c r="B895" s="1"/>
      <c r="C895" s="18"/>
      <c r="D895" s="47"/>
      <c r="E895" s="18"/>
      <c r="F895" s="18"/>
      <c r="G895" s="18"/>
      <c r="H895" s="18"/>
      <c r="I895" s="25"/>
      <c r="J895" s="18"/>
      <c r="K895" s="18"/>
      <c r="L895" s="18"/>
      <c r="M895" s="18"/>
      <c r="N895" s="18"/>
      <c r="O895" s="18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>
      <c r="A896" s="1"/>
      <c r="B896" s="1"/>
      <c r="C896" s="18"/>
      <c r="D896" s="47"/>
      <c r="E896" s="18"/>
      <c r="F896" s="18"/>
      <c r="G896" s="18"/>
      <c r="H896" s="18"/>
      <c r="I896" s="25"/>
      <c r="J896" s="18"/>
      <c r="K896" s="18"/>
      <c r="L896" s="18"/>
      <c r="M896" s="18"/>
      <c r="N896" s="18"/>
      <c r="O896" s="18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>
      <c r="A897" s="1"/>
      <c r="B897" s="1"/>
      <c r="C897" s="18"/>
      <c r="D897" s="47"/>
      <c r="E897" s="18"/>
      <c r="F897" s="18"/>
      <c r="G897" s="18"/>
      <c r="H897" s="18"/>
      <c r="I897" s="25"/>
      <c r="J897" s="18"/>
      <c r="K897" s="18"/>
      <c r="L897" s="18"/>
      <c r="M897" s="18"/>
      <c r="N897" s="18"/>
      <c r="O897" s="18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>
      <c r="A898" s="1"/>
      <c r="B898" s="1"/>
      <c r="C898" s="18"/>
      <c r="D898" s="47"/>
      <c r="E898" s="18"/>
      <c r="F898" s="18"/>
      <c r="G898" s="18"/>
      <c r="H898" s="18"/>
      <c r="I898" s="25"/>
      <c r="J898" s="18"/>
      <c r="K898" s="18"/>
      <c r="L898" s="18"/>
      <c r="M898" s="18"/>
      <c r="N898" s="18"/>
      <c r="O898" s="18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>
      <c r="A899" s="1"/>
      <c r="B899" s="1"/>
      <c r="C899" s="18"/>
      <c r="D899" s="47"/>
      <c r="E899" s="18"/>
      <c r="F899" s="18"/>
      <c r="G899" s="18"/>
      <c r="H899" s="18"/>
      <c r="I899" s="25"/>
      <c r="J899" s="18"/>
      <c r="K899" s="18"/>
      <c r="L899" s="18"/>
      <c r="M899" s="18"/>
      <c r="N899" s="18"/>
      <c r="O899" s="18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>
      <c r="A900" s="1"/>
      <c r="B900" s="1"/>
      <c r="C900" s="18"/>
      <c r="D900" s="47"/>
      <c r="E900" s="18"/>
      <c r="F900" s="18"/>
      <c r="G900" s="18"/>
      <c r="H900" s="18"/>
      <c r="I900" s="25"/>
      <c r="J900" s="18"/>
      <c r="K900" s="18"/>
      <c r="L900" s="18"/>
      <c r="M900" s="18"/>
      <c r="N900" s="18"/>
      <c r="O900" s="18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>
      <c r="A901" s="1"/>
      <c r="B901" s="1"/>
      <c r="C901" s="18"/>
      <c r="D901" s="47"/>
      <c r="E901" s="18"/>
      <c r="F901" s="18"/>
      <c r="G901" s="18"/>
      <c r="H901" s="18"/>
      <c r="I901" s="25"/>
      <c r="J901" s="18"/>
      <c r="K901" s="18"/>
      <c r="L901" s="18"/>
      <c r="M901" s="18"/>
      <c r="N901" s="18"/>
      <c r="O901" s="18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>
      <c r="A902" s="1"/>
      <c r="B902" s="1"/>
      <c r="C902" s="18"/>
      <c r="D902" s="47"/>
      <c r="E902" s="18"/>
      <c r="F902" s="18"/>
      <c r="G902" s="18"/>
      <c r="H902" s="18"/>
      <c r="I902" s="25"/>
      <c r="J902" s="18"/>
      <c r="K902" s="18"/>
      <c r="L902" s="18"/>
      <c r="M902" s="18"/>
      <c r="N902" s="18"/>
      <c r="O902" s="18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>
      <c r="A903" s="1"/>
      <c r="B903" s="1"/>
      <c r="C903" s="18"/>
      <c r="D903" s="47"/>
      <c r="E903" s="18"/>
      <c r="F903" s="18"/>
      <c r="G903" s="18"/>
      <c r="H903" s="18"/>
      <c r="I903" s="25"/>
      <c r="J903" s="18"/>
      <c r="K903" s="18"/>
      <c r="L903" s="18"/>
      <c r="M903" s="18"/>
      <c r="N903" s="18"/>
      <c r="O903" s="18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>
      <c r="A904" s="1"/>
      <c r="B904" s="1"/>
      <c r="C904" s="18"/>
      <c r="D904" s="47"/>
      <c r="E904" s="18"/>
      <c r="F904" s="18"/>
      <c r="G904" s="18"/>
      <c r="H904" s="18"/>
      <c r="I904" s="25"/>
      <c r="J904" s="18"/>
      <c r="K904" s="18"/>
      <c r="L904" s="18"/>
      <c r="M904" s="18"/>
      <c r="N904" s="18"/>
      <c r="O904" s="18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>
      <c r="A905" s="1"/>
      <c r="B905" s="1"/>
      <c r="C905" s="18"/>
      <c r="D905" s="47"/>
      <c r="E905" s="18"/>
      <c r="F905" s="18"/>
      <c r="G905" s="18"/>
      <c r="H905" s="18"/>
      <c r="I905" s="25"/>
      <c r="J905" s="18"/>
      <c r="K905" s="18"/>
      <c r="L905" s="18"/>
      <c r="M905" s="18"/>
      <c r="N905" s="18"/>
      <c r="O905" s="18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>
      <c r="A906" s="1"/>
      <c r="B906" s="1"/>
      <c r="C906" s="18"/>
      <c r="D906" s="47"/>
      <c r="E906" s="18"/>
      <c r="F906" s="18"/>
      <c r="G906" s="18"/>
      <c r="H906" s="18"/>
      <c r="I906" s="25"/>
      <c r="J906" s="18"/>
      <c r="K906" s="18"/>
      <c r="L906" s="18"/>
      <c r="M906" s="18"/>
      <c r="N906" s="18"/>
      <c r="O906" s="18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>
      <c r="A907" s="1"/>
      <c r="B907" s="1"/>
      <c r="C907" s="18"/>
      <c r="D907" s="47"/>
      <c r="E907" s="18"/>
      <c r="F907" s="18"/>
      <c r="G907" s="18"/>
      <c r="H907" s="18"/>
      <c r="I907" s="25"/>
      <c r="J907" s="18"/>
      <c r="K907" s="18"/>
      <c r="L907" s="18"/>
      <c r="M907" s="18"/>
      <c r="N907" s="18"/>
      <c r="O907" s="18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>
      <c r="A908" s="1"/>
      <c r="B908" s="1"/>
      <c r="C908" s="18"/>
      <c r="D908" s="47"/>
      <c r="E908" s="18"/>
      <c r="F908" s="18"/>
      <c r="G908" s="18"/>
      <c r="H908" s="18"/>
      <c r="I908" s="25"/>
      <c r="J908" s="18"/>
      <c r="K908" s="18"/>
      <c r="L908" s="18"/>
      <c r="M908" s="18"/>
      <c r="N908" s="18"/>
      <c r="O908" s="18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>
      <c r="A909" s="1"/>
      <c r="B909" s="1"/>
      <c r="C909" s="18"/>
      <c r="D909" s="47"/>
      <c r="E909" s="18"/>
      <c r="F909" s="18"/>
      <c r="G909" s="18"/>
      <c r="H909" s="18"/>
      <c r="I909" s="25"/>
      <c r="J909" s="18"/>
      <c r="K909" s="18"/>
      <c r="L909" s="18"/>
      <c r="M909" s="18"/>
      <c r="N909" s="18"/>
      <c r="O909" s="18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>
      <c r="A910" s="1"/>
      <c r="B910" s="1"/>
      <c r="C910" s="18"/>
      <c r="D910" s="47"/>
      <c r="E910" s="18"/>
      <c r="F910" s="18"/>
      <c r="G910" s="18"/>
      <c r="H910" s="18"/>
      <c r="I910" s="25"/>
      <c r="J910" s="18"/>
      <c r="K910" s="18"/>
      <c r="L910" s="18"/>
      <c r="M910" s="18"/>
      <c r="N910" s="18"/>
      <c r="O910" s="18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>
      <c r="A911" s="1"/>
      <c r="B911" s="1"/>
      <c r="C911" s="18"/>
      <c r="D911" s="47"/>
      <c r="E911" s="18"/>
      <c r="F911" s="18"/>
      <c r="G911" s="18"/>
      <c r="H911" s="18"/>
      <c r="I911" s="25"/>
      <c r="J911" s="18"/>
      <c r="K911" s="18"/>
      <c r="L911" s="18"/>
      <c r="M911" s="18"/>
      <c r="N911" s="18"/>
      <c r="O911" s="18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>
      <c r="A912" s="1"/>
      <c r="B912" s="1"/>
      <c r="C912" s="18"/>
      <c r="D912" s="47"/>
      <c r="E912" s="18"/>
      <c r="F912" s="18"/>
      <c r="G912" s="18"/>
      <c r="H912" s="18"/>
      <c r="I912" s="25"/>
      <c r="J912" s="18"/>
      <c r="K912" s="18"/>
      <c r="L912" s="18"/>
      <c r="M912" s="18"/>
      <c r="N912" s="18"/>
      <c r="O912" s="18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>
      <c r="A913" s="1"/>
      <c r="B913" s="1"/>
      <c r="C913" s="18"/>
      <c r="D913" s="47"/>
      <c r="E913" s="18"/>
      <c r="F913" s="18"/>
      <c r="G913" s="18"/>
      <c r="H913" s="18"/>
      <c r="I913" s="25"/>
      <c r="J913" s="18"/>
      <c r="K913" s="18"/>
      <c r="L913" s="18"/>
      <c r="M913" s="18"/>
      <c r="N913" s="18"/>
      <c r="O913" s="18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>
      <c r="A914" s="1"/>
      <c r="B914" s="1"/>
      <c r="C914" s="18"/>
      <c r="D914" s="47"/>
      <c r="E914" s="18"/>
      <c r="F914" s="18"/>
      <c r="G914" s="18"/>
      <c r="H914" s="18"/>
      <c r="I914" s="25"/>
      <c r="J914" s="18"/>
      <c r="K914" s="18"/>
      <c r="L914" s="18"/>
      <c r="M914" s="18"/>
      <c r="N914" s="18"/>
      <c r="O914" s="18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>
      <c r="A915" s="1"/>
      <c r="B915" s="1"/>
      <c r="C915" s="18"/>
      <c r="D915" s="47"/>
      <c r="E915" s="18"/>
      <c r="F915" s="18"/>
      <c r="G915" s="18"/>
      <c r="H915" s="18"/>
      <c r="I915" s="25"/>
      <c r="J915" s="18"/>
      <c r="K915" s="18"/>
      <c r="L915" s="18"/>
      <c r="M915" s="18"/>
      <c r="N915" s="18"/>
      <c r="O915" s="18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>
      <c r="A916" s="1"/>
      <c r="B916" s="1"/>
      <c r="C916" s="18"/>
      <c r="D916" s="47"/>
      <c r="E916" s="18"/>
      <c r="F916" s="18"/>
      <c r="G916" s="18"/>
      <c r="H916" s="18"/>
      <c r="I916" s="25"/>
      <c r="J916" s="18"/>
      <c r="K916" s="18"/>
      <c r="L916" s="18"/>
      <c r="M916" s="18"/>
      <c r="N916" s="18"/>
      <c r="O916" s="18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>
      <c r="A917" s="1"/>
      <c r="B917" s="1"/>
      <c r="C917" s="18"/>
      <c r="D917" s="47"/>
      <c r="E917" s="18"/>
      <c r="F917" s="18"/>
      <c r="G917" s="18"/>
      <c r="H917" s="18"/>
      <c r="I917" s="25"/>
      <c r="J917" s="18"/>
      <c r="K917" s="18"/>
      <c r="L917" s="18"/>
      <c r="M917" s="18"/>
      <c r="N917" s="18"/>
      <c r="O917" s="18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>
      <c r="A918" s="1"/>
      <c r="B918" s="1"/>
      <c r="C918" s="18"/>
      <c r="D918" s="47"/>
      <c r="E918" s="18"/>
      <c r="F918" s="18"/>
      <c r="G918" s="18"/>
      <c r="H918" s="18"/>
      <c r="I918" s="25"/>
      <c r="J918" s="18"/>
      <c r="K918" s="18"/>
      <c r="L918" s="18"/>
      <c r="M918" s="18"/>
      <c r="N918" s="18"/>
      <c r="O918" s="18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>
      <c r="A919" s="1"/>
      <c r="B919" s="1"/>
      <c r="C919" s="18"/>
      <c r="D919" s="47"/>
      <c r="E919" s="18"/>
      <c r="F919" s="18"/>
      <c r="G919" s="18"/>
      <c r="H919" s="18"/>
      <c r="I919" s="25"/>
      <c r="J919" s="18"/>
      <c r="K919" s="18"/>
      <c r="L919" s="18"/>
      <c r="M919" s="18"/>
      <c r="N919" s="18"/>
      <c r="O919" s="18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>
      <c r="A920" s="1"/>
      <c r="B920" s="1"/>
      <c r="C920" s="18"/>
      <c r="D920" s="47"/>
      <c r="E920" s="18"/>
      <c r="F920" s="18"/>
      <c r="G920" s="18"/>
      <c r="H920" s="18"/>
      <c r="I920" s="25"/>
      <c r="J920" s="18"/>
      <c r="K920" s="18"/>
      <c r="L920" s="18"/>
      <c r="M920" s="18"/>
      <c r="N920" s="18"/>
      <c r="O920" s="18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>
      <c r="A921" s="1"/>
      <c r="B921" s="1"/>
      <c r="C921" s="18"/>
      <c r="D921" s="47"/>
      <c r="E921" s="18"/>
      <c r="F921" s="18"/>
      <c r="G921" s="18"/>
      <c r="H921" s="18"/>
      <c r="I921" s="25"/>
      <c r="J921" s="18"/>
      <c r="K921" s="18"/>
      <c r="L921" s="18"/>
      <c r="M921" s="18"/>
      <c r="N921" s="18"/>
      <c r="O921" s="18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>
      <c r="A922" s="1"/>
      <c r="B922" s="1"/>
      <c r="C922" s="18"/>
      <c r="D922" s="47"/>
      <c r="E922" s="18"/>
      <c r="F922" s="18"/>
      <c r="G922" s="18"/>
      <c r="H922" s="18"/>
      <c r="I922" s="25"/>
      <c r="J922" s="18"/>
      <c r="K922" s="18"/>
      <c r="L922" s="18"/>
      <c r="M922" s="18"/>
      <c r="N922" s="18"/>
      <c r="O922" s="18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>
      <c r="A923" s="1"/>
      <c r="B923" s="1"/>
      <c r="C923" s="18"/>
      <c r="D923" s="47"/>
      <c r="E923" s="18"/>
      <c r="F923" s="18"/>
      <c r="G923" s="18"/>
      <c r="H923" s="18"/>
      <c r="I923" s="25"/>
      <c r="J923" s="18"/>
      <c r="K923" s="18"/>
      <c r="L923" s="18"/>
      <c r="M923" s="18"/>
      <c r="N923" s="18"/>
      <c r="O923" s="18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>
      <c r="A924" s="1"/>
      <c r="B924" s="1"/>
      <c r="C924" s="18"/>
      <c r="D924" s="47"/>
      <c r="E924" s="18"/>
      <c r="F924" s="18"/>
      <c r="G924" s="18"/>
      <c r="H924" s="18"/>
      <c r="I924" s="25"/>
      <c r="J924" s="18"/>
      <c r="K924" s="18"/>
      <c r="L924" s="18"/>
      <c r="M924" s="18"/>
      <c r="N924" s="18"/>
      <c r="O924" s="18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>
      <c r="A925" s="1"/>
      <c r="B925" s="1"/>
      <c r="C925" s="18"/>
      <c r="D925" s="47"/>
      <c r="E925" s="18"/>
      <c r="F925" s="18"/>
      <c r="G925" s="18"/>
      <c r="H925" s="18"/>
      <c r="I925" s="25"/>
      <c r="J925" s="18"/>
      <c r="K925" s="18"/>
      <c r="L925" s="18"/>
      <c r="M925" s="18"/>
      <c r="N925" s="18"/>
      <c r="O925" s="18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>
      <c r="A926" s="1"/>
      <c r="B926" s="1"/>
      <c r="C926" s="18"/>
      <c r="D926" s="47"/>
      <c r="E926" s="18"/>
      <c r="F926" s="18"/>
      <c r="G926" s="18"/>
      <c r="H926" s="18"/>
      <c r="I926" s="25"/>
      <c r="J926" s="18"/>
      <c r="K926" s="18"/>
      <c r="L926" s="18"/>
      <c r="M926" s="18"/>
      <c r="N926" s="18"/>
      <c r="O926" s="18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>
      <c r="A927" s="1"/>
      <c r="B927" s="1"/>
      <c r="C927" s="18"/>
      <c r="D927" s="47"/>
      <c r="E927" s="18"/>
      <c r="F927" s="18"/>
      <c r="G927" s="18"/>
      <c r="H927" s="18"/>
      <c r="I927" s="25"/>
      <c r="J927" s="18"/>
      <c r="K927" s="18"/>
      <c r="L927" s="18"/>
      <c r="M927" s="18"/>
      <c r="N927" s="18"/>
      <c r="O927" s="18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>
      <c r="A928" s="1"/>
      <c r="B928" s="1"/>
      <c r="C928" s="18"/>
      <c r="D928" s="47"/>
      <c r="E928" s="18"/>
      <c r="F928" s="18"/>
      <c r="G928" s="18"/>
      <c r="H928" s="18"/>
      <c r="I928" s="25"/>
      <c r="J928" s="18"/>
      <c r="K928" s="18"/>
      <c r="L928" s="18"/>
      <c r="M928" s="18"/>
      <c r="N928" s="18"/>
      <c r="O928" s="18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>
      <c r="A929" s="1"/>
      <c r="B929" s="1"/>
      <c r="C929" s="18"/>
      <c r="D929" s="47"/>
      <c r="E929" s="18"/>
      <c r="F929" s="18"/>
      <c r="G929" s="18"/>
      <c r="H929" s="18"/>
      <c r="I929" s="25"/>
      <c r="J929" s="18"/>
      <c r="K929" s="18"/>
      <c r="L929" s="18"/>
      <c r="M929" s="18"/>
      <c r="N929" s="18"/>
      <c r="O929" s="18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>
      <c r="A930" s="1"/>
      <c r="B930" s="1"/>
      <c r="C930" s="18"/>
      <c r="D930" s="47"/>
      <c r="E930" s="18"/>
      <c r="F930" s="18"/>
      <c r="G930" s="18"/>
      <c r="H930" s="18"/>
      <c r="I930" s="25"/>
      <c r="J930" s="18"/>
      <c r="K930" s="18"/>
      <c r="L930" s="18"/>
      <c r="M930" s="18"/>
      <c r="N930" s="18"/>
      <c r="O930" s="18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>
      <c r="A931" s="1"/>
      <c r="B931" s="1"/>
      <c r="C931" s="18"/>
      <c r="D931" s="47"/>
      <c r="E931" s="18"/>
      <c r="F931" s="18"/>
      <c r="G931" s="18"/>
      <c r="H931" s="18"/>
      <c r="I931" s="25"/>
      <c r="J931" s="18"/>
      <c r="K931" s="18"/>
      <c r="L931" s="18"/>
      <c r="M931" s="18"/>
      <c r="N931" s="18"/>
      <c r="O931" s="18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>
      <c r="A932" s="1"/>
      <c r="B932" s="1"/>
      <c r="C932" s="18"/>
      <c r="D932" s="47"/>
      <c r="E932" s="18"/>
      <c r="F932" s="18"/>
      <c r="G932" s="18"/>
      <c r="H932" s="18"/>
      <c r="I932" s="25"/>
      <c r="J932" s="18"/>
      <c r="K932" s="18"/>
      <c r="L932" s="18"/>
      <c r="M932" s="18"/>
      <c r="N932" s="18"/>
      <c r="O932" s="18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>
      <c r="A933" s="1"/>
      <c r="B933" s="1"/>
      <c r="C933" s="18"/>
      <c r="D933" s="47"/>
      <c r="E933" s="18"/>
      <c r="F933" s="18"/>
      <c r="G933" s="18"/>
      <c r="H933" s="18"/>
      <c r="I933" s="25"/>
      <c r="J933" s="18"/>
      <c r="K933" s="18"/>
      <c r="L933" s="18"/>
      <c r="M933" s="18"/>
      <c r="N933" s="18"/>
      <c r="O933" s="18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>
      <c r="A934" s="1"/>
      <c r="B934" s="1"/>
      <c r="C934" s="18"/>
      <c r="D934" s="47"/>
      <c r="E934" s="18"/>
      <c r="F934" s="18"/>
      <c r="G934" s="18"/>
      <c r="H934" s="18"/>
      <c r="I934" s="25"/>
      <c r="J934" s="18"/>
      <c r="K934" s="18"/>
      <c r="L934" s="18"/>
      <c r="M934" s="18"/>
      <c r="N934" s="18"/>
      <c r="O934" s="18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>
      <c r="A935" s="1"/>
      <c r="B935" s="1"/>
      <c r="C935" s="18"/>
      <c r="D935" s="47"/>
      <c r="E935" s="18"/>
      <c r="F935" s="18"/>
      <c r="G935" s="18"/>
      <c r="H935" s="18"/>
      <c r="I935" s="25"/>
      <c r="J935" s="18"/>
      <c r="K935" s="18"/>
      <c r="L935" s="18"/>
      <c r="M935" s="18"/>
      <c r="N935" s="18"/>
      <c r="O935" s="18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>
      <c r="A936" s="1"/>
      <c r="B936" s="1"/>
      <c r="C936" s="18"/>
      <c r="D936" s="47"/>
      <c r="E936" s="18"/>
      <c r="F936" s="18"/>
      <c r="G936" s="18"/>
      <c r="H936" s="18"/>
      <c r="I936" s="25"/>
      <c r="J936" s="18"/>
      <c r="K936" s="18"/>
      <c r="L936" s="18"/>
      <c r="M936" s="18"/>
      <c r="N936" s="18"/>
      <c r="O936" s="18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>
      <c r="A937" s="1"/>
      <c r="B937" s="1"/>
      <c r="C937" s="18"/>
      <c r="D937" s="47"/>
      <c r="E937" s="18"/>
      <c r="F937" s="18"/>
      <c r="G937" s="18"/>
      <c r="H937" s="18"/>
      <c r="I937" s="25"/>
      <c r="J937" s="18"/>
      <c r="K937" s="18"/>
      <c r="L937" s="18"/>
      <c r="M937" s="18"/>
      <c r="N937" s="18"/>
      <c r="O937" s="18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>
      <c r="A938" s="1"/>
      <c r="B938" s="1"/>
      <c r="C938" s="18"/>
      <c r="D938" s="47"/>
      <c r="E938" s="18"/>
      <c r="F938" s="18"/>
      <c r="G938" s="18"/>
      <c r="H938" s="18"/>
      <c r="I938" s="25"/>
      <c r="J938" s="18"/>
      <c r="K938" s="18"/>
      <c r="L938" s="18"/>
      <c r="M938" s="18"/>
      <c r="N938" s="18"/>
      <c r="O938" s="18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>
      <c r="A939" s="1"/>
      <c r="B939" s="1"/>
      <c r="C939" s="18"/>
      <c r="D939" s="47"/>
      <c r="E939" s="18"/>
      <c r="F939" s="18"/>
      <c r="G939" s="18"/>
      <c r="H939" s="18"/>
      <c r="I939" s="25"/>
      <c r="J939" s="18"/>
      <c r="K939" s="18"/>
      <c r="L939" s="18"/>
      <c r="M939" s="18"/>
      <c r="N939" s="18"/>
      <c r="O939" s="18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>
      <c r="A940" s="1"/>
      <c r="B940" s="1"/>
      <c r="C940" s="18"/>
      <c r="D940" s="47"/>
      <c r="E940" s="18"/>
      <c r="F940" s="18"/>
      <c r="G940" s="18"/>
      <c r="H940" s="18"/>
      <c r="I940" s="25"/>
      <c r="J940" s="18"/>
      <c r="K940" s="18"/>
      <c r="L940" s="18"/>
      <c r="M940" s="18"/>
      <c r="N940" s="18"/>
      <c r="O940" s="18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>
      <c r="A941" s="1"/>
      <c r="B941" s="1"/>
      <c r="C941" s="18"/>
      <c r="D941" s="47"/>
      <c r="E941" s="18"/>
      <c r="F941" s="18"/>
      <c r="G941" s="18"/>
      <c r="H941" s="18"/>
      <c r="I941" s="25"/>
      <c r="J941" s="18"/>
      <c r="K941" s="18"/>
      <c r="L941" s="18"/>
      <c r="M941" s="18"/>
      <c r="N941" s="18"/>
      <c r="O941" s="18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>
      <c r="A942" s="1"/>
      <c r="B942" s="1"/>
      <c r="C942" s="18"/>
      <c r="D942" s="47"/>
      <c r="E942" s="18"/>
      <c r="F942" s="18"/>
      <c r="G942" s="18"/>
      <c r="H942" s="18"/>
      <c r="I942" s="25"/>
      <c r="J942" s="18"/>
      <c r="K942" s="18"/>
      <c r="L942" s="18"/>
      <c r="M942" s="18"/>
      <c r="N942" s="18"/>
      <c r="O942" s="18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>
      <c r="A943" s="1"/>
      <c r="B943" s="1"/>
      <c r="C943" s="18"/>
      <c r="D943" s="47"/>
      <c r="E943" s="18"/>
      <c r="F943" s="18"/>
      <c r="G943" s="18"/>
      <c r="H943" s="18"/>
      <c r="I943" s="25"/>
      <c r="J943" s="18"/>
      <c r="K943" s="18"/>
      <c r="L943" s="18"/>
      <c r="M943" s="18"/>
      <c r="N943" s="18"/>
      <c r="O943" s="18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>
      <c r="A944" s="1"/>
      <c r="B944" s="1"/>
      <c r="C944" s="18"/>
      <c r="D944" s="47"/>
      <c r="E944" s="18"/>
      <c r="F944" s="18"/>
      <c r="G944" s="18"/>
      <c r="H944" s="18"/>
      <c r="I944" s="25"/>
      <c r="J944" s="18"/>
      <c r="K944" s="18"/>
      <c r="L944" s="18"/>
      <c r="M944" s="18"/>
      <c r="N944" s="18"/>
      <c r="O944" s="18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>
      <c r="A945" s="1"/>
      <c r="B945" s="1"/>
      <c r="C945" s="18"/>
      <c r="D945" s="47"/>
      <c r="E945" s="18"/>
      <c r="F945" s="18"/>
      <c r="G945" s="18"/>
      <c r="H945" s="18"/>
      <c r="I945" s="25"/>
      <c r="J945" s="18"/>
      <c r="K945" s="18"/>
      <c r="L945" s="18"/>
      <c r="M945" s="18"/>
      <c r="N945" s="18"/>
      <c r="O945" s="18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>
      <c r="A946" s="1"/>
      <c r="B946" s="1"/>
      <c r="C946" s="18"/>
      <c r="D946" s="47"/>
      <c r="E946" s="18"/>
      <c r="F946" s="18"/>
      <c r="G946" s="18"/>
      <c r="H946" s="18"/>
      <c r="I946" s="25"/>
      <c r="J946" s="18"/>
      <c r="K946" s="18"/>
      <c r="L946" s="18"/>
      <c r="M946" s="18"/>
      <c r="N946" s="18"/>
      <c r="O946" s="18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>
      <c r="A947" s="1"/>
      <c r="B947" s="1"/>
      <c r="C947" s="18"/>
      <c r="D947" s="47"/>
      <c r="E947" s="18"/>
      <c r="F947" s="18"/>
      <c r="G947" s="18"/>
      <c r="H947" s="18"/>
      <c r="I947" s="25"/>
      <c r="J947" s="18"/>
      <c r="K947" s="18"/>
      <c r="L947" s="18"/>
      <c r="M947" s="18"/>
      <c r="N947" s="18"/>
      <c r="O947" s="18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>
      <c r="A948" s="1"/>
      <c r="B948" s="1"/>
      <c r="C948" s="18"/>
      <c r="D948" s="47"/>
      <c r="E948" s="18"/>
      <c r="F948" s="18"/>
      <c r="G948" s="18"/>
      <c r="H948" s="18"/>
      <c r="I948" s="25"/>
      <c r="J948" s="18"/>
      <c r="K948" s="18"/>
      <c r="L948" s="18"/>
      <c r="M948" s="18"/>
      <c r="N948" s="18"/>
      <c r="O948" s="18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>
      <c r="A949" s="1"/>
      <c r="B949" s="1"/>
      <c r="C949" s="18"/>
      <c r="D949" s="47"/>
      <c r="E949" s="18"/>
      <c r="F949" s="18"/>
      <c r="G949" s="18"/>
      <c r="H949" s="18"/>
      <c r="I949" s="25"/>
      <c r="J949" s="18"/>
      <c r="K949" s="18"/>
      <c r="L949" s="18"/>
      <c r="M949" s="18"/>
      <c r="N949" s="18"/>
      <c r="O949" s="18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>
      <c r="A950" s="1"/>
      <c r="B950" s="1"/>
      <c r="C950" s="18"/>
      <c r="D950" s="47"/>
      <c r="E950" s="18"/>
      <c r="F950" s="18"/>
      <c r="G950" s="18"/>
      <c r="H950" s="18"/>
      <c r="I950" s="25"/>
      <c r="J950" s="18"/>
      <c r="K950" s="18"/>
      <c r="L950" s="18"/>
      <c r="M950" s="18"/>
      <c r="N950" s="18"/>
      <c r="O950" s="18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>
      <c r="A951" s="1"/>
      <c r="B951" s="1"/>
      <c r="C951" s="18"/>
      <c r="D951" s="47"/>
      <c r="E951" s="18"/>
      <c r="F951" s="18"/>
      <c r="G951" s="18"/>
      <c r="H951" s="18"/>
      <c r="I951" s="25"/>
      <c r="J951" s="18"/>
      <c r="K951" s="18"/>
      <c r="L951" s="18"/>
      <c r="M951" s="18"/>
      <c r="N951" s="18"/>
      <c r="O951" s="18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>
      <c r="A952" s="1"/>
      <c r="B952" s="1"/>
      <c r="C952" s="18"/>
      <c r="D952" s="47"/>
      <c r="E952" s="18"/>
      <c r="F952" s="18"/>
      <c r="G952" s="18"/>
      <c r="H952" s="18"/>
      <c r="I952" s="25"/>
      <c r="J952" s="18"/>
      <c r="K952" s="18"/>
      <c r="L952" s="18"/>
      <c r="M952" s="18"/>
      <c r="N952" s="18"/>
      <c r="O952" s="18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>
      <c r="A953" s="1"/>
      <c r="B953" s="1"/>
      <c r="C953" s="18"/>
      <c r="D953" s="47"/>
      <c r="E953" s="18"/>
      <c r="F953" s="18"/>
      <c r="G953" s="18"/>
      <c r="H953" s="18"/>
      <c r="I953" s="25"/>
      <c r="J953" s="18"/>
      <c r="K953" s="18"/>
      <c r="L953" s="18"/>
      <c r="M953" s="18"/>
      <c r="N953" s="18"/>
      <c r="O953" s="18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>
      <c r="A954" s="1"/>
      <c r="B954" s="1"/>
      <c r="C954" s="18"/>
      <c r="D954" s="47"/>
      <c r="E954" s="18"/>
      <c r="F954" s="18"/>
      <c r="G954" s="18"/>
      <c r="H954" s="18"/>
      <c r="I954" s="25"/>
      <c r="J954" s="18"/>
      <c r="K954" s="18"/>
      <c r="L954" s="18"/>
      <c r="M954" s="18"/>
      <c r="N954" s="18"/>
      <c r="O954" s="18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>
      <c r="A955" s="1"/>
      <c r="B955" s="1"/>
      <c r="C955" s="18"/>
      <c r="D955" s="47"/>
      <c r="E955" s="18"/>
      <c r="F955" s="18"/>
      <c r="G955" s="18"/>
      <c r="H955" s="18"/>
      <c r="I955" s="25"/>
      <c r="J955" s="18"/>
      <c r="K955" s="18"/>
      <c r="L955" s="18"/>
      <c r="M955" s="18"/>
      <c r="N955" s="18"/>
      <c r="O955" s="18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>
      <c r="A956" s="1"/>
      <c r="B956" s="1"/>
      <c r="C956" s="18"/>
      <c r="D956" s="47"/>
      <c r="E956" s="18"/>
      <c r="F956" s="18"/>
      <c r="G956" s="18"/>
      <c r="H956" s="18"/>
      <c r="I956" s="25"/>
      <c r="J956" s="18"/>
      <c r="K956" s="18"/>
      <c r="L956" s="18"/>
      <c r="M956" s="18"/>
      <c r="N956" s="18"/>
      <c r="O956" s="18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>
      <c r="A957" s="1"/>
      <c r="B957" s="1"/>
      <c r="C957" s="18"/>
      <c r="D957" s="47"/>
      <c r="E957" s="18"/>
      <c r="F957" s="18"/>
      <c r="G957" s="18"/>
      <c r="H957" s="18"/>
      <c r="I957" s="25"/>
      <c r="J957" s="18"/>
      <c r="K957" s="18"/>
      <c r="L957" s="18"/>
      <c r="M957" s="18"/>
      <c r="N957" s="18"/>
      <c r="O957" s="18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>
      <c r="A958" s="1"/>
      <c r="B958" s="1"/>
      <c r="C958" s="18"/>
      <c r="D958" s="47"/>
      <c r="E958" s="18"/>
      <c r="F958" s="18"/>
      <c r="G958" s="18"/>
      <c r="H958" s="18"/>
      <c r="I958" s="25"/>
      <c r="J958" s="18"/>
      <c r="K958" s="18"/>
      <c r="L958" s="18"/>
      <c r="M958" s="18"/>
      <c r="N958" s="18"/>
      <c r="O958" s="18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>
      <c r="A959" s="1"/>
      <c r="B959" s="1"/>
      <c r="C959" s="18"/>
      <c r="D959" s="47"/>
      <c r="E959" s="18"/>
      <c r="F959" s="18"/>
      <c r="G959" s="18"/>
      <c r="H959" s="18"/>
      <c r="I959" s="25"/>
      <c r="J959" s="18"/>
      <c r="K959" s="18"/>
      <c r="L959" s="18"/>
      <c r="M959" s="18"/>
      <c r="N959" s="18"/>
      <c r="O959" s="18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>
      <c r="A960" s="1"/>
      <c r="B960" s="1"/>
      <c r="C960" s="18"/>
      <c r="D960" s="47"/>
      <c r="E960" s="18"/>
      <c r="F960" s="18"/>
      <c r="G960" s="18"/>
      <c r="H960" s="18"/>
      <c r="I960" s="25"/>
      <c r="J960" s="18"/>
      <c r="K960" s="18"/>
      <c r="L960" s="18"/>
      <c r="M960" s="18"/>
      <c r="N960" s="18"/>
      <c r="O960" s="18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>
      <c r="A961" s="1"/>
      <c r="B961" s="1"/>
      <c r="C961" s="18"/>
      <c r="D961" s="47"/>
      <c r="E961" s="18"/>
      <c r="F961" s="18"/>
      <c r="G961" s="18"/>
      <c r="H961" s="18"/>
      <c r="I961" s="25"/>
      <c r="J961" s="18"/>
      <c r="K961" s="18"/>
      <c r="L961" s="18"/>
      <c r="M961" s="18"/>
      <c r="N961" s="18"/>
      <c r="O961" s="18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>
      <c r="A962" s="1"/>
      <c r="B962" s="1"/>
      <c r="C962" s="18"/>
      <c r="D962" s="47"/>
      <c r="E962" s="18"/>
      <c r="F962" s="18"/>
      <c r="G962" s="18"/>
      <c r="H962" s="18"/>
      <c r="I962" s="25"/>
      <c r="J962" s="18"/>
      <c r="K962" s="18"/>
      <c r="L962" s="18"/>
      <c r="M962" s="18"/>
      <c r="N962" s="18"/>
      <c r="O962" s="18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>
      <c r="A963" s="1"/>
      <c r="B963" s="1"/>
      <c r="C963" s="18"/>
      <c r="D963" s="47"/>
      <c r="E963" s="18"/>
      <c r="F963" s="18"/>
      <c r="G963" s="18"/>
      <c r="H963" s="18"/>
      <c r="I963" s="25"/>
      <c r="J963" s="18"/>
      <c r="K963" s="18"/>
      <c r="L963" s="18"/>
      <c r="M963" s="18"/>
      <c r="N963" s="18"/>
      <c r="O963" s="18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>
      <c r="A964" s="1"/>
      <c r="B964" s="1"/>
      <c r="C964" s="18"/>
      <c r="D964" s="47"/>
      <c r="E964" s="18"/>
      <c r="F964" s="18"/>
      <c r="G964" s="18"/>
      <c r="H964" s="18"/>
      <c r="I964" s="25"/>
      <c r="J964" s="18"/>
      <c r="K964" s="18"/>
      <c r="L964" s="18"/>
      <c r="M964" s="18"/>
      <c r="N964" s="18"/>
      <c r="O964" s="18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>
      <c r="A965" s="1"/>
      <c r="B965" s="1"/>
      <c r="C965" s="18"/>
      <c r="D965" s="47"/>
      <c r="E965" s="18"/>
      <c r="F965" s="18"/>
      <c r="G965" s="18"/>
      <c r="H965" s="18"/>
      <c r="I965" s="25"/>
      <c r="J965" s="18"/>
      <c r="K965" s="18"/>
      <c r="L965" s="18"/>
      <c r="M965" s="18"/>
      <c r="N965" s="18"/>
      <c r="O965" s="18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>
      <c r="A966" s="1"/>
      <c r="B966" s="1"/>
      <c r="C966" s="18"/>
      <c r="D966" s="47"/>
      <c r="E966" s="18"/>
      <c r="F966" s="18"/>
      <c r="G966" s="18"/>
      <c r="H966" s="18"/>
      <c r="I966" s="25"/>
      <c r="J966" s="18"/>
      <c r="K966" s="18"/>
      <c r="L966" s="18"/>
      <c r="M966" s="18"/>
      <c r="N966" s="18"/>
      <c r="O966" s="18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>
      <c r="A967" s="1"/>
      <c r="B967" s="1"/>
      <c r="C967" s="18"/>
      <c r="D967" s="47"/>
      <c r="E967" s="18"/>
      <c r="F967" s="18"/>
      <c r="G967" s="18"/>
      <c r="H967" s="18"/>
      <c r="I967" s="25"/>
      <c r="J967" s="18"/>
      <c r="K967" s="18"/>
      <c r="L967" s="18"/>
      <c r="M967" s="18"/>
      <c r="N967" s="18"/>
      <c r="O967" s="18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>
      <c r="A968" s="1"/>
      <c r="B968" s="1"/>
      <c r="C968" s="18"/>
      <c r="D968" s="47"/>
      <c r="E968" s="18"/>
      <c r="F968" s="18"/>
      <c r="G968" s="18"/>
      <c r="H968" s="18"/>
      <c r="I968" s="25"/>
      <c r="J968" s="18"/>
      <c r="K968" s="18"/>
      <c r="L968" s="18"/>
      <c r="M968" s="18"/>
      <c r="N968" s="18"/>
      <c r="O968" s="18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>
      <c r="A969" s="1"/>
      <c r="B969" s="1"/>
      <c r="C969" s="18"/>
      <c r="D969" s="47"/>
      <c r="E969" s="18"/>
      <c r="F969" s="18"/>
      <c r="G969" s="18"/>
      <c r="H969" s="18"/>
      <c r="I969" s="25"/>
      <c r="J969" s="18"/>
      <c r="K969" s="18"/>
      <c r="L969" s="18"/>
      <c r="M969" s="18"/>
      <c r="N969" s="18"/>
      <c r="O969" s="18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>
      <c r="A970" s="1"/>
      <c r="B970" s="1"/>
      <c r="C970" s="18"/>
      <c r="D970" s="47"/>
      <c r="E970" s="18"/>
      <c r="F970" s="18"/>
      <c r="G970" s="18"/>
      <c r="H970" s="18"/>
      <c r="I970" s="25"/>
      <c r="J970" s="18"/>
      <c r="K970" s="18"/>
      <c r="L970" s="18"/>
      <c r="M970" s="18"/>
      <c r="N970" s="18"/>
      <c r="O970" s="18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>
      <c r="A971" s="1"/>
      <c r="B971" s="1"/>
      <c r="C971" s="18"/>
      <c r="D971" s="47"/>
      <c r="E971" s="18"/>
      <c r="F971" s="18"/>
      <c r="G971" s="18"/>
      <c r="H971" s="18"/>
      <c r="I971" s="25"/>
      <c r="J971" s="18"/>
      <c r="K971" s="18"/>
      <c r="L971" s="18"/>
      <c r="M971" s="18"/>
      <c r="N971" s="18"/>
      <c r="O971" s="18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>
      <c r="A972" s="1"/>
      <c r="B972" s="1"/>
      <c r="C972" s="18"/>
      <c r="D972" s="47"/>
      <c r="E972" s="18"/>
      <c r="F972" s="18"/>
      <c r="G972" s="18"/>
      <c r="H972" s="18"/>
      <c r="I972" s="25"/>
      <c r="J972" s="18"/>
      <c r="K972" s="18"/>
      <c r="L972" s="18"/>
      <c r="M972" s="18"/>
      <c r="N972" s="18"/>
      <c r="O972" s="18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>
      <c r="A973" s="1"/>
      <c r="B973" s="1"/>
      <c r="C973" s="18"/>
      <c r="D973" s="47"/>
      <c r="E973" s="18"/>
      <c r="F973" s="18"/>
      <c r="G973" s="18"/>
      <c r="H973" s="18"/>
      <c r="I973" s="25"/>
      <c r="J973" s="18"/>
      <c r="K973" s="18"/>
      <c r="L973" s="18"/>
      <c r="M973" s="18"/>
      <c r="N973" s="18"/>
      <c r="O973" s="18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>
      <c r="A974" s="1"/>
      <c r="B974" s="1"/>
      <c r="C974" s="18"/>
      <c r="D974" s="47"/>
      <c r="E974" s="18"/>
      <c r="F974" s="18"/>
      <c r="G974" s="18"/>
      <c r="H974" s="18"/>
      <c r="I974" s="25"/>
      <c r="J974" s="18"/>
      <c r="K974" s="18"/>
      <c r="L974" s="18"/>
      <c r="M974" s="18"/>
      <c r="N974" s="18"/>
      <c r="O974" s="18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>
      <c r="A975" s="1"/>
      <c r="B975" s="1"/>
      <c r="C975" s="18"/>
      <c r="D975" s="47"/>
      <c r="E975" s="18"/>
      <c r="F975" s="18"/>
      <c r="G975" s="18"/>
      <c r="H975" s="18"/>
      <c r="I975" s="25"/>
      <c r="J975" s="18"/>
      <c r="K975" s="18"/>
      <c r="L975" s="18"/>
      <c r="M975" s="18"/>
      <c r="N975" s="18"/>
      <c r="O975" s="18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>
      <c r="A976" s="1"/>
      <c r="B976" s="1"/>
      <c r="C976" s="18"/>
      <c r="D976" s="47"/>
      <c r="E976" s="18"/>
      <c r="F976" s="18"/>
      <c r="G976" s="18"/>
      <c r="H976" s="18"/>
      <c r="I976" s="25"/>
      <c r="J976" s="18"/>
      <c r="K976" s="18"/>
      <c r="L976" s="18"/>
      <c r="M976" s="18"/>
      <c r="N976" s="18"/>
      <c r="O976" s="18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>
      <c r="A977" s="1"/>
      <c r="B977" s="1"/>
      <c r="C977" s="18"/>
      <c r="D977" s="47"/>
      <c r="E977" s="18"/>
      <c r="F977" s="18"/>
      <c r="G977" s="18"/>
      <c r="H977" s="18"/>
      <c r="I977" s="25"/>
      <c r="J977" s="18"/>
      <c r="K977" s="18"/>
      <c r="L977" s="18"/>
      <c r="M977" s="18"/>
      <c r="N977" s="18"/>
      <c r="O977" s="18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>
      <c r="A978" s="1"/>
      <c r="B978" s="1"/>
      <c r="C978" s="18"/>
      <c r="D978" s="47"/>
      <c r="E978" s="18"/>
      <c r="F978" s="18"/>
      <c r="G978" s="18"/>
      <c r="H978" s="18"/>
      <c r="I978" s="25"/>
      <c r="J978" s="18"/>
      <c r="K978" s="18"/>
      <c r="L978" s="18"/>
      <c r="M978" s="18"/>
      <c r="N978" s="18"/>
      <c r="O978" s="18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>
      <c r="A979" s="1"/>
      <c r="B979" s="1"/>
      <c r="C979" s="18"/>
      <c r="D979" s="47"/>
      <c r="E979" s="18"/>
      <c r="F979" s="18"/>
      <c r="G979" s="18"/>
      <c r="H979" s="18"/>
      <c r="I979" s="25"/>
      <c r="J979" s="18"/>
      <c r="K979" s="18"/>
      <c r="L979" s="18"/>
      <c r="M979" s="18"/>
      <c r="N979" s="18"/>
      <c r="O979" s="18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>
      <c r="A980" s="1"/>
      <c r="B980" s="1"/>
      <c r="C980" s="18"/>
      <c r="D980" s="47"/>
      <c r="E980" s="18"/>
      <c r="F980" s="18"/>
      <c r="G980" s="18"/>
      <c r="H980" s="18"/>
      <c r="I980" s="25"/>
      <c r="J980" s="18"/>
      <c r="K980" s="18"/>
      <c r="L980" s="18"/>
      <c r="M980" s="18"/>
      <c r="N980" s="18"/>
      <c r="O980" s="18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>
      <c r="A981" s="1"/>
      <c r="B981" s="1"/>
      <c r="C981" s="18"/>
      <c r="D981" s="47"/>
      <c r="E981" s="18"/>
      <c r="F981" s="18"/>
      <c r="G981" s="18"/>
      <c r="H981" s="18"/>
      <c r="I981" s="25"/>
      <c r="J981" s="18"/>
      <c r="K981" s="18"/>
      <c r="L981" s="18"/>
      <c r="M981" s="18"/>
      <c r="N981" s="18"/>
      <c r="O981" s="18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>
      <c r="A982" s="1"/>
      <c r="B982" s="1"/>
      <c r="C982" s="18"/>
      <c r="D982" s="47"/>
      <c r="E982" s="18"/>
      <c r="F982" s="18"/>
      <c r="G982" s="18"/>
      <c r="H982" s="18"/>
      <c r="I982" s="25"/>
      <c r="J982" s="18"/>
      <c r="K982" s="18"/>
      <c r="L982" s="18"/>
      <c r="M982" s="18"/>
      <c r="N982" s="18"/>
      <c r="O982" s="18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>
      <c r="A983" s="1"/>
      <c r="B983" s="1"/>
      <c r="C983" s="18"/>
      <c r="D983" s="47"/>
      <c r="E983" s="18"/>
      <c r="F983" s="18"/>
      <c r="G983" s="18"/>
      <c r="H983" s="18"/>
      <c r="I983" s="25"/>
      <c r="J983" s="18"/>
      <c r="K983" s="18"/>
      <c r="L983" s="18"/>
      <c r="M983" s="18"/>
      <c r="N983" s="18"/>
      <c r="O983" s="18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>
      <c r="A984" s="1"/>
      <c r="B984" s="1"/>
      <c r="C984" s="18"/>
      <c r="D984" s="47"/>
      <c r="E984" s="18"/>
      <c r="F984" s="18"/>
      <c r="G984" s="18"/>
      <c r="H984" s="18"/>
      <c r="I984" s="25"/>
      <c r="J984" s="18"/>
      <c r="K984" s="18"/>
      <c r="L984" s="18"/>
      <c r="M984" s="18"/>
      <c r="N984" s="18"/>
      <c r="O984" s="18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>
      <c r="A985" s="1"/>
      <c r="B985" s="1"/>
      <c r="C985" s="18"/>
      <c r="D985" s="47"/>
      <c r="E985" s="18"/>
      <c r="F985" s="18"/>
      <c r="G985" s="18"/>
      <c r="H985" s="18"/>
      <c r="I985" s="25"/>
      <c r="J985" s="18"/>
      <c r="K985" s="18"/>
      <c r="L985" s="18"/>
      <c r="M985" s="18"/>
      <c r="N985" s="18"/>
      <c r="O985" s="18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>
      <c r="A986" s="1"/>
      <c r="B986" s="1"/>
      <c r="C986" s="18"/>
      <c r="D986" s="47"/>
      <c r="E986" s="18"/>
      <c r="F986" s="18"/>
      <c r="G986" s="18"/>
      <c r="H986" s="18"/>
      <c r="I986" s="25"/>
      <c r="J986" s="18"/>
      <c r="K986" s="18"/>
      <c r="L986" s="18"/>
      <c r="M986" s="18"/>
      <c r="N986" s="18"/>
      <c r="O986" s="18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>
      <c r="A987" s="1"/>
      <c r="B987" s="1"/>
      <c r="C987" s="18"/>
      <c r="D987" s="47"/>
      <c r="E987" s="18"/>
      <c r="F987" s="18"/>
      <c r="G987" s="18"/>
      <c r="H987" s="18"/>
      <c r="I987" s="25"/>
      <c r="J987" s="18"/>
      <c r="K987" s="18"/>
      <c r="L987" s="18"/>
      <c r="M987" s="18"/>
      <c r="N987" s="18"/>
      <c r="O987" s="18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>
      <c r="A988" s="1"/>
      <c r="B988" s="1"/>
      <c r="C988" s="18"/>
      <c r="D988" s="47"/>
      <c r="E988" s="18"/>
      <c r="F988" s="18"/>
      <c r="G988" s="18"/>
      <c r="H988" s="18"/>
      <c r="I988" s="25"/>
      <c r="J988" s="18"/>
      <c r="K988" s="18"/>
      <c r="L988" s="18"/>
      <c r="M988" s="18"/>
      <c r="N988" s="18"/>
      <c r="O988" s="18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>
      <c r="A989" s="1"/>
      <c r="B989" s="1"/>
      <c r="C989" s="18"/>
      <c r="D989" s="47"/>
      <c r="E989" s="18"/>
      <c r="F989" s="18"/>
      <c r="G989" s="18"/>
      <c r="H989" s="18"/>
      <c r="I989" s="25"/>
      <c r="J989" s="18"/>
      <c r="K989" s="18"/>
      <c r="L989" s="18"/>
      <c r="M989" s="18"/>
      <c r="N989" s="18"/>
      <c r="O989" s="18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>
      <c r="A990" s="1"/>
      <c r="B990" s="1"/>
      <c r="C990" s="18"/>
      <c r="D990" s="47"/>
      <c r="E990" s="18"/>
      <c r="F990" s="18"/>
      <c r="G990" s="18"/>
      <c r="H990" s="18"/>
      <c r="I990" s="25"/>
      <c r="J990" s="18"/>
      <c r="K990" s="18"/>
      <c r="L990" s="18"/>
      <c r="M990" s="18"/>
      <c r="N990" s="18"/>
      <c r="O990" s="18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>
      <c r="A991" s="1"/>
      <c r="B991" s="1"/>
      <c r="C991" s="18"/>
      <c r="D991" s="47"/>
      <c r="E991" s="18"/>
      <c r="F991" s="18"/>
      <c r="G991" s="18"/>
      <c r="H991" s="18"/>
      <c r="I991" s="25"/>
      <c r="J991" s="18"/>
      <c r="K991" s="18"/>
      <c r="L991" s="18"/>
      <c r="M991" s="18"/>
      <c r="N991" s="18"/>
      <c r="O991" s="18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>
      <c r="A992" s="1"/>
      <c r="B992" s="1"/>
      <c r="C992" s="18"/>
      <c r="D992" s="47"/>
      <c r="E992" s="18"/>
      <c r="F992" s="18"/>
      <c r="G992" s="18"/>
      <c r="H992" s="18"/>
      <c r="I992" s="25"/>
      <c r="J992" s="18"/>
      <c r="K992" s="18"/>
      <c r="L992" s="18"/>
      <c r="M992" s="18"/>
      <c r="N992" s="18"/>
      <c r="O992" s="18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>
      <c r="A993" s="1"/>
      <c r="B993" s="1"/>
      <c r="C993" s="18"/>
      <c r="D993" s="47"/>
      <c r="E993" s="18"/>
      <c r="F993" s="18"/>
      <c r="G993" s="18"/>
      <c r="H993" s="18"/>
      <c r="I993" s="25"/>
      <c r="J993" s="18"/>
      <c r="K993" s="18"/>
      <c r="L993" s="18"/>
      <c r="M993" s="18"/>
      <c r="N993" s="18"/>
      <c r="O993" s="18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>
      <c r="A994" s="1"/>
      <c r="B994" s="1"/>
      <c r="C994" s="18"/>
      <c r="D994" s="47"/>
      <c r="E994" s="18"/>
      <c r="F994" s="18"/>
      <c r="G994" s="18"/>
      <c r="H994" s="18"/>
      <c r="I994" s="25"/>
      <c r="J994" s="18"/>
      <c r="K994" s="18"/>
      <c r="L994" s="18"/>
      <c r="M994" s="18"/>
      <c r="N994" s="18"/>
      <c r="O994" s="18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>
      <c r="A995" s="1"/>
      <c r="B995" s="1"/>
      <c r="C995" s="18"/>
      <c r="D995" s="47"/>
      <c r="E995" s="18"/>
      <c r="F995" s="18"/>
      <c r="G995" s="18"/>
      <c r="H995" s="18"/>
      <c r="I995" s="25"/>
      <c r="J995" s="18"/>
      <c r="K995" s="18"/>
      <c r="L995" s="18"/>
      <c r="M995" s="18"/>
      <c r="N995" s="18"/>
      <c r="O995" s="18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>
      <c r="A996" s="1"/>
      <c r="B996" s="1"/>
      <c r="C996" s="18"/>
      <c r="D996" s="47"/>
      <c r="E996" s="18"/>
      <c r="F996" s="18"/>
      <c r="G996" s="18"/>
      <c r="H996" s="18"/>
      <c r="I996" s="25"/>
      <c r="J996" s="18"/>
      <c r="K996" s="18"/>
      <c r="L996" s="18"/>
      <c r="M996" s="18"/>
      <c r="N996" s="18"/>
      <c r="O996" s="18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</sheetData>
  <conditionalFormatting sqref="F1:F996">
    <cfRule type="containsText" dxfId="0" priority="1" operator="containsText" text="Propulsion">
      <formula>NOT(ISERROR(SEARCH(("Propulsion"),(F1))))</formula>
    </cfRule>
  </conditionalFormatting>
  <conditionalFormatting sqref="F1:F996">
    <cfRule type="containsText" dxfId="1" priority="2" operator="containsText" text="Avionics">
      <formula>NOT(ISERROR(SEARCH(("Avionics"),(F1))))</formula>
    </cfRule>
  </conditionalFormatting>
  <conditionalFormatting sqref="F1:F996">
    <cfRule type="containsText" dxfId="2" priority="3" operator="containsText" text="Structures">
      <formula>NOT(ISERROR(SEARCH(("Structures"),(F1))))</formula>
    </cfRule>
  </conditionalFormatting>
  <conditionalFormatting sqref="F1:F996">
    <cfRule type="containsText" dxfId="3" priority="4" operator="containsText" text="Systems">
      <formula>NOT(ISERROR(SEARCH(("Systems"),(F1))))</formula>
    </cfRule>
  </conditionalFormatting>
  <hyperlinks>
    <hyperlink r:id="rId1" ref="N2"/>
    <hyperlink r:id="rId2" ref="N3"/>
    <hyperlink r:id="rId3" ref="P3"/>
    <hyperlink r:id="rId4" ref="N4"/>
    <hyperlink r:id="rId5" ref="N5"/>
    <hyperlink r:id="rId6" ref="P5"/>
    <hyperlink r:id="rId7" ref="P6"/>
    <hyperlink r:id="rId8" ref="P7"/>
    <hyperlink r:id="rId9" ref="P8"/>
    <hyperlink r:id="rId10" ref="P9"/>
    <hyperlink r:id="rId11" ref="P10"/>
    <hyperlink r:id="rId12" ref="P11"/>
  </hyperlinks>
  <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9">
        <f>IFERROR(__xludf.DUMMYFUNCTION("Filter('10_ASSEMBLY'!C2:Z996,'10_ASSEMBLY'!D2:D2000&gt;0)"),10001.0)</f>
        <v>10001</v>
      </c>
      <c r="B1" s="119" t="str">
        <f>IFERROR(__xludf.DUMMYFUNCTION("""COMPUTED_VALUE"""),"R14")</f>
        <v>R14</v>
      </c>
      <c r="C1" t="str">
        <f>IFERROR(__xludf.DUMMYFUNCTION("""COMPUTED_VALUE"""),"Marginal_Stability_Assembly")</f>
        <v>Marginal_Stability_Assembly</v>
      </c>
      <c r="D1" t="str">
        <f>IFERROR(__xludf.DUMMYFUNCTION("""COMPUTED_VALUE"""),"Structures")</f>
        <v>Structures</v>
      </c>
      <c r="E1" t="str">
        <f>IFERROR(__xludf.DUMMYFUNCTION("""COMPUTED_VALUE"""),"SolidWorks")</f>
        <v>SolidWorks</v>
      </c>
      <c r="F1" t="str">
        <f>IFERROR(__xludf.DUMMYFUNCTION("""COMPUTED_VALUE"""),"Marginal Stability")</f>
        <v>Marginal Stability</v>
      </c>
      <c r="G1" t="str">
        <f>IFERROR(__xludf.DUMMYFUNCTION("""COMPUTED_VALUE"""),"Primary 8"" vehicle assembly with current versions of parts")</f>
        <v>Primary 8" vehicle assembly with current versions of parts</v>
      </c>
      <c r="H1" t="str">
        <f>IFERROR(__xludf.DUMMYFUNCTION("""COMPUTED_VALUE"""),"Multiple")</f>
        <v>Multiple</v>
      </c>
      <c r="I1" t="str">
        <f>IFERROR(__xludf.DUMMYFUNCTION("""COMPUTED_VALUE"""),"Imperial")</f>
        <v>Imperial</v>
      </c>
      <c r="J1" t="str">
        <f>IFERROR(__xludf.DUMMYFUNCTION("""COMPUTED_VALUE"""),"Joshua Elmer")</f>
        <v>Joshua Elmer</v>
      </c>
      <c r="K1" s="49">
        <f>IFERROR(__xludf.DUMMYFUNCTION("""COMPUTED_VALUE"""),43382.0)</f>
        <v>43382</v>
      </c>
      <c r="L1" s="120" t="str">
        <f>IFERROR(__xludf.DUMMYFUNCTION("""COMPUTED_VALUE"""),"https://drive.google.com/open?id=1noHuwCSEkvqI1xknd8j9MHQTjYJJ14jH")</f>
        <v>https://drive.google.com/open?id=1noHuwCSEkvqI1xknd8j9MHQTjYJJ14jH</v>
      </c>
      <c r="M1" t="str">
        <f>IFERROR(__xludf.DUMMYFUNCTION("""COMPUTED_VALUE"""),"In progress")</f>
        <v>In progress</v>
      </c>
      <c r="N1" t="str">
        <f>IFERROR(__xludf.DUMMYFUNCTION("""COMPUTED_VALUE"""),"")</f>
        <v/>
      </c>
      <c r="O1" t="str">
        <f>IFERROR(__xludf.DUMMYFUNCTION("""COMPUTED_VALUE"""),"")</f>
        <v/>
      </c>
      <c r="P1" t="str">
        <f>IFERROR(__xludf.DUMMYFUNCTION("""COMPUTED_VALUE"""),"")</f>
        <v/>
      </c>
      <c r="Q1" t="str">
        <f>IFERROR(__xludf.DUMMYFUNCTION("""COMPUTED_VALUE"""),"")</f>
        <v/>
      </c>
      <c r="R1" t="str">
        <f>IFERROR(__xludf.DUMMYFUNCTION("""COMPUTED_VALUE"""),"")</f>
        <v/>
      </c>
      <c r="S1" t="str">
        <f>IFERROR(__xludf.DUMMYFUNCTION("""COMPUTED_VALUE"""),"")</f>
        <v/>
      </c>
      <c r="T1" t="str">
        <f>IFERROR(__xludf.DUMMYFUNCTION("""COMPUTED_VALUE"""),"")</f>
        <v/>
      </c>
      <c r="U1" t="str">
        <f>IFERROR(__xludf.DUMMYFUNCTION("""COMPUTED_VALUE"""),"")</f>
        <v/>
      </c>
      <c r="V1" t="str">
        <f>IFERROR(__xludf.DUMMYFUNCTION("""COMPUTED_VALUE"""),"")</f>
        <v/>
      </c>
      <c r="W1" t="str">
        <f>IFERROR(__xludf.DUMMYFUNCTION("""COMPUTED_VALUE"""),"")</f>
        <v/>
      </c>
      <c r="X1" t="str">
        <f>IFERROR(__xludf.DUMMYFUNCTION("""COMPUTED_VALUE"""),"")</f>
        <v/>
      </c>
      <c r="Y1" t="str">
        <f>IFERROR(__xludf.DUMMYFUNCTION("""COMPUTED_VALUE"""),"")</f>
        <v/>
      </c>
      <c r="Z1" t="str">
        <f>IFERROR(__xludf.DUMMYFUNCTION("""COMPUTED_VALUE"""),"")</f>
        <v/>
      </c>
    </row>
    <row r="2">
      <c r="A2" s="119">
        <f>IFERROR(__xludf.DUMMYFUNCTION("""COMPUTED_VALUE"""),10002.0)</f>
        <v>10002</v>
      </c>
      <c r="B2" s="119" t="str">
        <f>IFERROR(__xludf.DUMMYFUNCTION("""COMPUTED_VALUE"""),"R03")</f>
        <v>R03</v>
      </c>
      <c r="C2" t="str">
        <f>IFERROR(__xludf.DUMMYFUNCTION("""COMPUTED_VALUE"""),"Fin_Assembly")</f>
        <v>Fin_Assembly</v>
      </c>
      <c r="D2" t="str">
        <f>IFERROR(__xludf.DUMMYFUNCTION("""COMPUTED_VALUE"""),"Structures")</f>
        <v>Structures</v>
      </c>
      <c r="E2" t="str">
        <f>IFERROR(__xludf.DUMMYFUNCTION("""COMPUTED_VALUE"""),"SolidWorks")</f>
        <v>SolidWorks</v>
      </c>
      <c r="F2" t="str">
        <f>IFERROR(__xludf.DUMMYFUNCTION("""COMPUTED_VALUE"""),"Marginal Stability")</f>
        <v>Marginal Stability</v>
      </c>
      <c r="G2" t="str">
        <f>IFERROR(__xludf.DUMMYFUNCTION("""COMPUTED_VALUE"""),"Assembly of fins")</f>
        <v>Assembly of fins</v>
      </c>
      <c r="H2" t="str">
        <f>IFERROR(__xludf.DUMMYFUNCTION("""COMPUTED_VALUE"""),"Multiple")</f>
        <v>Multiple</v>
      </c>
      <c r="I2" t="str">
        <f>IFERROR(__xludf.DUMMYFUNCTION("""COMPUTED_VALUE"""),"Imperial")</f>
        <v>Imperial</v>
      </c>
      <c r="J2" t="str">
        <f>IFERROR(__xludf.DUMMYFUNCTION("""COMPUTED_VALUE"""),"Harrison McCorkle")</f>
        <v>Harrison McCorkle</v>
      </c>
      <c r="K2" s="49">
        <f>IFERROR(__xludf.DUMMYFUNCTION("""COMPUTED_VALUE"""),43396.0)</f>
        <v>43396</v>
      </c>
      <c r="L2" s="120" t="str">
        <f>IFERROR(__xludf.DUMMYFUNCTION("""COMPUTED_VALUE"""),"https://drive.google.com/open?id=1J1JgiIaDe-UVmuuoyPsjyfWX5h_Xqv0Y")</f>
        <v>https://drive.google.com/open?id=1J1JgiIaDe-UVmuuoyPsjyfWX5h_Xqv0Y</v>
      </c>
      <c r="M2" t="str">
        <f>IFERROR(__xludf.DUMMYFUNCTION("""COMPUTED_VALUE"""),"In progress")</f>
        <v>In progress</v>
      </c>
      <c r="N2" t="str">
        <f>IFERROR(__xludf.DUMMYFUNCTION("""COMPUTED_VALUE"""),"")</f>
        <v/>
      </c>
      <c r="O2" t="str">
        <f>IFERROR(__xludf.DUMMYFUNCTION("""COMPUTED_VALUE"""),"")</f>
        <v/>
      </c>
      <c r="P2" t="str">
        <f>IFERROR(__xludf.DUMMYFUNCTION("""COMPUTED_VALUE"""),"")</f>
        <v/>
      </c>
      <c r="Q2" t="str">
        <f>IFERROR(__xludf.DUMMYFUNCTION("""COMPUTED_VALUE"""),"")</f>
        <v/>
      </c>
      <c r="R2" t="str">
        <f>IFERROR(__xludf.DUMMYFUNCTION("""COMPUTED_VALUE"""),"")</f>
        <v/>
      </c>
      <c r="S2" t="str">
        <f>IFERROR(__xludf.DUMMYFUNCTION("""COMPUTED_VALUE"""),"")</f>
        <v/>
      </c>
      <c r="T2" t="str">
        <f>IFERROR(__xludf.DUMMYFUNCTION("""COMPUTED_VALUE"""),"")</f>
        <v/>
      </c>
      <c r="U2" t="str">
        <f>IFERROR(__xludf.DUMMYFUNCTION("""COMPUTED_VALUE"""),"")</f>
        <v/>
      </c>
      <c r="V2" t="str">
        <f>IFERROR(__xludf.DUMMYFUNCTION("""COMPUTED_VALUE"""),"")</f>
        <v/>
      </c>
      <c r="W2" t="str">
        <f>IFERROR(__xludf.DUMMYFUNCTION("""COMPUTED_VALUE"""),"")</f>
        <v/>
      </c>
      <c r="X2" t="str">
        <f>IFERROR(__xludf.DUMMYFUNCTION("""COMPUTED_VALUE"""),"")</f>
        <v/>
      </c>
      <c r="Y2" t="str">
        <f>IFERROR(__xludf.DUMMYFUNCTION("""COMPUTED_VALUE"""),"")</f>
        <v/>
      </c>
      <c r="Z2" t="str">
        <f>IFERROR(__xludf.DUMMYFUNCTION("""COMPUTED_VALUE"""),"")</f>
        <v/>
      </c>
    </row>
    <row r="3">
      <c r="A3" s="119">
        <f>IFERROR(__xludf.DUMMYFUNCTION("""COMPUTED_VALUE"""),10003.0)</f>
        <v>10003</v>
      </c>
      <c r="B3" s="119" t="str">
        <f>IFERROR(__xludf.DUMMYFUNCTION("""COMPUTED_VALUE"""),"R02")</f>
        <v>R02</v>
      </c>
      <c r="C3" t="str">
        <f>IFERROR(__xludf.DUMMYFUNCTION("""COMPUTED_VALUE"""),"Nose_Cone")</f>
        <v>Nose_Cone</v>
      </c>
      <c r="D3" t="str">
        <f>IFERROR(__xludf.DUMMYFUNCTION("""COMPUTED_VALUE"""),"Structures")</f>
        <v>Structures</v>
      </c>
      <c r="E3" t="str">
        <f>IFERROR(__xludf.DUMMYFUNCTION("""COMPUTED_VALUE"""),"SolidWorks")</f>
        <v>SolidWorks</v>
      </c>
      <c r="F3" t="str">
        <f>IFERROR(__xludf.DUMMYFUNCTION("""COMPUTED_VALUE"""),"Marginal Stability")</f>
        <v>Marginal Stability</v>
      </c>
      <c r="G3" t="str">
        <f>IFERROR(__xludf.DUMMYFUNCTION("""COMPUTED_VALUE"""),"Assembly of Nose Cone")</f>
        <v>Assembly of Nose Cone</v>
      </c>
      <c r="H3" t="str">
        <f>IFERROR(__xludf.DUMMYFUNCTION("""COMPUTED_VALUE"""),"Multiple")</f>
        <v>Multiple</v>
      </c>
      <c r="I3" t="str">
        <f>IFERROR(__xludf.DUMMYFUNCTION("""COMPUTED_VALUE"""),"Imperial")</f>
        <v>Imperial</v>
      </c>
      <c r="J3" t="str">
        <f>IFERROR(__xludf.DUMMYFUNCTION("""COMPUTED_VALUE"""),"Mathew Lok")</f>
        <v>Mathew Lok</v>
      </c>
      <c r="K3" s="49">
        <f>IFERROR(__xludf.DUMMYFUNCTION("""COMPUTED_VALUE"""),43386.0)</f>
        <v>43386</v>
      </c>
      <c r="L3" s="120" t="str">
        <f>IFERROR(__xludf.DUMMYFUNCTION("""COMPUTED_VALUE"""),"https://drive.google.com/open?id=1jDjs2Hw2T3HGTmtF-s-Qxh8RlcR6SeOB")</f>
        <v>https://drive.google.com/open?id=1jDjs2Hw2T3HGTmtF-s-Qxh8RlcR6SeOB</v>
      </c>
      <c r="M3" t="str">
        <f>IFERROR(__xludf.DUMMYFUNCTION("""COMPUTED_VALUE"""),"In progress")</f>
        <v>In progress</v>
      </c>
      <c r="N3" t="str">
        <f>IFERROR(__xludf.DUMMYFUNCTION("""COMPUTED_VALUE"""),"")</f>
        <v/>
      </c>
      <c r="O3" t="str">
        <f>IFERROR(__xludf.DUMMYFUNCTION("""COMPUTED_VALUE"""),"")</f>
        <v/>
      </c>
      <c r="P3" t="str">
        <f>IFERROR(__xludf.DUMMYFUNCTION("""COMPUTED_VALUE"""),"")</f>
        <v/>
      </c>
      <c r="Q3" t="str">
        <f>IFERROR(__xludf.DUMMYFUNCTION("""COMPUTED_VALUE"""),"")</f>
        <v/>
      </c>
      <c r="R3" t="str">
        <f>IFERROR(__xludf.DUMMYFUNCTION("""COMPUTED_VALUE"""),"")</f>
        <v/>
      </c>
      <c r="S3" t="str">
        <f>IFERROR(__xludf.DUMMYFUNCTION("""COMPUTED_VALUE"""),"")</f>
        <v/>
      </c>
      <c r="T3" t="str">
        <f>IFERROR(__xludf.DUMMYFUNCTION("""COMPUTED_VALUE"""),"")</f>
        <v/>
      </c>
      <c r="U3" t="str">
        <f>IFERROR(__xludf.DUMMYFUNCTION("""COMPUTED_VALUE"""),"")</f>
        <v/>
      </c>
      <c r="V3" t="str">
        <f>IFERROR(__xludf.DUMMYFUNCTION("""COMPUTED_VALUE"""),"")</f>
        <v/>
      </c>
      <c r="W3" t="str">
        <f>IFERROR(__xludf.DUMMYFUNCTION("""COMPUTED_VALUE"""),"")</f>
        <v/>
      </c>
      <c r="X3" t="str">
        <f>IFERROR(__xludf.DUMMYFUNCTION("""COMPUTED_VALUE"""),"")</f>
        <v/>
      </c>
      <c r="Y3" t="str">
        <f>IFERROR(__xludf.DUMMYFUNCTION("""COMPUTED_VALUE"""),"")</f>
        <v/>
      </c>
      <c r="Z3" t="str">
        <f>IFERROR(__xludf.DUMMYFUNCTION("""COMPUTED_VALUE"""),"")</f>
        <v/>
      </c>
    </row>
    <row r="4">
      <c r="A4" s="119">
        <f>IFERROR(__xludf.DUMMYFUNCTION("""COMPUTED_VALUE"""),10004.0)</f>
        <v>10004</v>
      </c>
      <c r="B4" s="119" t="str">
        <f>IFERROR(__xludf.DUMMYFUNCTION("""COMPUTED_VALUE"""),"R01")</f>
        <v>R01</v>
      </c>
      <c r="C4" t="str">
        <f>IFERROR(__xludf.DUMMYFUNCTION("""COMPUTED_VALUE"""),"Recovery_System")</f>
        <v>Recovery_System</v>
      </c>
      <c r="D4" t="str">
        <f>IFERROR(__xludf.DUMMYFUNCTION("""COMPUTED_VALUE"""),"Structures")</f>
        <v>Structures</v>
      </c>
      <c r="E4" t="str">
        <f>IFERROR(__xludf.DUMMYFUNCTION("""COMPUTED_VALUE"""),"SolidWorks")</f>
        <v>SolidWorks</v>
      </c>
      <c r="F4" t="str">
        <f>IFERROR(__xludf.DUMMYFUNCTION("""COMPUTED_VALUE"""),"Marginal Stability")</f>
        <v>Marginal Stability</v>
      </c>
      <c r="G4" t="str">
        <f>IFERROR(__xludf.DUMMYFUNCTION("""COMPUTED_VALUE"""),"Recovery System meant to push off nose cone and attatch parachute to the rocket")</f>
        <v>Recovery System meant to push off nose cone and attatch parachute to the rocket</v>
      </c>
      <c r="H4" t="str">
        <f>IFERROR(__xludf.DUMMYFUNCTION("""COMPUTED_VALUE"""),"Multiple")</f>
        <v>Multiple</v>
      </c>
      <c r="I4" t="str">
        <f>IFERROR(__xludf.DUMMYFUNCTION("""COMPUTED_VALUE"""),"Imperial")</f>
        <v>Imperial</v>
      </c>
      <c r="J4" t="str">
        <f>IFERROR(__xludf.DUMMYFUNCTION("""COMPUTED_VALUE"""),"Bryce Borders")</f>
        <v>Bryce Borders</v>
      </c>
      <c r="K4" s="49">
        <f>IFERROR(__xludf.DUMMYFUNCTION("""COMPUTED_VALUE"""),43407.0)</f>
        <v>43407</v>
      </c>
      <c r="L4" s="120" t="str">
        <f>IFERROR(__xludf.DUMMYFUNCTION("""COMPUTED_VALUE"""),"https://drive.google.com/open?id=1cKiYH51b5fbb80OGpfzp98Lk2H6ysmut")</f>
        <v>https://drive.google.com/open?id=1cKiYH51b5fbb80OGpfzp98Lk2H6ysmut</v>
      </c>
      <c r="M4" t="str">
        <f>IFERROR(__xludf.DUMMYFUNCTION("""COMPUTED_VALUE"""),"In progress")</f>
        <v>In progress</v>
      </c>
      <c r="N4" t="str">
        <f>IFERROR(__xludf.DUMMYFUNCTION("""COMPUTED_VALUE"""),"")</f>
        <v/>
      </c>
      <c r="O4" t="str">
        <f>IFERROR(__xludf.DUMMYFUNCTION("""COMPUTED_VALUE"""),"")</f>
        <v/>
      </c>
      <c r="P4" t="str">
        <f>IFERROR(__xludf.DUMMYFUNCTION("""COMPUTED_VALUE"""),"")</f>
        <v/>
      </c>
      <c r="Q4" t="str">
        <f>IFERROR(__xludf.DUMMYFUNCTION("""COMPUTED_VALUE"""),"")</f>
        <v/>
      </c>
      <c r="R4" t="str">
        <f>IFERROR(__xludf.DUMMYFUNCTION("""COMPUTED_VALUE"""),"")</f>
        <v/>
      </c>
      <c r="S4" t="str">
        <f>IFERROR(__xludf.DUMMYFUNCTION("""COMPUTED_VALUE"""),"")</f>
        <v/>
      </c>
      <c r="T4" t="str">
        <f>IFERROR(__xludf.DUMMYFUNCTION("""COMPUTED_VALUE"""),"")</f>
        <v/>
      </c>
      <c r="U4" t="str">
        <f>IFERROR(__xludf.DUMMYFUNCTION("""COMPUTED_VALUE"""),"")</f>
        <v/>
      </c>
      <c r="V4" t="str">
        <f>IFERROR(__xludf.DUMMYFUNCTION("""COMPUTED_VALUE"""),"")</f>
        <v/>
      </c>
      <c r="W4" t="str">
        <f>IFERROR(__xludf.DUMMYFUNCTION("""COMPUTED_VALUE"""),"")</f>
        <v/>
      </c>
      <c r="X4" t="str">
        <f>IFERROR(__xludf.DUMMYFUNCTION("""COMPUTED_VALUE"""),"")</f>
        <v/>
      </c>
      <c r="Y4" t="str">
        <f>IFERROR(__xludf.DUMMYFUNCTION("""COMPUTED_VALUE"""),"")</f>
        <v/>
      </c>
      <c r="Z4" t="str">
        <f>IFERROR(__xludf.DUMMYFUNCTION("""COMPUTED_VALUE"""),"")</f>
        <v/>
      </c>
    </row>
    <row r="5">
      <c r="A5" s="119">
        <f>IFERROR(__xludf.DUMMYFUNCTION("""COMPUTED_VALUE"""),10005.0)</f>
        <v>10005</v>
      </c>
      <c r="B5" s="119" t="str">
        <f>IFERROR(__xludf.DUMMYFUNCTION("""COMPUTED_VALUE"""),"R02")</f>
        <v>R02</v>
      </c>
      <c r="C5" t="str">
        <f>IFERROR(__xludf.DUMMYFUNCTION("""COMPUTED_VALUE"""),"Pressurant_Tank_Mount")</f>
        <v>Pressurant_Tank_Mount</v>
      </c>
      <c r="D5" t="str">
        <f>IFERROR(__xludf.DUMMYFUNCTION("""COMPUTED_VALUE"""),"Structures")</f>
        <v>Structures</v>
      </c>
      <c r="E5" t="str">
        <f>IFERROR(__xludf.DUMMYFUNCTION("""COMPUTED_VALUE"""),"SolidWorks")</f>
        <v>SolidWorks</v>
      </c>
      <c r="F5" t="str">
        <f>IFERROR(__xludf.DUMMYFUNCTION("""COMPUTED_VALUE"""),"Marginal Stability")</f>
        <v>Marginal Stability</v>
      </c>
      <c r="G5" t="str">
        <f>IFERROR(__xludf.DUMMYFUNCTION("""COMPUTED_VALUE"""),"This is our current design to secure the pressurant tank")</f>
        <v>This is our current design to secure the pressurant tank</v>
      </c>
      <c r="H5" t="str">
        <f>IFERROR(__xludf.DUMMYFUNCTION("""COMPUTED_VALUE"""),"6061_T6")</f>
        <v>6061_T6</v>
      </c>
      <c r="I5" t="str">
        <f>IFERROR(__xludf.DUMMYFUNCTION("""COMPUTED_VALUE"""),"Imperial")</f>
        <v>Imperial</v>
      </c>
      <c r="J5" t="str">
        <f>IFERROR(__xludf.DUMMYFUNCTION("""COMPUTED_VALUE"""),"Jalene Hernandez")</f>
        <v>Jalene Hernandez</v>
      </c>
      <c r="K5" s="49">
        <f>IFERROR(__xludf.DUMMYFUNCTION("""COMPUTED_VALUE"""),44138.0)</f>
        <v>44138</v>
      </c>
      <c r="L5" s="120" t="str">
        <f>IFERROR(__xludf.DUMMYFUNCTION("""COMPUTED_VALUE"""),"https://drive.google.com/open?id=1zK9wBxFYlzhDcqrwu8CuXhBkB0_S0GAu")</f>
        <v>https://drive.google.com/open?id=1zK9wBxFYlzhDcqrwu8CuXhBkB0_S0GAu</v>
      </c>
      <c r="M5" t="str">
        <f>IFERROR(__xludf.DUMMYFUNCTION("""COMPUTED_VALUE"""),"In progress")</f>
        <v>In progress</v>
      </c>
      <c r="N5" t="str">
        <f>IFERROR(__xludf.DUMMYFUNCTION("""COMPUTED_VALUE"""),"")</f>
        <v/>
      </c>
      <c r="O5" t="str">
        <f>IFERROR(__xludf.DUMMYFUNCTION("""COMPUTED_VALUE"""),"")</f>
        <v/>
      </c>
      <c r="P5" t="str">
        <f>IFERROR(__xludf.DUMMYFUNCTION("""COMPUTED_VALUE"""),"")</f>
        <v/>
      </c>
      <c r="Q5" t="str">
        <f>IFERROR(__xludf.DUMMYFUNCTION("""COMPUTED_VALUE"""),"")</f>
        <v/>
      </c>
      <c r="R5" t="str">
        <f>IFERROR(__xludf.DUMMYFUNCTION("""COMPUTED_VALUE"""),"")</f>
        <v/>
      </c>
      <c r="S5" t="str">
        <f>IFERROR(__xludf.DUMMYFUNCTION("""COMPUTED_VALUE"""),"")</f>
        <v/>
      </c>
      <c r="T5" t="str">
        <f>IFERROR(__xludf.DUMMYFUNCTION("""COMPUTED_VALUE"""),"")</f>
        <v/>
      </c>
      <c r="U5" t="str">
        <f>IFERROR(__xludf.DUMMYFUNCTION("""COMPUTED_VALUE"""),"")</f>
        <v/>
      </c>
      <c r="V5" t="str">
        <f>IFERROR(__xludf.DUMMYFUNCTION("""COMPUTED_VALUE"""),"")</f>
        <v/>
      </c>
      <c r="W5" t="str">
        <f>IFERROR(__xludf.DUMMYFUNCTION("""COMPUTED_VALUE"""),"")</f>
        <v/>
      </c>
      <c r="X5" t="str">
        <f>IFERROR(__xludf.DUMMYFUNCTION("""COMPUTED_VALUE"""),"")</f>
        <v/>
      </c>
      <c r="Y5" t="str">
        <f>IFERROR(__xludf.DUMMYFUNCTION("""COMPUTED_VALUE"""),"")</f>
        <v/>
      </c>
      <c r="Z5" t="str">
        <f>IFERROR(__xludf.DUMMYFUNCTION("""COMPUTED_VALUE"""),"")</f>
        <v/>
      </c>
    </row>
    <row r="6">
      <c r="A6" s="119">
        <f>IFERROR(__xludf.DUMMYFUNCTION("""COMPUTED_VALUE"""),10006.0)</f>
        <v>10006</v>
      </c>
      <c r="B6" s="119" t="str">
        <f>IFERROR(__xludf.DUMMYFUNCTION("""COMPUTED_VALUE"""),"R01")</f>
        <v>R01</v>
      </c>
      <c r="C6" t="str">
        <f>IFERROR(__xludf.DUMMYFUNCTION("""COMPUTED_VALUE"""),"Testing Manifold")</f>
        <v>Testing Manifold</v>
      </c>
      <c r="D6" t="str">
        <f>IFERROR(__xludf.DUMMYFUNCTION("""COMPUTED_VALUE"""),"Propulsion")</f>
        <v>Propulsion</v>
      </c>
      <c r="E6" t="str">
        <f>IFERROR(__xludf.DUMMYFUNCTION("""COMPUTED_VALUE"""),"SolidWorks")</f>
        <v>SolidWorks</v>
      </c>
      <c r="F6" t="str">
        <f>IFERROR(__xludf.DUMMYFUNCTION("""COMPUTED_VALUE"""),"Marginal Stability")</f>
        <v>Marginal Stability</v>
      </c>
      <c r="G6" t="str">
        <f>IFERROR(__xludf.DUMMYFUNCTION("""COMPUTED_VALUE"""),"Universal Manifold used to test individual injector post prototypes")</f>
        <v>Universal Manifold used to test individual injector post prototypes</v>
      </c>
      <c r="H6" t="str">
        <f>IFERROR(__xludf.DUMMYFUNCTION("""COMPUTED_VALUE"""),"")</f>
        <v/>
      </c>
      <c r="I6" t="str">
        <f>IFERROR(__xludf.DUMMYFUNCTION("""COMPUTED_VALUE"""),"Imperial")</f>
        <v>Imperial</v>
      </c>
      <c r="J6" t="str">
        <f>IFERROR(__xludf.DUMMYFUNCTION("""COMPUTED_VALUE"""),"Joseph Murad")</f>
        <v>Joseph Murad</v>
      </c>
      <c r="K6" s="49">
        <f>IFERROR(__xludf.DUMMYFUNCTION("""COMPUTED_VALUE"""),43443.0)</f>
        <v>43443</v>
      </c>
      <c r="L6" s="120" t="str">
        <f>IFERROR(__xludf.DUMMYFUNCTION("""COMPUTED_VALUE"""),"https://drive.google.com/open?id=1C5nQF59g-MMyCO5AG2QPSsBEU7dq7nNm")</f>
        <v>https://drive.google.com/open?id=1C5nQF59g-MMyCO5AG2QPSsBEU7dq7nNm</v>
      </c>
      <c r="M6" t="str">
        <f>IFERROR(__xludf.DUMMYFUNCTION("""COMPUTED_VALUE"""),"In progress")</f>
        <v>In progress</v>
      </c>
      <c r="N6" t="str">
        <f>IFERROR(__xludf.DUMMYFUNCTION("""COMPUTED_VALUE"""),"")</f>
        <v/>
      </c>
      <c r="O6" t="str">
        <f>IFERROR(__xludf.DUMMYFUNCTION("""COMPUTED_VALUE"""),"")</f>
        <v/>
      </c>
      <c r="P6" t="str">
        <f>IFERROR(__xludf.DUMMYFUNCTION("""COMPUTED_VALUE"""),"")</f>
        <v/>
      </c>
      <c r="Q6" t="str">
        <f>IFERROR(__xludf.DUMMYFUNCTION("""COMPUTED_VALUE"""),"")</f>
        <v/>
      </c>
      <c r="R6" t="str">
        <f>IFERROR(__xludf.DUMMYFUNCTION("""COMPUTED_VALUE"""),"")</f>
        <v/>
      </c>
      <c r="S6" t="str">
        <f>IFERROR(__xludf.DUMMYFUNCTION("""COMPUTED_VALUE"""),"")</f>
        <v/>
      </c>
      <c r="T6" t="str">
        <f>IFERROR(__xludf.DUMMYFUNCTION("""COMPUTED_VALUE"""),"")</f>
        <v/>
      </c>
      <c r="U6" t="str">
        <f>IFERROR(__xludf.DUMMYFUNCTION("""COMPUTED_VALUE"""),"")</f>
        <v/>
      </c>
      <c r="V6" t="str">
        <f>IFERROR(__xludf.DUMMYFUNCTION("""COMPUTED_VALUE"""),"")</f>
        <v/>
      </c>
      <c r="W6" t="str">
        <f>IFERROR(__xludf.DUMMYFUNCTION("""COMPUTED_VALUE"""),"")</f>
        <v/>
      </c>
      <c r="X6" t="str">
        <f>IFERROR(__xludf.DUMMYFUNCTION("""COMPUTED_VALUE"""),"")</f>
        <v/>
      </c>
      <c r="Y6" t="str">
        <f>IFERROR(__xludf.DUMMYFUNCTION("""COMPUTED_VALUE"""),"")</f>
        <v/>
      </c>
      <c r="Z6" t="str">
        <f>IFERROR(__xludf.DUMMYFUNCTION("""COMPUTED_VALUE"""),"")</f>
        <v/>
      </c>
    </row>
    <row r="7">
      <c r="A7" s="119">
        <f>IFERROR(__xludf.DUMMYFUNCTION("""COMPUTED_VALUE"""),10007.0)</f>
        <v>10007</v>
      </c>
      <c r="B7" s="119" t="str">
        <f>IFERROR(__xludf.DUMMYFUNCTION("""COMPUTED_VALUE"""),"R01")</f>
        <v>R01</v>
      </c>
      <c r="C7" t="str">
        <f>IFERROR(__xludf.DUMMYFUNCTION("""COMPUTED_VALUE"""),"Launch Lug")</f>
        <v>Launch Lug</v>
      </c>
      <c r="D7" t="str">
        <f>IFERROR(__xludf.DUMMYFUNCTION("""COMPUTED_VALUE"""),"Structures")</f>
        <v>Structures</v>
      </c>
      <c r="E7" t="str">
        <f>IFERROR(__xludf.DUMMYFUNCTION("""COMPUTED_VALUE"""),"SolidWorks")</f>
        <v>SolidWorks</v>
      </c>
      <c r="F7" t="str">
        <f>IFERROR(__xludf.DUMMYFUNCTION("""COMPUTED_VALUE"""),"Marginal Stability")</f>
        <v>Marginal Stability</v>
      </c>
      <c r="G7" t="str">
        <f>IFERROR(__xludf.DUMMYFUNCTION("""COMPUTED_VALUE"""),"Holds the rocket to the launch rail.")</f>
        <v>Holds the rocket to the launch rail.</v>
      </c>
      <c r="H7" t="str">
        <f>IFERROR(__xludf.DUMMYFUNCTION("""COMPUTED_VALUE"""),"6061_T6")</f>
        <v>6061_T6</v>
      </c>
      <c r="I7" t="str">
        <f>IFERROR(__xludf.DUMMYFUNCTION("""COMPUTED_VALUE"""),"Imperial")</f>
        <v>Imperial</v>
      </c>
      <c r="J7" t="str">
        <f>IFERROR(__xludf.DUMMYFUNCTION("""COMPUTED_VALUE"""),"Andre Shahinian")</f>
        <v>Andre Shahinian</v>
      </c>
      <c r="K7" s="49">
        <f>IFERROR(__xludf.DUMMYFUNCTION("""COMPUTED_VALUE"""),43501.0)</f>
        <v>43501</v>
      </c>
      <c r="L7" s="120" t="str">
        <f>IFERROR(__xludf.DUMMYFUNCTION("""COMPUTED_VALUE"""),"https://drive.google.com/open?id=1lS8FcEh-06_VJIh0zEmOw0zsHaHcvpWs")</f>
        <v>https://drive.google.com/open?id=1lS8FcEh-06_VJIh0zEmOw0zsHaHcvpWs</v>
      </c>
      <c r="M7" t="str">
        <f>IFERROR(__xludf.DUMMYFUNCTION("""COMPUTED_VALUE"""),"In progress")</f>
        <v>In progress</v>
      </c>
      <c r="N7" t="str">
        <f>IFERROR(__xludf.DUMMYFUNCTION("""COMPUTED_VALUE"""),"")</f>
        <v/>
      </c>
      <c r="O7" t="str">
        <f>IFERROR(__xludf.DUMMYFUNCTION("""COMPUTED_VALUE"""),"")</f>
        <v/>
      </c>
      <c r="P7" t="str">
        <f>IFERROR(__xludf.DUMMYFUNCTION("""COMPUTED_VALUE"""),"")</f>
        <v/>
      </c>
      <c r="Q7" t="str">
        <f>IFERROR(__xludf.DUMMYFUNCTION("""COMPUTED_VALUE"""),"")</f>
        <v/>
      </c>
      <c r="R7" t="str">
        <f>IFERROR(__xludf.DUMMYFUNCTION("""COMPUTED_VALUE"""),"")</f>
        <v/>
      </c>
      <c r="S7" t="str">
        <f>IFERROR(__xludf.DUMMYFUNCTION("""COMPUTED_VALUE"""),"")</f>
        <v/>
      </c>
      <c r="T7" t="str">
        <f>IFERROR(__xludf.DUMMYFUNCTION("""COMPUTED_VALUE"""),"")</f>
        <v/>
      </c>
      <c r="U7" t="str">
        <f>IFERROR(__xludf.DUMMYFUNCTION("""COMPUTED_VALUE"""),"")</f>
        <v/>
      </c>
      <c r="V7" t="str">
        <f>IFERROR(__xludf.DUMMYFUNCTION("""COMPUTED_VALUE"""),"")</f>
        <v/>
      </c>
      <c r="W7" t="str">
        <f>IFERROR(__xludf.DUMMYFUNCTION("""COMPUTED_VALUE"""),"")</f>
        <v/>
      </c>
      <c r="X7" t="str">
        <f>IFERROR(__xludf.DUMMYFUNCTION("""COMPUTED_VALUE"""),"")</f>
        <v/>
      </c>
      <c r="Y7" t="str">
        <f>IFERROR(__xludf.DUMMYFUNCTION("""COMPUTED_VALUE"""),"")</f>
        <v/>
      </c>
      <c r="Z7" t="str">
        <f>IFERROR(__xludf.DUMMYFUNCTION("""COMPUTED_VALUE"""),"")</f>
        <v/>
      </c>
    </row>
    <row r="8">
      <c r="A8" s="119">
        <f>IFERROR(__xludf.DUMMYFUNCTION("""COMPUTED_VALUE"""),10008.0)</f>
        <v>10008</v>
      </c>
      <c r="B8" s="119" t="str">
        <f>IFERROR(__xludf.DUMMYFUNCTION("""COMPUTED_VALUE"""),"R06")</f>
        <v>R06</v>
      </c>
      <c r="C8" t="str">
        <f>IFERROR(__xludf.DUMMYFUNCTION("""COMPUTED_VALUE"""),"Lower Avionics Bay")</f>
        <v>Lower Avionics Bay</v>
      </c>
      <c r="D8" t="str">
        <f>IFERROR(__xludf.DUMMYFUNCTION("""COMPUTED_VALUE"""),"Structures")</f>
        <v>Structures</v>
      </c>
      <c r="E8" t="str">
        <f>IFERROR(__xludf.DUMMYFUNCTION("""COMPUTED_VALUE"""),"SolidWorks")</f>
        <v>SolidWorks</v>
      </c>
      <c r="F8" t="str">
        <f>IFERROR(__xludf.DUMMYFUNCTION("""COMPUTED_VALUE"""),"Marginal Stability")</f>
        <v>Marginal Stability</v>
      </c>
      <c r="G8" t="str">
        <f>IFERROR(__xludf.DUMMYFUNCTION("""COMPUTED_VALUE"""),"Holds avionics stuff.")</f>
        <v>Holds avionics stuff.</v>
      </c>
      <c r="H8" t="str">
        <f>IFERROR(__xludf.DUMMYFUNCTION("""COMPUTED_VALUE"""),"6061 T6")</f>
        <v>6061 T6</v>
      </c>
      <c r="I8" t="str">
        <f>IFERROR(__xludf.DUMMYFUNCTION("""COMPUTED_VALUE"""),"Imperial")</f>
        <v>Imperial</v>
      </c>
      <c r="J8" t="str">
        <f>IFERROR(__xludf.DUMMYFUNCTION("""COMPUTED_VALUE"""),"Matthew Lok")</f>
        <v>Matthew Lok</v>
      </c>
      <c r="K8" s="49">
        <f>IFERROR(__xludf.DUMMYFUNCTION("""COMPUTED_VALUE"""),43505.0)</f>
        <v>43505</v>
      </c>
      <c r="L8" s="120" t="str">
        <f>IFERROR(__xludf.DUMMYFUNCTION("""COMPUTED_VALUE"""),"https://drive.google.com/open?id=1CIDYVvDB-IQ5QeciZEDx2vJYQe8JuR0J")</f>
        <v>https://drive.google.com/open?id=1CIDYVvDB-IQ5QeciZEDx2vJYQe8JuR0J</v>
      </c>
      <c r="M8" t="str">
        <f>IFERROR(__xludf.DUMMYFUNCTION("""COMPUTED_VALUE"""),"In progress")</f>
        <v>In progress</v>
      </c>
      <c r="N8" t="str">
        <f>IFERROR(__xludf.DUMMYFUNCTION("""COMPUTED_VALUE"""),"")</f>
        <v/>
      </c>
      <c r="O8" t="str">
        <f>IFERROR(__xludf.DUMMYFUNCTION("""COMPUTED_VALUE"""),"")</f>
        <v/>
      </c>
      <c r="P8" t="str">
        <f>IFERROR(__xludf.DUMMYFUNCTION("""COMPUTED_VALUE"""),"")</f>
        <v/>
      </c>
      <c r="Q8" t="str">
        <f>IFERROR(__xludf.DUMMYFUNCTION("""COMPUTED_VALUE"""),"")</f>
        <v/>
      </c>
      <c r="R8" t="str">
        <f>IFERROR(__xludf.DUMMYFUNCTION("""COMPUTED_VALUE"""),"")</f>
        <v/>
      </c>
      <c r="S8" t="str">
        <f>IFERROR(__xludf.DUMMYFUNCTION("""COMPUTED_VALUE"""),"")</f>
        <v/>
      </c>
      <c r="T8" t="str">
        <f>IFERROR(__xludf.DUMMYFUNCTION("""COMPUTED_VALUE"""),"")</f>
        <v/>
      </c>
      <c r="U8" t="str">
        <f>IFERROR(__xludf.DUMMYFUNCTION("""COMPUTED_VALUE"""),"")</f>
        <v/>
      </c>
      <c r="V8" t="str">
        <f>IFERROR(__xludf.DUMMYFUNCTION("""COMPUTED_VALUE"""),"")</f>
        <v/>
      </c>
      <c r="W8" t="str">
        <f>IFERROR(__xludf.DUMMYFUNCTION("""COMPUTED_VALUE"""),"")</f>
        <v/>
      </c>
      <c r="X8" t="str">
        <f>IFERROR(__xludf.DUMMYFUNCTION("""COMPUTED_VALUE"""),"")</f>
        <v/>
      </c>
      <c r="Y8" t="str">
        <f>IFERROR(__xludf.DUMMYFUNCTION("""COMPUTED_VALUE"""),"")</f>
        <v/>
      </c>
      <c r="Z8" t="str">
        <f>IFERROR(__xludf.DUMMYFUNCTION("""COMPUTED_VALUE"""),"")</f>
        <v/>
      </c>
    </row>
    <row r="9">
      <c r="A9" s="119">
        <f>IFERROR(__xludf.DUMMYFUNCTION("""COMPUTED_VALUE"""),10009.0)</f>
        <v>10009</v>
      </c>
      <c r="B9" s="119" t="str">
        <f>IFERROR(__xludf.DUMMYFUNCTION("""COMPUTED_VALUE"""),"R04")</f>
        <v>R04</v>
      </c>
      <c r="C9" t="str">
        <f>IFERROR(__xludf.DUMMYFUNCTION("""COMPUTED_VALUE"""),"Upper Avionics Bay")</f>
        <v>Upper Avionics Bay</v>
      </c>
      <c r="D9" t="str">
        <f>IFERROR(__xludf.DUMMYFUNCTION("""COMPUTED_VALUE"""),"Structures")</f>
        <v>Structures</v>
      </c>
      <c r="E9" t="str">
        <f>IFERROR(__xludf.DUMMYFUNCTION("""COMPUTED_VALUE"""),"SolidWorks")</f>
        <v>SolidWorks</v>
      </c>
      <c r="F9" t="str">
        <f>IFERROR(__xludf.DUMMYFUNCTION("""COMPUTED_VALUE"""),"Marginal Stability")</f>
        <v>Marginal Stability</v>
      </c>
      <c r="G9" t="str">
        <f>IFERROR(__xludf.DUMMYFUNCTION("""COMPUTED_VALUE"""),"Holds avionics stuff.")</f>
        <v>Holds avionics stuff.</v>
      </c>
      <c r="H9" t="str">
        <f>IFERROR(__xludf.DUMMYFUNCTION("""COMPUTED_VALUE"""),"Multiple")</f>
        <v>Multiple</v>
      </c>
      <c r="I9" t="str">
        <f>IFERROR(__xludf.DUMMYFUNCTION("""COMPUTED_VALUE"""),"Imperial")</f>
        <v>Imperial</v>
      </c>
      <c r="J9" t="str">
        <f>IFERROR(__xludf.DUMMYFUNCTION("""COMPUTED_VALUE"""),"Matthew Lok")</f>
        <v>Matthew Lok</v>
      </c>
      <c r="K9" s="49">
        <f>IFERROR(__xludf.DUMMYFUNCTION("""COMPUTED_VALUE"""),43501.0)</f>
        <v>43501</v>
      </c>
      <c r="L9" s="120" t="str">
        <f>IFERROR(__xludf.DUMMYFUNCTION("""COMPUTED_VALUE"""),"https://drive.google.com/open?id=1fngf05DfW2_i1JEiQBInp8snbbK4DQBc")</f>
        <v>https://drive.google.com/open?id=1fngf05DfW2_i1JEiQBInp8snbbK4DQBc</v>
      </c>
      <c r="M9" t="str">
        <f>IFERROR(__xludf.DUMMYFUNCTION("""COMPUTED_VALUE"""),"In Progress")</f>
        <v>In Progress</v>
      </c>
      <c r="N9" t="str">
        <f>IFERROR(__xludf.DUMMYFUNCTION("""COMPUTED_VALUE"""),"")</f>
        <v/>
      </c>
      <c r="O9" t="str">
        <f>IFERROR(__xludf.DUMMYFUNCTION("""COMPUTED_VALUE"""),"")</f>
        <v/>
      </c>
      <c r="P9" t="str">
        <f>IFERROR(__xludf.DUMMYFUNCTION("""COMPUTED_VALUE"""),"")</f>
        <v/>
      </c>
      <c r="Q9" t="str">
        <f>IFERROR(__xludf.DUMMYFUNCTION("""COMPUTED_VALUE"""),"")</f>
        <v/>
      </c>
      <c r="R9" t="str">
        <f>IFERROR(__xludf.DUMMYFUNCTION("""COMPUTED_VALUE"""),"")</f>
        <v/>
      </c>
      <c r="S9" t="str">
        <f>IFERROR(__xludf.DUMMYFUNCTION("""COMPUTED_VALUE"""),"")</f>
        <v/>
      </c>
      <c r="T9" t="str">
        <f>IFERROR(__xludf.DUMMYFUNCTION("""COMPUTED_VALUE"""),"")</f>
        <v/>
      </c>
      <c r="U9" t="str">
        <f>IFERROR(__xludf.DUMMYFUNCTION("""COMPUTED_VALUE"""),"")</f>
        <v/>
      </c>
      <c r="V9" t="str">
        <f>IFERROR(__xludf.DUMMYFUNCTION("""COMPUTED_VALUE"""),"")</f>
        <v/>
      </c>
      <c r="W9" t="str">
        <f>IFERROR(__xludf.DUMMYFUNCTION("""COMPUTED_VALUE"""),"")</f>
        <v/>
      </c>
      <c r="X9" t="str">
        <f>IFERROR(__xludf.DUMMYFUNCTION("""COMPUTED_VALUE"""),"")</f>
        <v/>
      </c>
      <c r="Y9" t="str">
        <f>IFERROR(__xludf.DUMMYFUNCTION("""COMPUTED_VALUE"""),"")</f>
        <v/>
      </c>
      <c r="Z9" t="str">
        <f>IFERROR(__xludf.DUMMYFUNCTION("""COMPUTED_VALUE"""),"")</f>
        <v/>
      </c>
    </row>
    <row r="10">
      <c r="A10" s="119">
        <f>IFERROR(__xludf.DUMMYFUNCTION("""COMPUTED_VALUE"""),10010.0)</f>
        <v>10010</v>
      </c>
      <c r="B10" s="119" t="str">
        <f>IFERROR(__xludf.DUMMYFUNCTION("""COMPUTED_VALUE"""),"R01")</f>
        <v>R01</v>
      </c>
      <c r="C10" t="str">
        <f>IFERROR(__xludf.DUMMYFUNCTION("""COMPUTED_VALUE"""),"Injector")</f>
        <v>Injector</v>
      </c>
      <c r="D10" t="str">
        <f>IFERROR(__xludf.DUMMYFUNCTION("""COMPUTED_VALUE"""),"Propulsion")</f>
        <v>Propulsion</v>
      </c>
      <c r="E10" t="str">
        <f>IFERROR(__xludf.DUMMYFUNCTION("""COMPUTED_VALUE"""),"SolidWorks")</f>
        <v>SolidWorks</v>
      </c>
      <c r="F10" t="str">
        <f>IFERROR(__xludf.DUMMYFUNCTION("""COMPUTED_VALUE"""),"Marginal Stability")</f>
        <v>Marginal Stability</v>
      </c>
      <c r="G10" t="str">
        <f>IFERROR(__xludf.DUMMYFUNCTION("""COMPUTED_VALUE"""),"Injector Plate housing Injector Elements")</f>
        <v>Injector Plate housing Injector Elements</v>
      </c>
      <c r="H10" t="str">
        <f>IFERROR(__xludf.DUMMYFUNCTION("""COMPUTED_VALUE"""),"")</f>
        <v/>
      </c>
      <c r="I10" t="str">
        <f>IFERROR(__xludf.DUMMYFUNCTION("""COMPUTED_VALUE"""),"Imperial")</f>
        <v>Imperial</v>
      </c>
      <c r="J10" t="str">
        <f>IFERROR(__xludf.DUMMYFUNCTION("""COMPUTED_VALUE"""),"Luis Perez")</f>
        <v>Luis Perez</v>
      </c>
      <c r="K10" s="121">
        <f>IFERROR(__xludf.DUMMYFUNCTION("""COMPUTED_VALUE"""),43514.0)</f>
        <v>43514</v>
      </c>
      <c r="L10" s="120" t="str">
        <f>IFERROR(__xludf.DUMMYFUNCTION("""COMPUTED_VALUE"""),"https://drive.google.com/open?id=1zAih9B8GDgVsnWmRULLxlQzSgQuYqHeZ")</f>
        <v>https://drive.google.com/open?id=1zAih9B8GDgVsnWmRULLxlQzSgQuYqHeZ</v>
      </c>
      <c r="M10" t="str">
        <f>IFERROR(__xludf.DUMMYFUNCTION("""COMPUTED_VALUE"""),"In Progress")</f>
        <v>In Progress</v>
      </c>
      <c r="N10" t="str">
        <f>IFERROR(__xludf.DUMMYFUNCTION("""COMPUTED_VALUE"""),"")</f>
        <v/>
      </c>
      <c r="O10" t="str">
        <f>IFERROR(__xludf.DUMMYFUNCTION("""COMPUTED_VALUE"""),"")</f>
        <v/>
      </c>
      <c r="P10" t="str">
        <f>IFERROR(__xludf.DUMMYFUNCTION("""COMPUTED_VALUE"""),"")</f>
        <v/>
      </c>
      <c r="Q10" t="str">
        <f>IFERROR(__xludf.DUMMYFUNCTION("""COMPUTED_VALUE"""),"")</f>
        <v/>
      </c>
      <c r="R10" t="str">
        <f>IFERROR(__xludf.DUMMYFUNCTION("""COMPUTED_VALUE"""),"")</f>
        <v/>
      </c>
      <c r="S10" t="str">
        <f>IFERROR(__xludf.DUMMYFUNCTION("""COMPUTED_VALUE"""),"")</f>
        <v/>
      </c>
      <c r="T10" t="str">
        <f>IFERROR(__xludf.DUMMYFUNCTION("""COMPUTED_VALUE"""),"")</f>
        <v/>
      </c>
      <c r="U10" t="str">
        <f>IFERROR(__xludf.DUMMYFUNCTION("""COMPUTED_VALUE"""),"")</f>
        <v/>
      </c>
      <c r="V10" t="str">
        <f>IFERROR(__xludf.DUMMYFUNCTION("""COMPUTED_VALUE"""),"")</f>
        <v/>
      </c>
      <c r="W10" t="str">
        <f>IFERROR(__xludf.DUMMYFUNCTION("""COMPUTED_VALUE"""),"")</f>
        <v/>
      </c>
      <c r="X10" t="str">
        <f>IFERROR(__xludf.DUMMYFUNCTION("""COMPUTED_VALUE"""),"")</f>
        <v/>
      </c>
      <c r="Y10" t="str">
        <f>IFERROR(__xludf.DUMMYFUNCTION("""COMPUTED_VALUE"""),"")</f>
        <v/>
      </c>
      <c r="Z10" t="str">
        <f>IFERROR(__xludf.DUMMYFUNCTION("""COMPUTED_VALUE"""),"")</f>
        <v/>
      </c>
    </row>
    <row r="11">
      <c r="A11" s="119">
        <f>IFERROR(__xludf.DUMMYFUNCTION("""COMPUTED_VALUE"""),10011.0)</f>
        <v>10011</v>
      </c>
      <c r="B11" s="119" t="str">
        <f>IFERROR(__xludf.DUMMYFUNCTION("""COMPUTED_VALUE"""),"R01")</f>
        <v>R01</v>
      </c>
      <c r="C11" t="str">
        <f>IFERROR(__xludf.DUMMYFUNCTION("""COMPUTED_VALUE"""),"Drogue Release System")</f>
        <v>Drogue Release System</v>
      </c>
      <c r="D11" t="str">
        <f>IFERROR(__xludf.DUMMYFUNCTION("""COMPUTED_VALUE"""),"Structures")</f>
        <v>Structures</v>
      </c>
      <c r="E11" t="str">
        <f>IFERROR(__xludf.DUMMYFUNCTION("""COMPUTED_VALUE"""),"SolidWorks")</f>
        <v>SolidWorks</v>
      </c>
      <c r="F11" t="str">
        <f>IFERROR(__xludf.DUMMYFUNCTION("""COMPUTED_VALUE"""),"Marginal Stability")</f>
        <v>Marginal Stability</v>
      </c>
      <c r="G11" t="str">
        <f>IFERROR(__xludf.DUMMYFUNCTION("""COMPUTED_VALUE"""),"Holds and Releases Drogue Chute")</f>
        <v>Holds and Releases Drogue Chute</v>
      </c>
      <c r="H11" t="str">
        <f>IFERROR(__xludf.DUMMYFUNCTION("""COMPUTED_VALUE"""),"Multiple")</f>
        <v>Multiple</v>
      </c>
      <c r="I11" t="str">
        <f>IFERROR(__xludf.DUMMYFUNCTION("""COMPUTED_VALUE"""),"Imperial")</f>
        <v>Imperial</v>
      </c>
      <c r="J11" t="str">
        <f>IFERROR(__xludf.DUMMYFUNCTION("""COMPUTED_VALUE"""),"Kyle Gore")</f>
        <v>Kyle Gore</v>
      </c>
      <c r="K11" s="122">
        <f>IFERROR(__xludf.DUMMYFUNCTION("""COMPUTED_VALUE"""),43522.0)</f>
        <v>43522</v>
      </c>
      <c r="L11" s="120" t="str">
        <f>IFERROR(__xludf.DUMMYFUNCTION("""COMPUTED_VALUE"""),"https://drive.google.com/open?id=15K35jV9WxQmHUaEZr2PeHojzMyImxzkM")</f>
        <v>https://drive.google.com/open?id=15K35jV9WxQmHUaEZr2PeHojzMyImxzkM</v>
      </c>
      <c r="M11" t="str">
        <f>IFERROR(__xludf.DUMMYFUNCTION("""COMPUTED_VALUE"""),"In Progress")</f>
        <v>In Progress</v>
      </c>
      <c r="N11" t="str">
        <f>IFERROR(__xludf.DUMMYFUNCTION("""COMPUTED_VALUE"""),"")</f>
        <v/>
      </c>
      <c r="O11" t="str">
        <f>IFERROR(__xludf.DUMMYFUNCTION("""COMPUTED_VALUE"""),"")</f>
        <v/>
      </c>
      <c r="P11" t="str">
        <f>IFERROR(__xludf.DUMMYFUNCTION("""COMPUTED_VALUE"""),"")</f>
        <v/>
      </c>
      <c r="Q11" t="str">
        <f>IFERROR(__xludf.DUMMYFUNCTION("""COMPUTED_VALUE"""),"")</f>
        <v/>
      </c>
      <c r="R11" t="str">
        <f>IFERROR(__xludf.DUMMYFUNCTION("""COMPUTED_VALUE"""),"")</f>
        <v/>
      </c>
      <c r="S11" t="str">
        <f>IFERROR(__xludf.DUMMYFUNCTION("""COMPUTED_VALUE"""),"")</f>
        <v/>
      </c>
      <c r="T11" t="str">
        <f>IFERROR(__xludf.DUMMYFUNCTION("""COMPUTED_VALUE"""),"")</f>
        <v/>
      </c>
      <c r="U11" t="str">
        <f>IFERROR(__xludf.DUMMYFUNCTION("""COMPUTED_VALUE"""),"")</f>
        <v/>
      </c>
      <c r="V11" t="str">
        <f>IFERROR(__xludf.DUMMYFUNCTION("""COMPUTED_VALUE"""),"")</f>
        <v/>
      </c>
      <c r="W11" t="str">
        <f>IFERROR(__xludf.DUMMYFUNCTION("""COMPUTED_VALUE"""),"")</f>
        <v/>
      </c>
      <c r="X11" t="str">
        <f>IFERROR(__xludf.DUMMYFUNCTION("""COMPUTED_VALUE"""),"")</f>
        <v/>
      </c>
      <c r="Y11" t="str">
        <f>IFERROR(__xludf.DUMMYFUNCTION("""COMPUTED_VALUE"""),"")</f>
        <v/>
      </c>
      <c r="Z11" t="str">
        <f>IFERROR(__xludf.DUMMYFUNCTION("""COMPUTED_VALUE"""),"")</f>
        <v/>
      </c>
    </row>
    <row r="12">
      <c r="A12" s="119">
        <f>IFERROR(__xludf.DUMMYFUNCTION("""COMPUTED_VALUE"""),10012.0)</f>
        <v>10012</v>
      </c>
      <c r="B12" s="119" t="str">
        <f>IFERROR(__xludf.DUMMYFUNCTION("""COMPUTED_VALUE"""),"R01")</f>
        <v>R01</v>
      </c>
      <c r="C12" t="str">
        <f>IFERROR(__xludf.DUMMYFUNCTION("""COMPUTED_VALUE"""),"Propellant Tank Assembly")</f>
        <v>Propellant Tank Assembly</v>
      </c>
      <c r="D12" t="str">
        <f>IFERROR(__xludf.DUMMYFUNCTION("""COMPUTED_VALUE"""),"Structures")</f>
        <v>Structures</v>
      </c>
      <c r="E12" t="str">
        <f>IFERROR(__xludf.DUMMYFUNCTION("""COMPUTED_VALUE"""),"SolidWorks")</f>
        <v>SolidWorks</v>
      </c>
      <c r="F12" t="str">
        <f>IFERROR(__xludf.DUMMYFUNCTION("""COMPUTED_VALUE"""),"Marginal Stability")</f>
        <v>Marginal Stability</v>
      </c>
      <c r="G12" t="str">
        <f>IFERROR(__xludf.DUMMYFUNCTION("""COMPUTED_VALUE"""),"Fuel tanks with internal plumbing")</f>
        <v>Fuel tanks with internal plumbing</v>
      </c>
      <c r="H12" t="str">
        <f>IFERROR(__xludf.DUMMYFUNCTION("""COMPUTED_VALUE"""),"6061-T6")</f>
        <v>6061-T6</v>
      </c>
      <c r="I12" t="str">
        <f>IFERROR(__xludf.DUMMYFUNCTION("""COMPUTED_VALUE"""),"Imperial")</f>
        <v>Imperial</v>
      </c>
      <c r="J12" t="str">
        <f>IFERROR(__xludf.DUMMYFUNCTION("""COMPUTED_VALUE"""),"Joshua Elmer/Alex Pallesco")</f>
        <v>Joshua Elmer/Alex Pallesco</v>
      </c>
      <c r="K12" s="121">
        <f>IFERROR(__xludf.DUMMYFUNCTION("""COMPUTED_VALUE"""),43525.0)</f>
        <v>43525</v>
      </c>
      <c r="L12" t="str">
        <f>IFERROR(__xludf.DUMMYFUNCTION("""COMPUTED_VALUE"""),"")</f>
        <v/>
      </c>
      <c r="M12" t="str">
        <f>IFERROR(__xludf.DUMMYFUNCTION("""COMPUTED_VALUE"""),"In Progress")</f>
        <v>In Progress</v>
      </c>
      <c r="N12" t="str">
        <f>IFERROR(__xludf.DUMMYFUNCTION("""COMPUTED_VALUE"""),"")</f>
        <v/>
      </c>
      <c r="O12" t="str">
        <f>IFERROR(__xludf.DUMMYFUNCTION("""COMPUTED_VALUE"""),"")</f>
        <v/>
      </c>
      <c r="P12" t="str">
        <f>IFERROR(__xludf.DUMMYFUNCTION("""COMPUTED_VALUE"""),"")</f>
        <v/>
      </c>
      <c r="Q12" t="str">
        <f>IFERROR(__xludf.DUMMYFUNCTION("""COMPUTED_VALUE"""),"")</f>
        <v/>
      </c>
      <c r="R12" t="str">
        <f>IFERROR(__xludf.DUMMYFUNCTION("""COMPUTED_VALUE"""),"")</f>
        <v/>
      </c>
      <c r="S12" t="str">
        <f>IFERROR(__xludf.DUMMYFUNCTION("""COMPUTED_VALUE"""),"")</f>
        <v/>
      </c>
      <c r="T12" t="str">
        <f>IFERROR(__xludf.DUMMYFUNCTION("""COMPUTED_VALUE"""),"")</f>
        <v/>
      </c>
      <c r="U12" t="str">
        <f>IFERROR(__xludf.DUMMYFUNCTION("""COMPUTED_VALUE"""),"")</f>
        <v/>
      </c>
      <c r="V12" t="str">
        <f>IFERROR(__xludf.DUMMYFUNCTION("""COMPUTED_VALUE"""),"")</f>
        <v/>
      </c>
      <c r="W12" t="str">
        <f>IFERROR(__xludf.DUMMYFUNCTION("""COMPUTED_VALUE"""),"")</f>
        <v/>
      </c>
      <c r="X12" t="str">
        <f>IFERROR(__xludf.DUMMYFUNCTION("""COMPUTED_VALUE"""),"")</f>
        <v/>
      </c>
      <c r="Y12" t="str">
        <f>IFERROR(__xludf.DUMMYFUNCTION("""COMPUTED_VALUE"""),"")</f>
        <v/>
      </c>
      <c r="Z12" t="str">
        <f>IFERROR(__xludf.DUMMYFUNCTION("""COMPUTED_VALUE"""),"")</f>
        <v/>
      </c>
    </row>
    <row r="13">
      <c r="A13" s="119">
        <f>IFERROR(__xludf.DUMMYFUNCTION("""COMPUTED_VALUE"""),10013.0)</f>
        <v>10013</v>
      </c>
      <c r="B13" s="119" t="str">
        <f>IFERROR(__xludf.DUMMYFUNCTION("""COMPUTED_VALUE"""),"R01")</f>
        <v>R01</v>
      </c>
      <c r="C13" t="str">
        <f>IFERROR(__xludf.DUMMYFUNCTION("""COMPUTED_VALUE"""),"Engine")</f>
        <v>Engine</v>
      </c>
      <c r="D13" t="str">
        <f>IFERROR(__xludf.DUMMYFUNCTION("""COMPUTED_VALUE"""),"Propulsion")</f>
        <v>Propulsion</v>
      </c>
      <c r="E13" t="str">
        <f>IFERROR(__xludf.DUMMYFUNCTION("""COMPUTED_VALUE"""),"SolidWorks")</f>
        <v>SolidWorks</v>
      </c>
      <c r="F13" t="str">
        <f>IFERROR(__xludf.DUMMYFUNCTION("""COMPUTED_VALUE"""),"Marginal Stability")</f>
        <v>Marginal Stability</v>
      </c>
      <c r="G13" t="str">
        <f>IFERROR(__xludf.DUMMYFUNCTION("""COMPUTED_VALUE"""),"Engine with Thrust Mount and Injector")</f>
        <v>Engine with Thrust Mount and Injector</v>
      </c>
      <c r="H13" t="str">
        <f>IFERROR(__xludf.DUMMYFUNCTION("""COMPUTED_VALUE"""),"Multiple")</f>
        <v>Multiple</v>
      </c>
      <c r="I13" t="str">
        <f>IFERROR(__xludf.DUMMYFUNCTION("""COMPUTED_VALUE"""),"Imperial")</f>
        <v>Imperial</v>
      </c>
      <c r="J13" t="str">
        <f>IFERROR(__xludf.DUMMYFUNCTION("""COMPUTED_VALUE"""),"Luis Perez and Nick Ashforth")</f>
        <v>Luis Perez and Nick Ashforth</v>
      </c>
      <c r="K13" s="49">
        <f>IFERROR(__xludf.DUMMYFUNCTION("""COMPUTED_VALUE"""),43537.0)</f>
        <v>43537</v>
      </c>
      <c r="L13" s="120" t="str">
        <f>IFERROR(__xludf.DUMMYFUNCTION("""COMPUTED_VALUE"""),"https://drive.google.com/open?id=1-dMp_CAW1KVqk_0ZGOH_QEvGDHnSwNlR")</f>
        <v>https://drive.google.com/open?id=1-dMp_CAW1KVqk_0ZGOH_QEvGDHnSwNlR</v>
      </c>
      <c r="M13" t="str">
        <f>IFERROR(__xludf.DUMMYFUNCTION("""COMPUTED_VALUE"""),"In Progress")</f>
        <v>In Progress</v>
      </c>
      <c r="N13" t="str">
        <f>IFERROR(__xludf.DUMMYFUNCTION("""COMPUTED_VALUE"""),"")</f>
        <v/>
      </c>
      <c r="O13" t="str">
        <f>IFERROR(__xludf.DUMMYFUNCTION("""COMPUTED_VALUE"""),"")</f>
        <v/>
      </c>
      <c r="P13" t="str">
        <f>IFERROR(__xludf.DUMMYFUNCTION("""COMPUTED_VALUE"""),"")</f>
        <v/>
      </c>
      <c r="Q13" t="str">
        <f>IFERROR(__xludf.DUMMYFUNCTION("""COMPUTED_VALUE"""),"")</f>
        <v/>
      </c>
      <c r="R13" t="str">
        <f>IFERROR(__xludf.DUMMYFUNCTION("""COMPUTED_VALUE"""),"")</f>
        <v/>
      </c>
      <c r="S13" t="str">
        <f>IFERROR(__xludf.DUMMYFUNCTION("""COMPUTED_VALUE"""),"")</f>
        <v/>
      </c>
      <c r="T13" t="str">
        <f>IFERROR(__xludf.DUMMYFUNCTION("""COMPUTED_VALUE"""),"")</f>
        <v/>
      </c>
      <c r="U13" t="str">
        <f>IFERROR(__xludf.DUMMYFUNCTION("""COMPUTED_VALUE"""),"")</f>
        <v/>
      </c>
      <c r="V13" t="str">
        <f>IFERROR(__xludf.DUMMYFUNCTION("""COMPUTED_VALUE"""),"")</f>
        <v/>
      </c>
      <c r="W13" t="str">
        <f>IFERROR(__xludf.DUMMYFUNCTION("""COMPUTED_VALUE"""),"")</f>
        <v/>
      </c>
      <c r="X13" t="str">
        <f>IFERROR(__xludf.DUMMYFUNCTION("""COMPUTED_VALUE"""),"")</f>
        <v/>
      </c>
      <c r="Y13" t="str">
        <f>IFERROR(__xludf.DUMMYFUNCTION("""COMPUTED_VALUE"""),"")</f>
        <v/>
      </c>
      <c r="Z13" t="str">
        <f>IFERROR(__xludf.DUMMYFUNCTION("""COMPUTED_VALUE"""),"")</f>
        <v/>
      </c>
    </row>
    <row r="200">
      <c r="A200" s="119">
        <f>IFERROR(__xludf.DUMMYFUNCTION("Filter('11_ANALYSIS'!C2:Z996,'11_ANALYSIS'!D2:D2000&gt;0)"),11001.0)</f>
        <v>11001</v>
      </c>
      <c r="B200" s="119" t="str">
        <f>IFERROR(__xludf.DUMMYFUNCTION("""COMPUTED_VALUE"""),"R01")</f>
        <v>R01</v>
      </c>
      <c r="C200" t="str">
        <f>IFERROR(__xludf.DUMMYFUNCTION("""COMPUTED_VALUE"""),"Inv_Injector")</f>
        <v>Inv_Injector</v>
      </c>
      <c r="D200" t="str">
        <f>IFERROR(__xludf.DUMMYFUNCTION("""COMPUTED_VALUE"""),"Analysis")</f>
        <v>Analysis</v>
      </c>
      <c r="E200" t="str">
        <f>IFERROR(__xludf.DUMMYFUNCTION("""COMPUTED_VALUE"""),"Solidworks/ANSYS")</f>
        <v>Solidworks/ANSYS</v>
      </c>
      <c r="F200" t="str">
        <f>IFERROR(__xludf.DUMMYFUNCTION("""COMPUTED_VALUE"""),"Marginal Stability")</f>
        <v>Marginal Stability</v>
      </c>
      <c r="G200" t="str">
        <f>IFERROR(__xludf.DUMMYFUNCTION("""COMPUTED_VALUE"""),"Inv. geom. for CFD")</f>
        <v>Inv. geom. for CFD</v>
      </c>
      <c r="H200" t="str">
        <f>IFERROR(__xludf.DUMMYFUNCTION("""COMPUTED_VALUE"""),"N/A")</f>
        <v>N/A</v>
      </c>
      <c r="I200" t="str">
        <f>IFERROR(__xludf.DUMMYFUNCTION("""COMPUTED_VALUE"""),"Imperial")</f>
        <v>Imperial</v>
      </c>
      <c r="J200" t="str">
        <f>IFERROR(__xludf.DUMMYFUNCTION("""COMPUTED_VALUE"""),"Jonathan Zhang")</f>
        <v>Jonathan Zhang</v>
      </c>
      <c r="K200" s="122">
        <f>IFERROR(__xludf.DUMMYFUNCTION("""COMPUTED_VALUE"""),43356.0)</f>
        <v>43356</v>
      </c>
      <c r="L200" s="120" t="str">
        <f>IFERROR(__xludf.DUMMYFUNCTION("""COMPUTED_VALUE"""),"https://drive.google.com/open?id=1bdJ9ns6-CuUPH6e-EA8DdvkD2jxBaETV")</f>
        <v>https://drive.google.com/open?id=1bdJ9ns6-CuUPH6e-EA8DdvkD2jxBaETV</v>
      </c>
      <c r="M200" t="str">
        <f>IFERROR(__xludf.DUMMYFUNCTION("""COMPUTED_VALUE"""),"C")</f>
        <v>C</v>
      </c>
      <c r="N200" t="str">
        <f>IFERROR(__xludf.DUMMYFUNCTION("""COMPUTED_VALUE"""),"")</f>
        <v/>
      </c>
      <c r="O200" t="str">
        <f>IFERROR(__xludf.DUMMYFUNCTION("""COMPUTED_VALUE"""),"")</f>
        <v/>
      </c>
      <c r="P200" t="str">
        <f>IFERROR(__xludf.DUMMYFUNCTION("""COMPUTED_VALUE"""),"")</f>
        <v/>
      </c>
      <c r="Q200" t="str">
        <f>IFERROR(__xludf.DUMMYFUNCTION("""COMPUTED_VALUE"""),"")</f>
        <v/>
      </c>
      <c r="R200" t="str">
        <f>IFERROR(__xludf.DUMMYFUNCTION("""COMPUTED_VALUE"""),"")</f>
        <v/>
      </c>
      <c r="S200" t="str">
        <f>IFERROR(__xludf.DUMMYFUNCTION("""COMPUTED_VALUE"""),"")</f>
        <v/>
      </c>
      <c r="T200" t="str">
        <f>IFERROR(__xludf.DUMMYFUNCTION("""COMPUTED_VALUE"""),"")</f>
        <v/>
      </c>
      <c r="U200" t="str">
        <f>IFERROR(__xludf.DUMMYFUNCTION("""COMPUTED_VALUE"""),"")</f>
        <v/>
      </c>
      <c r="V200" t="str">
        <f>IFERROR(__xludf.DUMMYFUNCTION("""COMPUTED_VALUE"""),"")</f>
        <v/>
      </c>
      <c r="W200" t="str">
        <f>IFERROR(__xludf.DUMMYFUNCTION("""COMPUTED_VALUE"""),"")</f>
        <v/>
      </c>
      <c r="X200" t="str">
        <f>IFERROR(__xludf.DUMMYFUNCTION("""COMPUTED_VALUE"""),"")</f>
        <v/>
      </c>
      <c r="Y200" t="str">
        <f>IFERROR(__xludf.DUMMYFUNCTION("""COMPUTED_VALUE"""),"")</f>
        <v/>
      </c>
      <c r="Z200" t="str">
        <f>IFERROR(__xludf.DUMMYFUNCTION("""COMPUTED_VALUE"""),"")</f>
        <v/>
      </c>
    </row>
    <row r="400">
      <c r="A400" t="str">
        <f>IFERROR(__xludf.DUMMYFUNCTION("Filter('12_AVIONICS'!C2:Z996,'12_AVIONICS'!D2:D2000)"),"#N/A")</f>
        <v>#N/A</v>
      </c>
    </row>
    <row r="600">
      <c r="A600" s="119">
        <f>IFERROR(__xludf.DUMMYFUNCTION("Filter('13_PROPULSION'!C2:Z996,'13_PROPULSION'!D2:D2000&gt;0)"),13001.0)</f>
        <v>13001</v>
      </c>
      <c r="B600" s="119" t="str">
        <f>IFERROR(__xludf.DUMMYFUNCTION("""COMPUTED_VALUE"""),"R02")</f>
        <v>R02</v>
      </c>
      <c r="C600" t="str">
        <f>IFERROR(__xludf.DUMMYFUNCTION("""COMPUTED_VALUE"""),"Thrust Plate")</f>
        <v>Thrust Plate</v>
      </c>
      <c r="D600" t="str">
        <f>IFERROR(__xludf.DUMMYFUNCTION("""COMPUTED_VALUE"""),"Propulsion")</f>
        <v>Propulsion</v>
      </c>
      <c r="E600" t="str">
        <f>IFERROR(__xludf.DUMMYFUNCTION("""COMPUTED_VALUE"""),"SolidWorks")</f>
        <v>SolidWorks</v>
      </c>
      <c r="F600" t="str">
        <f>IFERROR(__xludf.DUMMYFUNCTION("""COMPUTED_VALUE"""),"Marginal Stability")</f>
        <v>Marginal Stability</v>
      </c>
      <c r="G600" t="str">
        <f>IFERROR(__xludf.DUMMYFUNCTION("""COMPUTED_VALUE"""),"Mount for attaching motor to lower airframe")</f>
        <v>Mount for attaching motor to lower airframe</v>
      </c>
      <c r="H600" t="str">
        <f>IFERROR(__xludf.DUMMYFUNCTION("""COMPUTED_VALUE"""),"6061-T6")</f>
        <v>6061-T6</v>
      </c>
      <c r="I600" t="str">
        <f>IFERROR(__xludf.DUMMYFUNCTION("""COMPUTED_VALUE"""),"Imperial")</f>
        <v>Imperial</v>
      </c>
      <c r="J600" t="str">
        <f>IFERROR(__xludf.DUMMYFUNCTION("""COMPUTED_VALUE"""),"Joshua Elmer")</f>
        <v>Joshua Elmer</v>
      </c>
      <c r="K600" s="123" t="str">
        <f>IFERROR(__xludf.DUMMYFUNCTION("""COMPUTED_VALUE"""),"Sept/2018")</f>
        <v>Sept/2018</v>
      </c>
      <c r="L600" t="str">
        <f>IFERROR(__xludf.DUMMYFUNCTION("""COMPUTED_VALUE"""),"")</f>
        <v/>
      </c>
      <c r="M600" t="str">
        <f>IFERROR(__xludf.DUMMYFUNCTION("""COMPUTED_VALUE"""),"In Progress")</f>
        <v>In Progress</v>
      </c>
      <c r="N600" t="str">
        <f>IFERROR(__xludf.DUMMYFUNCTION("""COMPUTED_VALUE"""),"")</f>
        <v/>
      </c>
      <c r="O600" t="str">
        <f>IFERROR(__xludf.DUMMYFUNCTION("""COMPUTED_VALUE"""),"")</f>
        <v/>
      </c>
      <c r="P600" t="str">
        <f>IFERROR(__xludf.DUMMYFUNCTION("""COMPUTED_VALUE"""),"")</f>
        <v/>
      </c>
      <c r="Q600" t="str">
        <f>IFERROR(__xludf.DUMMYFUNCTION("""COMPUTED_VALUE"""),"")</f>
        <v/>
      </c>
      <c r="R600" t="str">
        <f>IFERROR(__xludf.DUMMYFUNCTION("""COMPUTED_VALUE"""),"")</f>
        <v/>
      </c>
      <c r="S600" t="str">
        <f>IFERROR(__xludf.DUMMYFUNCTION("""COMPUTED_VALUE"""),"")</f>
        <v/>
      </c>
      <c r="T600" t="str">
        <f>IFERROR(__xludf.DUMMYFUNCTION("""COMPUTED_VALUE"""),"")</f>
        <v/>
      </c>
      <c r="U600" t="str">
        <f>IFERROR(__xludf.DUMMYFUNCTION("""COMPUTED_VALUE"""),"")</f>
        <v/>
      </c>
      <c r="V600" t="str">
        <f>IFERROR(__xludf.DUMMYFUNCTION("""COMPUTED_VALUE"""),"")</f>
        <v/>
      </c>
      <c r="W600" t="str">
        <f>IFERROR(__xludf.DUMMYFUNCTION("""COMPUTED_VALUE"""),"")</f>
        <v/>
      </c>
      <c r="X600" t="str">
        <f>IFERROR(__xludf.DUMMYFUNCTION("""COMPUTED_VALUE"""),"")</f>
        <v/>
      </c>
      <c r="Y600" t="str">
        <f>IFERROR(__xludf.DUMMYFUNCTION("""COMPUTED_VALUE"""),"")</f>
        <v/>
      </c>
      <c r="Z600" t="str">
        <f>IFERROR(__xludf.DUMMYFUNCTION("""COMPUTED_VALUE"""),"")</f>
        <v/>
      </c>
    </row>
    <row r="601">
      <c r="A601" s="119">
        <f>IFERROR(__xludf.DUMMYFUNCTION("""COMPUTED_VALUE"""),13002.0)</f>
        <v>13002</v>
      </c>
      <c r="B601" s="119" t="str">
        <f>IFERROR(__xludf.DUMMYFUNCTION("""COMPUTED_VALUE"""),"R04")</f>
        <v>R04</v>
      </c>
      <c r="C601" t="str">
        <f>IFERROR(__xludf.DUMMYFUNCTION("""COMPUTED_VALUE"""),"Injector Post")</f>
        <v>Injector Post</v>
      </c>
      <c r="D601" t="str">
        <f>IFERROR(__xludf.DUMMYFUNCTION("""COMPUTED_VALUE"""),"Propulsion")</f>
        <v>Propulsion</v>
      </c>
      <c r="E601" t="str">
        <f>IFERROR(__xludf.DUMMYFUNCTION("""COMPUTED_VALUE"""),"SolidWorks")</f>
        <v>SolidWorks</v>
      </c>
      <c r="F601" t="str">
        <f>IFERROR(__xludf.DUMMYFUNCTION("""COMPUTED_VALUE"""),"Marginal Stability")</f>
        <v>Marginal Stability</v>
      </c>
      <c r="G601" t="str">
        <f>IFERROR(__xludf.DUMMYFUNCTION("""COMPUTED_VALUE"""),"Individual injector element")</f>
        <v>Individual injector element</v>
      </c>
      <c r="H601" t="str">
        <f>IFERROR(__xludf.DUMMYFUNCTION("""COMPUTED_VALUE"""),"")</f>
        <v/>
      </c>
      <c r="I601" t="str">
        <f>IFERROR(__xludf.DUMMYFUNCTION("""COMPUTED_VALUE"""),"Imperial")</f>
        <v>Imperial</v>
      </c>
      <c r="J601" t="str">
        <f>IFERROR(__xludf.DUMMYFUNCTION("""COMPUTED_VALUE"""),"Luis Perez")</f>
        <v>Luis Perez</v>
      </c>
      <c r="K601" s="123">
        <f>IFERROR(__xludf.DUMMYFUNCTION("""COMPUTED_VALUE"""),43374.0)</f>
        <v>43374</v>
      </c>
      <c r="L601" s="120" t="str">
        <f>IFERROR(__xludf.DUMMYFUNCTION("""COMPUTED_VALUE"""),"https://drive.google.com/open?id=11GLzImQMjyVOKcHgnrQfa_RsutA5upaQ")</f>
        <v>https://drive.google.com/open?id=11GLzImQMjyVOKcHgnrQfa_RsutA5upaQ</v>
      </c>
      <c r="M601" t="str">
        <f>IFERROR(__xludf.DUMMYFUNCTION("""COMPUTED_VALUE"""),"In Progress")</f>
        <v>In Progress</v>
      </c>
      <c r="N601" t="str">
        <f>IFERROR(__xludf.DUMMYFUNCTION("""COMPUTED_VALUE"""),"")</f>
        <v/>
      </c>
      <c r="O601" t="str">
        <f>IFERROR(__xludf.DUMMYFUNCTION("""COMPUTED_VALUE"""),"")</f>
        <v/>
      </c>
      <c r="P601" t="str">
        <f>IFERROR(__xludf.DUMMYFUNCTION("""COMPUTED_VALUE"""),"")</f>
        <v/>
      </c>
      <c r="Q601" t="str">
        <f>IFERROR(__xludf.DUMMYFUNCTION("""COMPUTED_VALUE"""),"")</f>
        <v/>
      </c>
      <c r="R601" t="str">
        <f>IFERROR(__xludf.DUMMYFUNCTION("""COMPUTED_VALUE"""),"")</f>
        <v/>
      </c>
      <c r="S601" t="str">
        <f>IFERROR(__xludf.DUMMYFUNCTION("""COMPUTED_VALUE"""),"")</f>
        <v/>
      </c>
      <c r="T601" t="str">
        <f>IFERROR(__xludf.DUMMYFUNCTION("""COMPUTED_VALUE"""),"")</f>
        <v/>
      </c>
      <c r="U601" t="str">
        <f>IFERROR(__xludf.DUMMYFUNCTION("""COMPUTED_VALUE"""),"")</f>
        <v/>
      </c>
      <c r="V601" t="str">
        <f>IFERROR(__xludf.DUMMYFUNCTION("""COMPUTED_VALUE"""),"")</f>
        <v/>
      </c>
      <c r="W601" t="str">
        <f>IFERROR(__xludf.DUMMYFUNCTION("""COMPUTED_VALUE"""),"")</f>
        <v/>
      </c>
      <c r="X601" t="str">
        <f>IFERROR(__xludf.DUMMYFUNCTION("""COMPUTED_VALUE"""),"")</f>
        <v/>
      </c>
      <c r="Y601" t="str">
        <f>IFERROR(__xludf.DUMMYFUNCTION("""COMPUTED_VALUE"""),"")</f>
        <v/>
      </c>
      <c r="Z601" t="str">
        <f>IFERROR(__xludf.DUMMYFUNCTION("""COMPUTED_VALUE"""),"")</f>
        <v/>
      </c>
    </row>
    <row r="602">
      <c r="A602" s="119">
        <f>IFERROR(__xludf.DUMMYFUNCTION("""COMPUTED_VALUE"""),13003.0)</f>
        <v>13003</v>
      </c>
      <c r="B602" s="119" t="str">
        <f>IFERROR(__xludf.DUMMYFUNCTION("""COMPUTED_VALUE"""),"R01")</f>
        <v>R01</v>
      </c>
      <c r="C602" t="str">
        <f>IFERROR(__xludf.DUMMYFUNCTION("""COMPUTED_VALUE"""),"Lower Manifold")</f>
        <v>Lower Manifold</v>
      </c>
      <c r="D602" t="str">
        <f>IFERROR(__xludf.DUMMYFUNCTION("""COMPUTED_VALUE"""),"Propulsion")</f>
        <v>Propulsion</v>
      </c>
      <c r="E602" t="str">
        <f>IFERROR(__xludf.DUMMYFUNCTION("""COMPUTED_VALUE"""),"SolidWorks")</f>
        <v>SolidWorks</v>
      </c>
      <c r="F602" t="str">
        <f>IFERROR(__xludf.DUMMYFUNCTION("""COMPUTED_VALUE"""),"Marginal Stability")</f>
        <v>Marginal Stability</v>
      </c>
      <c r="G602" t="str">
        <f>IFERROR(__xludf.DUMMYFUNCTION("""COMPUTED_VALUE"""),"Bottom Piece of Testing Manifold")</f>
        <v>Bottom Piece of Testing Manifold</v>
      </c>
      <c r="H602" t="str">
        <f>IFERROR(__xludf.DUMMYFUNCTION("""COMPUTED_VALUE"""),"")</f>
        <v/>
      </c>
      <c r="I602" t="str">
        <f>IFERROR(__xludf.DUMMYFUNCTION("""COMPUTED_VALUE"""),"Imperial")</f>
        <v>Imperial</v>
      </c>
      <c r="J602" t="str">
        <f>IFERROR(__xludf.DUMMYFUNCTION("""COMPUTED_VALUE"""),"Joseph Murad")</f>
        <v>Joseph Murad</v>
      </c>
      <c r="K602" s="123">
        <f>IFERROR(__xludf.DUMMYFUNCTION("""COMPUTED_VALUE"""),43443.0)</f>
        <v>43443</v>
      </c>
      <c r="L602" s="120" t="str">
        <f>IFERROR(__xludf.DUMMYFUNCTION("""COMPUTED_VALUE"""),"https://drive.google.com/open?id=1Lzo24uD2x3Fd724ObEwTFdAwTX4I98iN")</f>
        <v>https://drive.google.com/open?id=1Lzo24uD2x3Fd724ObEwTFdAwTX4I98iN</v>
      </c>
      <c r="M602" t="str">
        <f>IFERROR(__xludf.DUMMYFUNCTION("""COMPUTED_VALUE"""),"")</f>
        <v/>
      </c>
      <c r="N602" t="str">
        <f>IFERROR(__xludf.DUMMYFUNCTION("""COMPUTED_VALUE"""),"")</f>
        <v/>
      </c>
      <c r="O602" t="str">
        <f>IFERROR(__xludf.DUMMYFUNCTION("""COMPUTED_VALUE"""),"")</f>
        <v/>
      </c>
      <c r="P602" t="str">
        <f>IFERROR(__xludf.DUMMYFUNCTION("""COMPUTED_VALUE"""),"")</f>
        <v/>
      </c>
      <c r="Q602" t="str">
        <f>IFERROR(__xludf.DUMMYFUNCTION("""COMPUTED_VALUE"""),"")</f>
        <v/>
      </c>
      <c r="R602" t="str">
        <f>IFERROR(__xludf.DUMMYFUNCTION("""COMPUTED_VALUE"""),"")</f>
        <v/>
      </c>
      <c r="S602" t="str">
        <f>IFERROR(__xludf.DUMMYFUNCTION("""COMPUTED_VALUE"""),"")</f>
        <v/>
      </c>
      <c r="T602" t="str">
        <f>IFERROR(__xludf.DUMMYFUNCTION("""COMPUTED_VALUE"""),"")</f>
        <v/>
      </c>
      <c r="U602" t="str">
        <f>IFERROR(__xludf.DUMMYFUNCTION("""COMPUTED_VALUE"""),"")</f>
        <v/>
      </c>
      <c r="V602" t="str">
        <f>IFERROR(__xludf.DUMMYFUNCTION("""COMPUTED_VALUE"""),"")</f>
        <v/>
      </c>
      <c r="W602" t="str">
        <f>IFERROR(__xludf.DUMMYFUNCTION("""COMPUTED_VALUE"""),"")</f>
        <v/>
      </c>
      <c r="X602" t="str">
        <f>IFERROR(__xludf.DUMMYFUNCTION("""COMPUTED_VALUE"""),"")</f>
        <v/>
      </c>
      <c r="Y602" t="str">
        <f>IFERROR(__xludf.DUMMYFUNCTION("""COMPUTED_VALUE"""),"")</f>
        <v/>
      </c>
      <c r="Z602" t="str">
        <f>IFERROR(__xludf.DUMMYFUNCTION("""COMPUTED_VALUE"""),"")</f>
        <v/>
      </c>
    </row>
    <row r="603">
      <c r="A603" s="119">
        <f>IFERROR(__xludf.DUMMYFUNCTION("""COMPUTED_VALUE"""),13004.0)</f>
        <v>13004</v>
      </c>
      <c r="B603" s="119" t="str">
        <f>IFERROR(__xludf.DUMMYFUNCTION("""COMPUTED_VALUE"""),"R01")</f>
        <v>R01</v>
      </c>
      <c r="C603" t="str">
        <f>IFERROR(__xludf.DUMMYFUNCTION("""COMPUTED_VALUE"""),"Upper Manifold")</f>
        <v>Upper Manifold</v>
      </c>
      <c r="D603" t="str">
        <f>IFERROR(__xludf.DUMMYFUNCTION("""COMPUTED_VALUE"""),"Propulsion")</f>
        <v>Propulsion</v>
      </c>
      <c r="E603" t="str">
        <f>IFERROR(__xludf.DUMMYFUNCTION("""COMPUTED_VALUE"""),"SolidWorks")</f>
        <v>SolidWorks</v>
      </c>
      <c r="F603" t="str">
        <f>IFERROR(__xludf.DUMMYFUNCTION("""COMPUTED_VALUE"""),"Marginal Stability")</f>
        <v>Marginal Stability</v>
      </c>
      <c r="G603" t="str">
        <f>IFERROR(__xludf.DUMMYFUNCTION("""COMPUTED_VALUE"""),"Top Piece of Testing Manifold")</f>
        <v>Top Piece of Testing Manifold</v>
      </c>
      <c r="H603" t="str">
        <f>IFERROR(__xludf.DUMMYFUNCTION("""COMPUTED_VALUE"""),"")</f>
        <v/>
      </c>
      <c r="I603" t="str">
        <f>IFERROR(__xludf.DUMMYFUNCTION("""COMPUTED_VALUE"""),"Imperial")</f>
        <v>Imperial</v>
      </c>
      <c r="J603" t="str">
        <f>IFERROR(__xludf.DUMMYFUNCTION("""COMPUTED_VALUE"""),"Joseph Murad")</f>
        <v>Joseph Murad</v>
      </c>
      <c r="K603" s="123">
        <f>IFERROR(__xludf.DUMMYFUNCTION("""COMPUTED_VALUE"""),43443.0)</f>
        <v>43443</v>
      </c>
      <c r="L603" s="120" t="str">
        <f>IFERROR(__xludf.DUMMYFUNCTION("""COMPUTED_VALUE"""),"https://drive.google.com/open?id=15EONwBHUxUhPonA38wNA8QomMfEkuzki")</f>
        <v>https://drive.google.com/open?id=15EONwBHUxUhPonA38wNA8QomMfEkuzki</v>
      </c>
      <c r="M603" t="str">
        <f>IFERROR(__xludf.DUMMYFUNCTION("""COMPUTED_VALUE"""),"")</f>
        <v/>
      </c>
      <c r="N603" t="str">
        <f>IFERROR(__xludf.DUMMYFUNCTION("""COMPUTED_VALUE"""),"")</f>
        <v/>
      </c>
      <c r="O603" t="str">
        <f>IFERROR(__xludf.DUMMYFUNCTION("""COMPUTED_VALUE"""),"")</f>
        <v/>
      </c>
      <c r="P603" t="str">
        <f>IFERROR(__xludf.DUMMYFUNCTION("""COMPUTED_VALUE"""),"")</f>
        <v/>
      </c>
      <c r="Q603" t="str">
        <f>IFERROR(__xludf.DUMMYFUNCTION("""COMPUTED_VALUE"""),"")</f>
        <v/>
      </c>
      <c r="R603" t="str">
        <f>IFERROR(__xludf.DUMMYFUNCTION("""COMPUTED_VALUE"""),"")</f>
        <v/>
      </c>
      <c r="S603" t="str">
        <f>IFERROR(__xludf.DUMMYFUNCTION("""COMPUTED_VALUE"""),"")</f>
        <v/>
      </c>
      <c r="T603" t="str">
        <f>IFERROR(__xludf.DUMMYFUNCTION("""COMPUTED_VALUE"""),"")</f>
        <v/>
      </c>
      <c r="U603" t="str">
        <f>IFERROR(__xludf.DUMMYFUNCTION("""COMPUTED_VALUE"""),"")</f>
        <v/>
      </c>
      <c r="V603" t="str">
        <f>IFERROR(__xludf.DUMMYFUNCTION("""COMPUTED_VALUE"""),"")</f>
        <v/>
      </c>
      <c r="W603" t="str">
        <f>IFERROR(__xludf.DUMMYFUNCTION("""COMPUTED_VALUE"""),"")</f>
        <v/>
      </c>
      <c r="X603" t="str">
        <f>IFERROR(__xludf.DUMMYFUNCTION("""COMPUTED_VALUE"""),"")</f>
        <v/>
      </c>
      <c r="Y603" t="str">
        <f>IFERROR(__xludf.DUMMYFUNCTION("""COMPUTED_VALUE"""),"")</f>
        <v/>
      </c>
      <c r="Z603" t="str">
        <f>IFERROR(__xludf.DUMMYFUNCTION("""COMPUTED_VALUE"""),"")</f>
        <v/>
      </c>
    </row>
    <row r="604">
      <c r="A604" s="119">
        <f>IFERROR(__xludf.DUMMYFUNCTION("""COMPUTED_VALUE"""),13005.0)</f>
        <v>13005</v>
      </c>
      <c r="B604" s="119" t="str">
        <f>IFERROR(__xludf.DUMMYFUNCTION("""COMPUTED_VALUE"""),"R01")</f>
        <v>R01</v>
      </c>
      <c r="C604" t="str">
        <f>IFERROR(__xludf.DUMMYFUNCTION("""COMPUTED_VALUE"""),"Manifold Collar")</f>
        <v>Manifold Collar</v>
      </c>
      <c r="D604" t="str">
        <f>IFERROR(__xludf.DUMMYFUNCTION("""COMPUTED_VALUE"""),"Propulsion")</f>
        <v>Propulsion</v>
      </c>
      <c r="E604" t="str">
        <f>IFERROR(__xludf.DUMMYFUNCTION("""COMPUTED_VALUE"""),"SolidWorks")</f>
        <v>SolidWorks</v>
      </c>
      <c r="F604" t="str">
        <f>IFERROR(__xludf.DUMMYFUNCTION("""COMPUTED_VALUE"""),"Marginal Stability")</f>
        <v>Marginal Stability</v>
      </c>
      <c r="G604" t="str">
        <f>IFERROR(__xludf.DUMMYFUNCTION("""COMPUTED_VALUE"""),"Manifold Collar")</f>
        <v>Manifold Collar</v>
      </c>
      <c r="H604" t="str">
        <f>IFERROR(__xludf.DUMMYFUNCTION("""COMPUTED_VALUE"""),"")</f>
        <v/>
      </c>
      <c r="I604" t="str">
        <f>IFERROR(__xludf.DUMMYFUNCTION("""COMPUTED_VALUE"""),"Imperial")</f>
        <v>Imperial</v>
      </c>
      <c r="J604" t="str">
        <f>IFERROR(__xludf.DUMMYFUNCTION("""COMPUTED_VALUE"""),"Joseph Murad")</f>
        <v>Joseph Murad</v>
      </c>
      <c r="K604" s="123">
        <f>IFERROR(__xludf.DUMMYFUNCTION("""COMPUTED_VALUE"""),43443.0)</f>
        <v>43443</v>
      </c>
      <c r="L604" s="120" t="str">
        <f>IFERROR(__xludf.DUMMYFUNCTION("""COMPUTED_VALUE"""),"https://drive.google.com/open?id=1JRLlKoq7Q6YJiYtDq6vGGAF04ELHjpDS")</f>
        <v>https://drive.google.com/open?id=1JRLlKoq7Q6YJiYtDq6vGGAF04ELHjpDS</v>
      </c>
      <c r="M604" t="str">
        <f>IFERROR(__xludf.DUMMYFUNCTION("""COMPUTED_VALUE"""),"")</f>
        <v/>
      </c>
      <c r="N604" t="str">
        <f>IFERROR(__xludf.DUMMYFUNCTION("""COMPUTED_VALUE"""),"")</f>
        <v/>
      </c>
      <c r="O604" t="str">
        <f>IFERROR(__xludf.DUMMYFUNCTION("""COMPUTED_VALUE"""),"")</f>
        <v/>
      </c>
      <c r="P604" t="str">
        <f>IFERROR(__xludf.DUMMYFUNCTION("""COMPUTED_VALUE"""),"")</f>
        <v/>
      </c>
      <c r="Q604" t="str">
        <f>IFERROR(__xludf.DUMMYFUNCTION("""COMPUTED_VALUE"""),"")</f>
        <v/>
      </c>
      <c r="R604" t="str">
        <f>IFERROR(__xludf.DUMMYFUNCTION("""COMPUTED_VALUE"""),"")</f>
        <v/>
      </c>
      <c r="S604" t="str">
        <f>IFERROR(__xludf.DUMMYFUNCTION("""COMPUTED_VALUE"""),"")</f>
        <v/>
      </c>
      <c r="T604" t="str">
        <f>IFERROR(__xludf.DUMMYFUNCTION("""COMPUTED_VALUE"""),"")</f>
        <v/>
      </c>
      <c r="U604" t="str">
        <f>IFERROR(__xludf.DUMMYFUNCTION("""COMPUTED_VALUE"""),"")</f>
        <v/>
      </c>
      <c r="V604" t="str">
        <f>IFERROR(__xludf.DUMMYFUNCTION("""COMPUTED_VALUE"""),"")</f>
        <v/>
      </c>
      <c r="W604" t="str">
        <f>IFERROR(__xludf.DUMMYFUNCTION("""COMPUTED_VALUE"""),"")</f>
        <v/>
      </c>
      <c r="X604" t="str">
        <f>IFERROR(__xludf.DUMMYFUNCTION("""COMPUTED_VALUE"""),"")</f>
        <v/>
      </c>
      <c r="Y604" t="str">
        <f>IFERROR(__xludf.DUMMYFUNCTION("""COMPUTED_VALUE"""),"")</f>
        <v/>
      </c>
      <c r="Z604" t="str">
        <f>IFERROR(__xludf.DUMMYFUNCTION("""COMPUTED_VALUE"""),"")</f>
        <v/>
      </c>
    </row>
    <row r="605">
      <c r="A605" s="119">
        <f>IFERROR(__xludf.DUMMYFUNCTION("""COMPUTED_VALUE"""),13006.0)</f>
        <v>13006</v>
      </c>
      <c r="B605" s="119" t="str">
        <f>IFERROR(__xludf.DUMMYFUNCTION("""COMPUTED_VALUE"""),"R01")</f>
        <v>R01</v>
      </c>
      <c r="C605" t="str">
        <f>IFERROR(__xludf.DUMMYFUNCTION("""COMPUTED_VALUE"""),"Bot Collar")</f>
        <v>Bot Collar</v>
      </c>
      <c r="D605" t="str">
        <f>IFERROR(__xludf.DUMMYFUNCTION("""COMPUTED_VALUE"""),"Propulsion")</f>
        <v>Propulsion</v>
      </c>
      <c r="E605" t="str">
        <f>IFERROR(__xludf.DUMMYFUNCTION("""COMPUTED_VALUE"""),"SolidWorks")</f>
        <v>SolidWorks</v>
      </c>
      <c r="F605" t="str">
        <f>IFERROR(__xludf.DUMMYFUNCTION("""COMPUTED_VALUE"""),"Marginal Stability")</f>
        <v>Marginal Stability</v>
      </c>
      <c r="G605" t="str">
        <f>IFERROR(__xludf.DUMMYFUNCTION("""COMPUTED_VALUE"""),"? ask joseph")</f>
        <v>? ask joseph</v>
      </c>
      <c r="H605" t="str">
        <f>IFERROR(__xludf.DUMMYFUNCTION("""COMPUTED_VALUE"""),"")</f>
        <v/>
      </c>
      <c r="I605" t="str">
        <f>IFERROR(__xludf.DUMMYFUNCTION("""COMPUTED_VALUE"""),"Imperial")</f>
        <v>Imperial</v>
      </c>
      <c r="J605" t="str">
        <f>IFERROR(__xludf.DUMMYFUNCTION("""COMPUTED_VALUE"""),"Joseph Murad")</f>
        <v>Joseph Murad</v>
      </c>
      <c r="K605" s="123">
        <f>IFERROR(__xludf.DUMMYFUNCTION("""COMPUTED_VALUE"""),43443.0)</f>
        <v>43443</v>
      </c>
      <c r="L605" t="str">
        <f>IFERROR(__xludf.DUMMYFUNCTION("""COMPUTED_VALUE"""),"")</f>
        <v/>
      </c>
      <c r="M605" t="str">
        <f>IFERROR(__xludf.DUMMYFUNCTION("""COMPUTED_VALUE"""),"")</f>
        <v/>
      </c>
      <c r="N605" t="str">
        <f>IFERROR(__xludf.DUMMYFUNCTION("""COMPUTED_VALUE"""),"")</f>
        <v/>
      </c>
      <c r="O605" t="str">
        <f>IFERROR(__xludf.DUMMYFUNCTION("""COMPUTED_VALUE"""),"")</f>
        <v/>
      </c>
      <c r="P605" t="str">
        <f>IFERROR(__xludf.DUMMYFUNCTION("""COMPUTED_VALUE"""),"")</f>
        <v/>
      </c>
      <c r="Q605" t="str">
        <f>IFERROR(__xludf.DUMMYFUNCTION("""COMPUTED_VALUE"""),"")</f>
        <v/>
      </c>
      <c r="R605" t="str">
        <f>IFERROR(__xludf.DUMMYFUNCTION("""COMPUTED_VALUE"""),"")</f>
        <v/>
      </c>
      <c r="S605" t="str">
        <f>IFERROR(__xludf.DUMMYFUNCTION("""COMPUTED_VALUE"""),"")</f>
        <v/>
      </c>
      <c r="T605" t="str">
        <f>IFERROR(__xludf.DUMMYFUNCTION("""COMPUTED_VALUE"""),"")</f>
        <v/>
      </c>
      <c r="U605" t="str">
        <f>IFERROR(__xludf.DUMMYFUNCTION("""COMPUTED_VALUE"""),"")</f>
        <v/>
      </c>
      <c r="V605" t="str">
        <f>IFERROR(__xludf.DUMMYFUNCTION("""COMPUTED_VALUE"""),"")</f>
        <v/>
      </c>
      <c r="W605" t="str">
        <f>IFERROR(__xludf.DUMMYFUNCTION("""COMPUTED_VALUE"""),"")</f>
        <v/>
      </c>
      <c r="X605" t="str">
        <f>IFERROR(__xludf.DUMMYFUNCTION("""COMPUTED_VALUE"""),"")</f>
        <v/>
      </c>
      <c r="Y605" t="str">
        <f>IFERROR(__xludf.DUMMYFUNCTION("""COMPUTED_VALUE"""),"")</f>
        <v/>
      </c>
      <c r="Z605" t="str">
        <f>IFERROR(__xludf.DUMMYFUNCTION("""COMPUTED_VALUE"""),"")</f>
        <v/>
      </c>
    </row>
    <row r="606">
      <c r="A606" s="119">
        <f>IFERROR(__xludf.DUMMYFUNCTION("""COMPUTED_VALUE"""),13007.0)</f>
        <v>13007</v>
      </c>
      <c r="B606" s="119" t="str">
        <f>IFERROR(__xludf.DUMMYFUNCTION("""COMPUTED_VALUE"""),"R01")</f>
        <v>R01</v>
      </c>
      <c r="C606" t="str">
        <f>IFERROR(__xludf.DUMMYFUNCTION("""COMPUTED_VALUE"""),"Thrust Mount")</f>
        <v>Thrust Mount</v>
      </c>
      <c r="D606" t="str">
        <f>IFERROR(__xludf.DUMMYFUNCTION("""COMPUTED_VALUE"""),"Propulsion")</f>
        <v>Propulsion</v>
      </c>
      <c r="E606" t="str">
        <f>IFERROR(__xludf.DUMMYFUNCTION("""COMPUTED_VALUE"""),"SolidWorks")</f>
        <v>SolidWorks</v>
      </c>
      <c r="F606" t="str">
        <f>IFERROR(__xludf.DUMMYFUNCTION("""COMPUTED_VALUE"""),"Marginal Stability")</f>
        <v>Marginal Stability</v>
      </c>
      <c r="G606" t="str">
        <f>IFERROR(__xludf.DUMMYFUNCTION("""COMPUTED_VALUE"""),"Injector - Aerostructure Interface")</f>
        <v>Injector - Aerostructure Interface</v>
      </c>
      <c r="H606" t="str">
        <f>IFERROR(__xludf.DUMMYFUNCTION("""COMPUTED_VALUE"""),"Al 6061-T6")</f>
        <v>Al 6061-T6</v>
      </c>
      <c r="I606" t="str">
        <f>IFERROR(__xludf.DUMMYFUNCTION("""COMPUTED_VALUE"""),"Imperial")</f>
        <v>Imperial</v>
      </c>
      <c r="J606" t="str">
        <f>IFERROR(__xludf.DUMMYFUNCTION("""COMPUTED_VALUE"""),"Luis Calle")</f>
        <v>Luis Calle</v>
      </c>
      <c r="K606" s="123">
        <f>IFERROR(__xludf.DUMMYFUNCTION("""COMPUTED_VALUE"""),43119.0)</f>
        <v>43119</v>
      </c>
      <c r="L606" s="120" t="str">
        <f>IFERROR(__xludf.DUMMYFUNCTION("""COMPUTED_VALUE"""),"https://drive.google.com/open?id=1iROIOWN2H3OVrmbOyx4elAgc0Su02Uvn")</f>
        <v>https://drive.google.com/open?id=1iROIOWN2H3OVrmbOyx4elAgc0Su02Uvn</v>
      </c>
      <c r="M606" t="str">
        <f>IFERROR(__xludf.DUMMYFUNCTION("""COMPUTED_VALUE"""),"In Progress")</f>
        <v>In Progress</v>
      </c>
      <c r="N606" t="str">
        <f>IFERROR(__xludf.DUMMYFUNCTION("""COMPUTED_VALUE"""),"")</f>
        <v/>
      </c>
      <c r="O606" t="str">
        <f>IFERROR(__xludf.DUMMYFUNCTION("""COMPUTED_VALUE"""),"")</f>
        <v/>
      </c>
      <c r="P606" t="str">
        <f>IFERROR(__xludf.DUMMYFUNCTION("""COMPUTED_VALUE"""),"")</f>
        <v/>
      </c>
      <c r="Q606" t="str">
        <f>IFERROR(__xludf.DUMMYFUNCTION("""COMPUTED_VALUE"""),"")</f>
        <v/>
      </c>
      <c r="R606" t="str">
        <f>IFERROR(__xludf.DUMMYFUNCTION("""COMPUTED_VALUE"""),"")</f>
        <v/>
      </c>
      <c r="S606" t="str">
        <f>IFERROR(__xludf.DUMMYFUNCTION("""COMPUTED_VALUE"""),"")</f>
        <v/>
      </c>
      <c r="T606" t="str">
        <f>IFERROR(__xludf.DUMMYFUNCTION("""COMPUTED_VALUE"""),"")</f>
        <v/>
      </c>
      <c r="U606" t="str">
        <f>IFERROR(__xludf.DUMMYFUNCTION("""COMPUTED_VALUE"""),"")</f>
        <v/>
      </c>
      <c r="V606" t="str">
        <f>IFERROR(__xludf.DUMMYFUNCTION("""COMPUTED_VALUE"""),"")</f>
        <v/>
      </c>
      <c r="W606" t="str">
        <f>IFERROR(__xludf.DUMMYFUNCTION("""COMPUTED_VALUE"""),"")</f>
        <v/>
      </c>
      <c r="X606" t="str">
        <f>IFERROR(__xludf.DUMMYFUNCTION("""COMPUTED_VALUE"""),"")</f>
        <v/>
      </c>
      <c r="Y606" t="str">
        <f>IFERROR(__xludf.DUMMYFUNCTION("""COMPUTED_VALUE"""),"")</f>
        <v/>
      </c>
      <c r="Z606" t="str">
        <f>IFERROR(__xludf.DUMMYFUNCTION("""COMPUTED_VALUE"""),"")</f>
        <v/>
      </c>
    </row>
    <row r="607">
      <c r="A607" s="119">
        <f>IFERROR(__xludf.DUMMYFUNCTION("""COMPUTED_VALUE"""),13008.0)</f>
        <v>13008</v>
      </c>
      <c r="B607" s="119" t="str">
        <f>IFERROR(__xludf.DUMMYFUNCTION("""COMPUTED_VALUE"""),"R03")</f>
        <v>R03</v>
      </c>
      <c r="C607" t="str">
        <f>IFERROR(__xludf.DUMMYFUNCTION("""COMPUTED_VALUE"""),"Injector Plate")</f>
        <v>Injector Plate</v>
      </c>
      <c r="D607" t="str">
        <f>IFERROR(__xludf.DUMMYFUNCTION("""COMPUTED_VALUE"""),"Propulsion")</f>
        <v>Propulsion</v>
      </c>
      <c r="E607" t="str">
        <f>IFERROR(__xludf.DUMMYFUNCTION("""COMPUTED_VALUE"""),"SolidWorks")</f>
        <v>SolidWorks</v>
      </c>
      <c r="F607" t="str">
        <f>IFERROR(__xludf.DUMMYFUNCTION("""COMPUTED_VALUE"""),"Marginal Stability")</f>
        <v>Marginal Stability</v>
      </c>
      <c r="G607" t="str">
        <f>IFERROR(__xludf.DUMMYFUNCTION("""COMPUTED_VALUE"""),"Injector Plate interfacing with TCA")</f>
        <v>Injector Plate interfacing with TCA</v>
      </c>
      <c r="H607" t="str">
        <f>IFERROR(__xludf.DUMMYFUNCTION("""COMPUTED_VALUE"""),"")</f>
        <v/>
      </c>
      <c r="I607" t="str">
        <f>IFERROR(__xludf.DUMMYFUNCTION("""COMPUTED_VALUE"""),"Imperial")</f>
        <v>Imperial</v>
      </c>
      <c r="J607" t="str">
        <f>IFERROR(__xludf.DUMMYFUNCTION("""COMPUTED_VALUE"""),"Luis Perez")</f>
        <v>Luis Perez</v>
      </c>
      <c r="K607" s="123">
        <f>IFERROR(__xludf.DUMMYFUNCTION("""COMPUTED_VALUE"""),43514.0)</f>
        <v>43514</v>
      </c>
      <c r="L607" s="120" t="str">
        <f>IFERROR(__xludf.DUMMYFUNCTION("""COMPUTED_VALUE"""),"https://drive.google.com/open?id=1Xs5DumGkjYO--vLFcwFjdFdRstTMob4K")</f>
        <v>https://drive.google.com/open?id=1Xs5DumGkjYO--vLFcwFjdFdRstTMob4K</v>
      </c>
      <c r="M607" t="str">
        <f>IFERROR(__xludf.DUMMYFUNCTION("""COMPUTED_VALUE"""),"In Progress")</f>
        <v>In Progress</v>
      </c>
      <c r="N607" t="str">
        <f>IFERROR(__xludf.DUMMYFUNCTION("""COMPUTED_VALUE"""),"")</f>
        <v/>
      </c>
      <c r="O607" t="str">
        <f>IFERROR(__xludf.DUMMYFUNCTION("""COMPUTED_VALUE"""),"")</f>
        <v/>
      </c>
      <c r="P607" t="str">
        <f>IFERROR(__xludf.DUMMYFUNCTION("""COMPUTED_VALUE"""),"")</f>
        <v/>
      </c>
      <c r="Q607" t="str">
        <f>IFERROR(__xludf.DUMMYFUNCTION("""COMPUTED_VALUE"""),"")</f>
        <v/>
      </c>
      <c r="R607" t="str">
        <f>IFERROR(__xludf.DUMMYFUNCTION("""COMPUTED_VALUE"""),"")</f>
        <v/>
      </c>
      <c r="S607" t="str">
        <f>IFERROR(__xludf.DUMMYFUNCTION("""COMPUTED_VALUE"""),"")</f>
        <v/>
      </c>
      <c r="T607" t="str">
        <f>IFERROR(__xludf.DUMMYFUNCTION("""COMPUTED_VALUE"""),"")</f>
        <v/>
      </c>
      <c r="U607" t="str">
        <f>IFERROR(__xludf.DUMMYFUNCTION("""COMPUTED_VALUE"""),"")</f>
        <v/>
      </c>
      <c r="V607" t="str">
        <f>IFERROR(__xludf.DUMMYFUNCTION("""COMPUTED_VALUE"""),"")</f>
        <v/>
      </c>
      <c r="W607" t="str">
        <f>IFERROR(__xludf.DUMMYFUNCTION("""COMPUTED_VALUE"""),"")</f>
        <v/>
      </c>
      <c r="X607" t="str">
        <f>IFERROR(__xludf.DUMMYFUNCTION("""COMPUTED_VALUE"""),"")</f>
        <v/>
      </c>
      <c r="Y607" t="str">
        <f>IFERROR(__xludf.DUMMYFUNCTION("""COMPUTED_VALUE"""),"")</f>
        <v/>
      </c>
      <c r="Z607" t="str">
        <f>IFERROR(__xludf.DUMMYFUNCTION("""COMPUTED_VALUE"""),"")</f>
        <v/>
      </c>
    </row>
    <row r="608">
      <c r="A608" s="119">
        <f>IFERROR(__xludf.DUMMYFUNCTION("""COMPUTED_VALUE"""),13009.0)</f>
        <v>13009</v>
      </c>
      <c r="B608" s="119" t="str">
        <f>IFERROR(__xludf.DUMMYFUNCTION("""COMPUTED_VALUE"""),"R01")</f>
        <v>R01</v>
      </c>
      <c r="C608" t="str">
        <f>IFERROR(__xludf.DUMMYFUNCTION("""COMPUTED_VALUE"""),"LOX Dome")</f>
        <v>LOX Dome</v>
      </c>
      <c r="D608" t="str">
        <f>IFERROR(__xludf.DUMMYFUNCTION("""COMPUTED_VALUE"""),"Propulsion")</f>
        <v>Propulsion</v>
      </c>
      <c r="E608" t="str">
        <f>IFERROR(__xludf.DUMMYFUNCTION("""COMPUTED_VALUE"""),"SolidWorks")</f>
        <v>SolidWorks</v>
      </c>
      <c r="F608" t="str">
        <f>IFERROR(__xludf.DUMMYFUNCTION("""COMPUTED_VALUE"""),"Marginal Stability")</f>
        <v>Marginal Stability</v>
      </c>
      <c r="G608" t="str">
        <f>IFERROR(__xludf.DUMMYFUNCTION("""COMPUTED_VALUE"""),"Dome for the LOx side of the Injector")</f>
        <v>Dome for the LOx side of the Injector</v>
      </c>
      <c r="H608" t="str">
        <f>IFERROR(__xludf.DUMMYFUNCTION("""COMPUTED_VALUE"""),"Stainless Steel 303")</f>
        <v>Stainless Steel 303</v>
      </c>
      <c r="I608" t="str">
        <f>IFERROR(__xludf.DUMMYFUNCTION("""COMPUTED_VALUE"""),"Imperial")</f>
        <v>Imperial</v>
      </c>
      <c r="J608" t="str">
        <f>IFERROR(__xludf.DUMMYFUNCTION("""COMPUTED_VALUE"""),"Luis Perez")</f>
        <v>Luis Perez</v>
      </c>
      <c r="K608" s="123">
        <f>IFERROR(__xludf.DUMMYFUNCTION("""COMPUTED_VALUE"""),43648.0)</f>
        <v>43648</v>
      </c>
      <c r="L608" t="str">
        <f>IFERROR(__xludf.DUMMYFUNCTION("""COMPUTED_VALUE"""),"")</f>
        <v/>
      </c>
      <c r="M608" t="str">
        <f>IFERROR(__xludf.DUMMYFUNCTION("""COMPUTED_VALUE"""),"In Progress")</f>
        <v>In Progress</v>
      </c>
      <c r="N608" t="str">
        <f>IFERROR(__xludf.DUMMYFUNCTION("""COMPUTED_VALUE"""),"")</f>
        <v/>
      </c>
      <c r="O608" t="str">
        <f>IFERROR(__xludf.DUMMYFUNCTION("""COMPUTED_VALUE"""),"")</f>
        <v/>
      </c>
      <c r="P608" t="str">
        <f>IFERROR(__xludf.DUMMYFUNCTION("""COMPUTED_VALUE"""),"")</f>
        <v/>
      </c>
      <c r="Q608" t="str">
        <f>IFERROR(__xludf.DUMMYFUNCTION("""COMPUTED_VALUE"""),"")</f>
        <v/>
      </c>
      <c r="R608" t="str">
        <f>IFERROR(__xludf.DUMMYFUNCTION("""COMPUTED_VALUE"""),"")</f>
        <v/>
      </c>
      <c r="S608" t="str">
        <f>IFERROR(__xludf.DUMMYFUNCTION("""COMPUTED_VALUE"""),"")</f>
        <v/>
      </c>
      <c r="T608" t="str">
        <f>IFERROR(__xludf.DUMMYFUNCTION("""COMPUTED_VALUE"""),"")</f>
        <v/>
      </c>
      <c r="U608" t="str">
        <f>IFERROR(__xludf.DUMMYFUNCTION("""COMPUTED_VALUE"""),"")</f>
        <v/>
      </c>
      <c r="V608" t="str">
        <f>IFERROR(__xludf.DUMMYFUNCTION("""COMPUTED_VALUE"""),"")</f>
        <v/>
      </c>
      <c r="W608" t="str">
        <f>IFERROR(__xludf.DUMMYFUNCTION("""COMPUTED_VALUE"""),"")</f>
        <v/>
      </c>
      <c r="X608" t="str">
        <f>IFERROR(__xludf.DUMMYFUNCTION("""COMPUTED_VALUE"""),"")</f>
        <v/>
      </c>
      <c r="Y608" t="str">
        <f>IFERROR(__xludf.DUMMYFUNCTION("""COMPUTED_VALUE"""),"")</f>
        <v/>
      </c>
      <c r="Z608" t="str">
        <f>IFERROR(__xludf.DUMMYFUNCTION("""COMPUTED_VALUE"""),"")</f>
        <v/>
      </c>
    </row>
    <row r="609">
      <c r="A609" s="119">
        <f>IFERROR(__xludf.DUMMYFUNCTION("""COMPUTED_VALUE"""),13100.0)</f>
        <v>13100</v>
      </c>
      <c r="B609" s="119" t="str">
        <f>IFERROR(__xludf.DUMMYFUNCTION("""COMPUTED_VALUE"""),"R02")</f>
        <v>R02</v>
      </c>
      <c r="C609" t="str">
        <f>IFERROR(__xludf.DUMMYFUNCTION("""COMPUTED_VALUE"""),"Thrust Chamber")</f>
        <v>Thrust Chamber</v>
      </c>
      <c r="D609" t="str">
        <f>IFERROR(__xludf.DUMMYFUNCTION("""COMPUTED_VALUE"""),"Propulsion")</f>
        <v>Propulsion</v>
      </c>
      <c r="E609" t="str">
        <f>IFERROR(__xludf.DUMMYFUNCTION("""COMPUTED_VALUE"""),"SolidWorks")</f>
        <v>SolidWorks</v>
      </c>
      <c r="F609" t="str">
        <f>IFERROR(__xludf.DUMMYFUNCTION("""COMPUTED_VALUE"""),"Marginal Stability")</f>
        <v>Marginal Stability</v>
      </c>
      <c r="G609" t="str">
        <f>IFERROR(__xludf.DUMMYFUNCTION("""COMPUTED_VALUE"""),"Main engine body")</f>
        <v>Main engine body</v>
      </c>
      <c r="H609" t="str">
        <f>IFERROR(__xludf.DUMMYFUNCTION("""COMPUTED_VALUE"""),"Inconel 718")</f>
        <v>Inconel 718</v>
      </c>
      <c r="I609" t="str">
        <f>IFERROR(__xludf.DUMMYFUNCTION("""COMPUTED_VALUE"""),"Imperial")</f>
        <v>Imperial</v>
      </c>
      <c r="J609" t="str">
        <f>IFERROR(__xludf.DUMMYFUNCTION("""COMPUTED_VALUE"""),"Nicholas Ashforth")</f>
        <v>Nicholas Ashforth</v>
      </c>
      <c r="K609" s="123">
        <f>IFERROR(__xludf.DUMMYFUNCTION("""COMPUTED_VALUE"""),43533.0)</f>
        <v>43533</v>
      </c>
      <c r="L609" s="120" t="str">
        <f>IFERROR(__xludf.DUMMYFUNCTION("""COMPUTED_VALUE"""),"Link")</f>
        <v>Link</v>
      </c>
      <c r="M609" t="str">
        <f>IFERROR(__xludf.DUMMYFUNCTION("""COMPUTED_VALUE"""),"In Progress")</f>
        <v>In Progress</v>
      </c>
      <c r="N609" t="str">
        <f>IFERROR(__xludf.DUMMYFUNCTION("""COMPUTED_VALUE"""),"")</f>
        <v/>
      </c>
      <c r="O609" t="str">
        <f>IFERROR(__xludf.DUMMYFUNCTION("""COMPUTED_VALUE"""),"")</f>
        <v/>
      </c>
      <c r="P609" t="str">
        <f>IFERROR(__xludf.DUMMYFUNCTION("""COMPUTED_VALUE"""),"")</f>
        <v/>
      </c>
      <c r="Q609" t="str">
        <f>IFERROR(__xludf.DUMMYFUNCTION("""COMPUTED_VALUE"""),"")</f>
        <v/>
      </c>
      <c r="R609" t="str">
        <f>IFERROR(__xludf.DUMMYFUNCTION("""COMPUTED_VALUE"""),"")</f>
        <v/>
      </c>
      <c r="S609" t="str">
        <f>IFERROR(__xludf.DUMMYFUNCTION("""COMPUTED_VALUE"""),"")</f>
        <v/>
      </c>
      <c r="T609" t="str">
        <f>IFERROR(__xludf.DUMMYFUNCTION("""COMPUTED_VALUE"""),"")</f>
        <v/>
      </c>
      <c r="U609" t="str">
        <f>IFERROR(__xludf.DUMMYFUNCTION("""COMPUTED_VALUE"""),"")</f>
        <v/>
      </c>
      <c r="V609" t="str">
        <f>IFERROR(__xludf.DUMMYFUNCTION("""COMPUTED_VALUE"""),"")</f>
        <v/>
      </c>
      <c r="W609" t="str">
        <f>IFERROR(__xludf.DUMMYFUNCTION("""COMPUTED_VALUE"""),"")</f>
        <v/>
      </c>
      <c r="X609" t="str">
        <f>IFERROR(__xludf.DUMMYFUNCTION("""COMPUTED_VALUE"""),"")</f>
        <v/>
      </c>
      <c r="Y609" t="str">
        <f>IFERROR(__xludf.DUMMYFUNCTION("""COMPUTED_VALUE"""),"")</f>
        <v/>
      </c>
      <c r="Z609" t="str">
        <f>IFERROR(__xludf.DUMMYFUNCTION("""COMPUTED_VALUE"""),"")</f>
        <v/>
      </c>
    </row>
    <row r="610">
      <c r="A610" s="119">
        <f>IFERROR(__xludf.DUMMYFUNCTION("""COMPUTED_VALUE"""),13101.0)</f>
        <v>13101</v>
      </c>
      <c r="B610" s="119" t="str">
        <f>IFERROR(__xludf.DUMMYFUNCTION("""COMPUTED_VALUE"""),"R01")</f>
        <v>R01</v>
      </c>
      <c r="C610" t="str">
        <f>IFERROR(__xludf.DUMMYFUNCTION("""COMPUTED_VALUE"""),"TCA Gasket")</f>
        <v>TCA Gasket</v>
      </c>
      <c r="D610" t="str">
        <f>IFERROR(__xludf.DUMMYFUNCTION("""COMPUTED_VALUE"""),"Propulsion")</f>
        <v>Propulsion</v>
      </c>
      <c r="E610" t="str">
        <f>IFERROR(__xludf.DUMMYFUNCTION("""COMPUTED_VALUE"""),"SolidWorks")</f>
        <v>SolidWorks</v>
      </c>
      <c r="F610" t="str">
        <f>IFERROR(__xludf.DUMMYFUNCTION("""COMPUTED_VALUE"""),"Marginal Stability")</f>
        <v>Marginal Stability</v>
      </c>
      <c r="G610" t="str">
        <f>IFERROR(__xludf.DUMMYFUNCTION("""COMPUTED_VALUE"""),"Gasket between TCA and Injector")</f>
        <v>Gasket between TCA and Injector</v>
      </c>
      <c r="H610" t="str">
        <f>IFERROR(__xludf.DUMMYFUNCTION("""COMPUTED_VALUE"""),"Copper")</f>
        <v>Copper</v>
      </c>
      <c r="I610" t="str">
        <f>IFERROR(__xludf.DUMMYFUNCTION("""COMPUTED_VALUE"""),"Imperial")</f>
        <v>Imperial</v>
      </c>
      <c r="J610" t="str">
        <f>IFERROR(__xludf.DUMMYFUNCTION("""COMPUTED_VALUE"""),"Nicholas Ashforth")</f>
        <v>Nicholas Ashforth</v>
      </c>
      <c r="K610" s="123">
        <f>IFERROR(__xludf.DUMMYFUNCTION("""COMPUTED_VALUE"""),43544.0)</f>
        <v>43544</v>
      </c>
      <c r="L610" s="120" t="str">
        <f>IFERROR(__xludf.DUMMYFUNCTION("""COMPUTED_VALUE"""),"Link")</f>
        <v>Link</v>
      </c>
      <c r="M610" t="str">
        <f>IFERROR(__xludf.DUMMYFUNCTION("""COMPUTED_VALUE"""),"In Progress")</f>
        <v>In Progress</v>
      </c>
      <c r="N610" t="str">
        <f>IFERROR(__xludf.DUMMYFUNCTION("""COMPUTED_VALUE"""),"")</f>
        <v/>
      </c>
      <c r="O610" t="str">
        <f>IFERROR(__xludf.DUMMYFUNCTION("""COMPUTED_VALUE"""),"")</f>
        <v/>
      </c>
      <c r="P610" t="str">
        <f>IFERROR(__xludf.DUMMYFUNCTION("""COMPUTED_VALUE"""),"")</f>
        <v/>
      </c>
      <c r="Q610" t="str">
        <f>IFERROR(__xludf.DUMMYFUNCTION("""COMPUTED_VALUE"""),"")</f>
        <v/>
      </c>
      <c r="R610" t="str">
        <f>IFERROR(__xludf.DUMMYFUNCTION("""COMPUTED_VALUE"""),"")</f>
        <v/>
      </c>
      <c r="S610" t="str">
        <f>IFERROR(__xludf.DUMMYFUNCTION("""COMPUTED_VALUE"""),"")</f>
        <v/>
      </c>
      <c r="T610" t="str">
        <f>IFERROR(__xludf.DUMMYFUNCTION("""COMPUTED_VALUE"""),"")</f>
        <v/>
      </c>
      <c r="U610" t="str">
        <f>IFERROR(__xludf.DUMMYFUNCTION("""COMPUTED_VALUE"""),"")</f>
        <v/>
      </c>
      <c r="V610" t="str">
        <f>IFERROR(__xludf.DUMMYFUNCTION("""COMPUTED_VALUE"""),"")</f>
        <v/>
      </c>
      <c r="W610" t="str">
        <f>IFERROR(__xludf.DUMMYFUNCTION("""COMPUTED_VALUE"""),"")</f>
        <v/>
      </c>
      <c r="X610" t="str">
        <f>IFERROR(__xludf.DUMMYFUNCTION("""COMPUTED_VALUE"""),"")</f>
        <v/>
      </c>
      <c r="Y610" t="str">
        <f>IFERROR(__xludf.DUMMYFUNCTION("""COMPUTED_VALUE"""),"")</f>
        <v/>
      </c>
      <c r="Z610" t="str">
        <f>IFERROR(__xludf.DUMMYFUNCTION("""COMPUTED_VALUE"""),"")</f>
        <v/>
      </c>
    </row>
    <row r="800">
      <c r="A800" s="119">
        <f>IFERROR(__xludf.DUMMYFUNCTION("Filter('14_STRUCTURES'!C2:Z999,'14_STRUCTURES'!D2:D2000&gt;0)"),14001.0)</f>
        <v>14001</v>
      </c>
      <c r="B800" s="119" t="str">
        <f>IFERROR(__xludf.DUMMYFUNCTION("""COMPUTED_VALUE"""),"R01")</f>
        <v>R01</v>
      </c>
      <c r="C800" t="str">
        <f>IFERROR(__xludf.DUMMYFUNCTION("""COMPUTED_VALUE"""),"Nose_Cone")</f>
        <v>Nose_Cone</v>
      </c>
      <c r="D800" t="str">
        <f>IFERROR(__xludf.DUMMYFUNCTION("""COMPUTED_VALUE"""),"Structures")</f>
        <v>Structures</v>
      </c>
      <c r="E800" t="str">
        <f>IFERROR(__xludf.DUMMYFUNCTION("""COMPUTED_VALUE"""),"SolidWorks")</f>
        <v>SolidWorks</v>
      </c>
      <c r="F800" t="str">
        <f>IFERROR(__xludf.DUMMYFUNCTION("""COMPUTED_VALUE"""),"Marginal Stability")</f>
        <v>Marginal Stability</v>
      </c>
      <c r="G800" t="str">
        <f>IFERROR(__xludf.DUMMYFUNCTION("""COMPUTED_VALUE"""),"Initial carbon-fiber nose cone mockup, gold-toned for better contrast")</f>
        <v>Initial carbon-fiber nose cone mockup, gold-toned for better contrast</v>
      </c>
      <c r="H800" t="str">
        <f>IFERROR(__xludf.DUMMYFUNCTION("""COMPUTED_VALUE"""),"Carbon fiber")</f>
        <v>Carbon fiber</v>
      </c>
      <c r="I800" t="str">
        <f>IFERROR(__xludf.DUMMYFUNCTION("""COMPUTED_VALUE"""),"Imperial")</f>
        <v>Imperial</v>
      </c>
      <c r="J800" t="str">
        <f>IFERROR(__xludf.DUMMYFUNCTION("""COMPUTED_VALUE"""),"Ross Libman")</f>
        <v>Ross Libman</v>
      </c>
      <c r="K800" s="122">
        <f>IFERROR(__xludf.DUMMYFUNCTION("""COMPUTED_VALUE"""),43306.0)</f>
        <v>43306</v>
      </c>
      <c r="L800" s="120" t="str">
        <f>IFERROR(__xludf.DUMMYFUNCTION("""COMPUTED_VALUE"""),"https://drive.google.com/open?id=1XG6XpoKgHJIuK-rC99yPlm19kRrlGlpZ")</f>
        <v>https://drive.google.com/open?id=1XG6XpoKgHJIuK-rC99yPlm19kRrlGlpZ</v>
      </c>
      <c r="M800" t="str">
        <f>IFERROR(__xludf.DUMMYFUNCTION("""COMPUTED_VALUE"""),"In progress")</f>
        <v>In progress</v>
      </c>
      <c r="N800" t="str">
        <f>IFERROR(__xludf.DUMMYFUNCTION("""COMPUTED_VALUE"""),"")</f>
        <v/>
      </c>
      <c r="O800" t="str">
        <f>IFERROR(__xludf.DUMMYFUNCTION("""COMPUTED_VALUE"""),"")</f>
        <v/>
      </c>
      <c r="P800" t="str">
        <f>IFERROR(__xludf.DUMMYFUNCTION("""COMPUTED_VALUE"""),"")</f>
        <v/>
      </c>
      <c r="Q800" t="str">
        <f>IFERROR(__xludf.DUMMYFUNCTION("""COMPUTED_VALUE"""),"")</f>
        <v/>
      </c>
      <c r="R800" t="str">
        <f>IFERROR(__xludf.DUMMYFUNCTION("""COMPUTED_VALUE"""),"")</f>
        <v/>
      </c>
      <c r="S800" t="str">
        <f>IFERROR(__xludf.DUMMYFUNCTION("""COMPUTED_VALUE"""),"")</f>
        <v/>
      </c>
      <c r="T800" t="str">
        <f>IFERROR(__xludf.DUMMYFUNCTION("""COMPUTED_VALUE"""),"")</f>
        <v/>
      </c>
      <c r="U800" t="str">
        <f>IFERROR(__xludf.DUMMYFUNCTION("""COMPUTED_VALUE"""),"")</f>
        <v/>
      </c>
      <c r="V800" t="str">
        <f>IFERROR(__xludf.DUMMYFUNCTION("""COMPUTED_VALUE"""),"")</f>
        <v/>
      </c>
      <c r="W800" t="str">
        <f>IFERROR(__xludf.DUMMYFUNCTION("""COMPUTED_VALUE"""),"")</f>
        <v/>
      </c>
      <c r="X800" t="str">
        <f>IFERROR(__xludf.DUMMYFUNCTION("""COMPUTED_VALUE"""),"")</f>
        <v/>
      </c>
      <c r="Y800" t="str">
        <f>IFERROR(__xludf.DUMMYFUNCTION("""COMPUTED_VALUE"""),"")</f>
        <v/>
      </c>
      <c r="Z800" t="str">
        <f>IFERROR(__xludf.DUMMYFUNCTION("""COMPUTED_VALUE"""),"")</f>
        <v/>
      </c>
    </row>
    <row r="801">
      <c r="A801" s="119">
        <f>IFERROR(__xludf.DUMMYFUNCTION("""COMPUTED_VALUE"""),14002.0)</f>
        <v>14002</v>
      </c>
      <c r="B801" s="119" t="str">
        <f>IFERROR(__xludf.DUMMYFUNCTION("""COMPUTED_VALUE"""),"R06")</f>
        <v>R06</v>
      </c>
      <c r="C801" t="str">
        <f>IFERROR(__xludf.DUMMYFUNCTION("""COMPUTED_VALUE"""),"RP-1_Bulkhead")</f>
        <v>RP-1_Bulkhead</v>
      </c>
      <c r="D801" t="str">
        <f>IFERROR(__xludf.DUMMYFUNCTION("""COMPUTED_VALUE"""),"Structures")</f>
        <v>Structures</v>
      </c>
      <c r="E801" t="str">
        <f>IFERROR(__xludf.DUMMYFUNCTION("""COMPUTED_VALUE"""),"SolidWorks")</f>
        <v>SolidWorks</v>
      </c>
      <c r="F801" t="str">
        <f>IFERROR(__xludf.DUMMYFUNCTION("""COMPUTED_VALUE"""),"Marginal Stability")</f>
        <v>Marginal Stability</v>
      </c>
      <c r="G801" t="str">
        <f>IFERROR(__xludf.DUMMYFUNCTION("""COMPUTED_VALUE"""),"Added indexed ridge for mounting airframe, implemented global variables, fillets on internal edges")</f>
        <v>Added indexed ridge for mounting airframe, implemented global variables, fillets on internal edges</v>
      </c>
      <c r="H801" t="str">
        <f>IFERROR(__xludf.DUMMYFUNCTION("""COMPUTED_VALUE"""),"6061-T6")</f>
        <v>6061-T6</v>
      </c>
      <c r="I801" t="str">
        <f>IFERROR(__xludf.DUMMYFUNCTION("""COMPUTED_VALUE"""),"Imperial")</f>
        <v>Imperial</v>
      </c>
      <c r="J801" t="str">
        <f>IFERROR(__xludf.DUMMYFUNCTION("""COMPUTED_VALUE"""),"Joshua Elmer")</f>
        <v>Joshua Elmer</v>
      </c>
      <c r="K801" t="str">
        <f>IFERROR(__xludf.DUMMYFUNCTION("""COMPUTED_VALUE"""),"Sept/2018")</f>
        <v>Sept/2018</v>
      </c>
      <c r="L801" s="120" t="str">
        <f>IFERROR(__xludf.DUMMYFUNCTION("""COMPUTED_VALUE"""),"https://drive.google.com/open?id=1Mdq3pE2tntVH615Oe7XgjoqRWKZFEtst")</f>
        <v>https://drive.google.com/open?id=1Mdq3pE2tntVH615Oe7XgjoqRWKZFEtst</v>
      </c>
      <c r="M801" t="str">
        <f>IFERROR(__xludf.DUMMYFUNCTION("""COMPUTED_VALUE"""),"Completed")</f>
        <v>Completed</v>
      </c>
      <c r="N801" t="str">
        <f>IFERROR(__xludf.DUMMYFUNCTION("""COMPUTED_VALUE"""),"")</f>
        <v/>
      </c>
      <c r="O801" t="str">
        <f>IFERROR(__xludf.DUMMYFUNCTION("""COMPUTED_VALUE"""),"")</f>
        <v/>
      </c>
      <c r="P801" t="str">
        <f>IFERROR(__xludf.DUMMYFUNCTION("""COMPUTED_VALUE"""),"")</f>
        <v/>
      </c>
      <c r="Q801" t="str">
        <f>IFERROR(__xludf.DUMMYFUNCTION("""COMPUTED_VALUE"""),"")</f>
        <v/>
      </c>
      <c r="R801" t="str">
        <f>IFERROR(__xludf.DUMMYFUNCTION("""COMPUTED_VALUE"""),"")</f>
        <v/>
      </c>
      <c r="S801" t="str">
        <f>IFERROR(__xludf.DUMMYFUNCTION("""COMPUTED_VALUE"""),"")</f>
        <v/>
      </c>
      <c r="T801" t="str">
        <f>IFERROR(__xludf.DUMMYFUNCTION("""COMPUTED_VALUE"""),"")</f>
        <v/>
      </c>
      <c r="U801" t="str">
        <f>IFERROR(__xludf.DUMMYFUNCTION("""COMPUTED_VALUE"""),"")</f>
        <v/>
      </c>
      <c r="V801" t="str">
        <f>IFERROR(__xludf.DUMMYFUNCTION("""COMPUTED_VALUE"""),"")</f>
        <v/>
      </c>
      <c r="W801" t="str">
        <f>IFERROR(__xludf.DUMMYFUNCTION("""COMPUTED_VALUE"""),"")</f>
        <v/>
      </c>
      <c r="X801" t="str">
        <f>IFERROR(__xludf.DUMMYFUNCTION("""COMPUTED_VALUE"""),"")</f>
        <v/>
      </c>
      <c r="Y801" t="str">
        <f>IFERROR(__xludf.DUMMYFUNCTION("""COMPUTED_VALUE"""),"")</f>
        <v/>
      </c>
      <c r="Z801" t="str">
        <f>IFERROR(__xludf.DUMMYFUNCTION("""COMPUTED_VALUE"""),"")</f>
        <v/>
      </c>
    </row>
    <row r="802">
      <c r="A802">
        <f>IFERROR(__xludf.DUMMYFUNCTION("""COMPUTED_VALUE"""),14002.0)</f>
        <v>14002</v>
      </c>
      <c r="B802" s="119" t="str">
        <f>IFERROR(__xludf.DUMMYFUNCTION("""COMPUTED_VALUE"""),"R07")</f>
        <v>R07</v>
      </c>
      <c r="C802" t="str">
        <f>IFERROR(__xludf.DUMMYFUNCTION("""COMPUTED_VALUE"""),"RP-1_Bulkhead")</f>
        <v>RP-1_Bulkhead</v>
      </c>
      <c r="D802" t="str">
        <f>IFERROR(__xludf.DUMMYFUNCTION("""COMPUTED_VALUE"""),"Structures")</f>
        <v>Structures</v>
      </c>
      <c r="E802" t="str">
        <f>IFERROR(__xludf.DUMMYFUNCTION("""COMPUTED_VALUE"""),"SolidWorks")</f>
        <v>SolidWorks</v>
      </c>
      <c r="F802" t="str">
        <f>IFERROR(__xludf.DUMMYFUNCTION("""COMPUTED_VALUE"""),"Marginal Stability")</f>
        <v>Marginal Stability</v>
      </c>
      <c r="G802" t="str">
        <f>IFERROR(__xludf.DUMMYFUNCTION("""COMPUTED_VALUE"""),"Welded redesign with improved weld surfaces (chamfer) to weld to tank walls, reduced port reinforcement. LOX/Anullar Port to engine, He Engine Purge Port, and RP-1 to engine Port ")</f>
        <v>Welded redesign with improved weld surfaces (chamfer) to weld to tank walls, reduced port reinforcement. LOX/Anullar Port to engine, He Engine Purge Port, and RP-1 to engine Port </v>
      </c>
      <c r="H802" t="str">
        <f>IFERROR(__xludf.DUMMYFUNCTION("""COMPUTED_VALUE"""),"6061-T6")</f>
        <v>6061-T6</v>
      </c>
      <c r="I802" t="str">
        <f>IFERROR(__xludf.DUMMYFUNCTION("""COMPUTED_VALUE"""),"Imperial")</f>
        <v>Imperial</v>
      </c>
      <c r="J802" t="str">
        <f>IFERROR(__xludf.DUMMYFUNCTION("""COMPUTED_VALUE"""),"Alexander Pallesco")</f>
        <v>Alexander Pallesco</v>
      </c>
      <c r="K802" s="124">
        <f>IFERROR(__xludf.DUMMYFUNCTION("""COMPUTED_VALUE"""),43497.0)</f>
        <v>43497</v>
      </c>
      <c r="L802" s="120" t="str">
        <f>IFERROR(__xludf.DUMMYFUNCTION("""COMPUTED_VALUE"""),"https://drive.google.com/open?id=1FFGUaHZOgoEqLJqpjtXBCaFby6YMEVGi")</f>
        <v>https://drive.google.com/open?id=1FFGUaHZOgoEqLJqpjtXBCaFby6YMEVGi</v>
      </c>
      <c r="M802" t="str">
        <f>IFERROR(__xludf.DUMMYFUNCTION("""COMPUTED_VALUE"""),"Completed")</f>
        <v>Completed</v>
      </c>
      <c r="N802" t="str">
        <f>IFERROR(__xludf.DUMMYFUNCTION("""COMPUTED_VALUE"""),"")</f>
        <v/>
      </c>
      <c r="O802" t="str">
        <f>IFERROR(__xludf.DUMMYFUNCTION("""COMPUTED_VALUE"""),"")</f>
        <v/>
      </c>
      <c r="P802" t="str">
        <f>IFERROR(__xludf.DUMMYFUNCTION("""COMPUTED_VALUE"""),"")</f>
        <v/>
      </c>
      <c r="Q802" t="str">
        <f>IFERROR(__xludf.DUMMYFUNCTION("""COMPUTED_VALUE"""),"")</f>
        <v/>
      </c>
      <c r="R802" t="str">
        <f>IFERROR(__xludf.DUMMYFUNCTION("""COMPUTED_VALUE"""),"")</f>
        <v/>
      </c>
      <c r="S802" t="str">
        <f>IFERROR(__xludf.DUMMYFUNCTION("""COMPUTED_VALUE"""),"")</f>
        <v/>
      </c>
      <c r="T802" t="str">
        <f>IFERROR(__xludf.DUMMYFUNCTION("""COMPUTED_VALUE"""),"")</f>
        <v/>
      </c>
      <c r="U802" t="str">
        <f>IFERROR(__xludf.DUMMYFUNCTION("""COMPUTED_VALUE"""),"")</f>
        <v/>
      </c>
      <c r="V802" t="str">
        <f>IFERROR(__xludf.DUMMYFUNCTION("""COMPUTED_VALUE"""),"")</f>
        <v/>
      </c>
      <c r="W802" t="str">
        <f>IFERROR(__xludf.DUMMYFUNCTION("""COMPUTED_VALUE"""),"")</f>
        <v/>
      </c>
      <c r="X802" t="str">
        <f>IFERROR(__xludf.DUMMYFUNCTION("""COMPUTED_VALUE"""),"")</f>
        <v/>
      </c>
      <c r="Y802" t="str">
        <f>IFERROR(__xludf.DUMMYFUNCTION("""COMPUTED_VALUE"""),"")</f>
        <v/>
      </c>
      <c r="Z802" t="str">
        <f>IFERROR(__xludf.DUMMYFUNCTION("""COMPUTED_VALUE"""),"")</f>
        <v/>
      </c>
    </row>
    <row r="803">
      <c r="A803" s="119">
        <f>IFERROR(__xludf.DUMMYFUNCTION("""COMPUTED_VALUE"""),14003.0)</f>
        <v>14003</v>
      </c>
      <c r="B803" s="119" t="str">
        <f>IFERROR(__xludf.DUMMYFUNCTION("""COMPUTED_VALUE"""),"R04")</f>
        <v>R04</v>
      </c>
      <c r="C803" t="str">
        <f>IFERROR(__xludf.DUMMYFUNCTION("""COMPUTED_VALUE"""),"Common_Bulkhead")</f>
        <v>Common_Bulkhead</v>
      </c>
      <c r="D803" t="str">
        <f>IFERROR(__xludf.DUMMYFUNCTION("""COMPUTED_VALUE"""),"Structures")</f>
        <v>Structures</v>
      </c>
      <c r="E803" t="str">
        <f>IFERROR(__xludf.DUMMYFUNCTION("""COMPUTED_VALUE"""),"SolidWorks")</f>
        <v>SolidWorks</v>
      </c>
      <c r="F803" t="str">
        <f>IFERROR(__xludf.DUMMYFUNCTION("""COMPUTED_VALUE"""),"Marginal Stability")</f>
        <v>Marginal Stability</v>
      </c>
      <c r="G803" t="str">
        <f>IFERROR(__xludf.DUMMYFUNCTION("""COMPUTED_VALUE"""),"Common internal double-walled bulkhead dividing tanks, with port for LOx outlet")</f>
        <v>Common internal double-walled bulkhead dividing tanks, with port for LOx outlet</v>
      </c>
      <c r="H803" t="str">
        <f>IFERROR(__xludf.DUMMYFUNCTION("""COMPUTED_VALUE"""),"6061-T6")</f>
        <v>6061-T6</v>
      </c>
      <c r="I803" t="str">
        <f>IFERROR(__xludf.DUMMYFUNCTION("""COMPUTED_VALUE"""),"Imperial")</f>
        <v>Imperial</v>
      </c>
      <c r="J803" t="str">
        <f>IFERROR(__xludf.DUMMYFUNCTION("""COMPUTED_VALUE"""),"Joshua Elmer")</f>
        <v>Joshua Elmer</v>
      </c>
      <c r="K803" s="125">
        <f>IFERROR(__xludf.DUMMYFUNCTION("""COMPUTED_VALUE"""),43374.0)</f>
        <v>43374</v>
      </c>
      <c r="L803" s="120" t="str">
        <f>IFERROR(__xludf.DUMMYFUNCTION("""COMPUTED_VALUE"""),"https://drive.google.com/open?id=1Q3MXF6ikM6S-2RtAIflugmwm1NwX9htx")</f>
        <v>https://drive.google.com/open?id=1Q3MXF6ikM6S-2RtAIflugmwm1NwX9htx</v>
      </c>
      <c r="M803" t="str">
        <f>IFERROR(__xludf.DUMMYFUNCTION("""COMPUTED_VALUE"""),"Completed")</f>
        <v>Completed</v>
      </c>
      <c r="N803" t="str">
        <f>IFERROR(__xludf.DUMMYFUNCTION("""COMPUTED_VALUE"""),"")</f>
        <v/>
      </c>
      <c r="O803" t="str">
        <f>IFERROR(__xludf.DUMMYFUNCTION("""COMPUTED_VALUE"""),"")</f>
        <v/>
      </c>
      <c r="P803" t="str">
        <f>IFERROR(__xludf.DUMMYFUNCTION("""COMPUTED_VALUE"""),"")</f>
        <v/>
      </c>
      <c r="Q803" t="str">
        <f>IFERROR(__xludf.DUMMYFUNCTION("""COMPUTED_VALUE"""),"")</f>
        <v/>
      </c>
      <c r="R803" t="str">
        <f>IFERROR(__xludf.DUMMYFUNCTION("""COMPUTED_VALUE"""),"")</f>
        <v/>
      </c>
      <c r="S803" t="str">
        <f>IFERROR(__xludf.DUMMYFUNCTION("""COMPUTED_VALUE"""),"")</f>
        <v/>
      </c>
      <c r="T803" t="str">
        <f>IFERROR(__xludf.DUMMYFUNCTION("""COMPUTED_VALUE"""),"")</f>
        <v/>
      </c>
      <c r="U803" t="str">
        <f>IFERROR(__xludf.DUMMYFUNCTION("""COMPUTED_VALUE"""),"")</f>
        <v/>
      </c>
      <c r="V803" t="str">
        <f>IFERROR(__xludf.DUMMYFUNCTION("""COMPUTED_VALUE"""),"")</f>
        <v/>
      </c>
      <c r="W803" t="str">
        <f>IFERROR(__xludf.DUMMYFUNCTION("""COMPUTED_VALUE"""),"")</f>
        <v/>
      </c>
      <c r="X803" t="str">
        <f>IFERROR(__xludf.DUMMYFUNCTION("""COMPUTED_VALUE"""),"")</f>
        <v/>
      </c>
      <c r="Y803" t="str">
        <f>IFERROR(__xludf.DUMMYFUNCTION("""COMPUTED_VALUE"""),"")</f>
        <v/>
      </c>
      <c r="Z803" t="str">
        <f>IFERROR(__xludf.DUMMYFUNCTION("""COMPUTED_VALUE"""),"")</f>
        <v/>
      </c>
    </row>
    <row r="804">
      <c r="A804" s="119" t="str">
        <f>IFERROR(__xludf.DUMMYFUNCTION("""COMPUTED_VALUE"""),"14003")</f>
        <v>14003</v>
      </c>
      <c r="B804" s="119" t="str">
        <f>IFERROR(__xludf.DUMMYFUNCTION("""COMPUTED_VALUE"""),"R07")</f>
        <v>R07</v>
      </c>
      <c r="C804" t="str">
        <f>IFERROR(__xludf.DUMMYFUNCTION("""COMPUTED_VALUE"""),"Common_Bulkhead")</f>
        <v>Common_Bulkhead</v>
      </c>
      <c r="D804" t="str">
        <f>IFERROR(__xludf.DUMMYFUNCTION("""COMPUTED_VALUE"""),"Structures")</f>
        <v>Structures</v>
      </c>
      <c r="E804" t="str">
        <f>IFERROR(__xludf.DUMMYFUNCTION("""COMPUTED_VALUE"""),"SolidWorks")</f>
        <v>SolidWorks</v>
      </c>
      <c r="F804" t="str">
        <f>IFERROR(__xludf.DUMMYFUNCTION("""COMPUTED_VALUE"""),"Marginal Stability")</f>
        <v>Marginal Stability</v>
      </c>
      <c r="G804" t="str">
        <f>IFERROR(__xludf.DUMMYFUNCTION("""COMPUTED_VALUE"""),"Welded redesign with improved weld surfaces (chamfer) to weld to tank walls, reduced port reinforcement. LOX passthrough, He Engine Purge passthrough, RP-1 pressurization, and RP-1 fill. ")</f>
        <v>Welded redesign with improved weld surfaces (chamfer) to weld to tank walls, reduced port reinforcement. LOX passthrough, He Engine Purge passthrough, RP-1 pressurization, and RP-1 fill. </v>
      </c>
      <c r="H804" t="str">
        <f>IFERROR(__xludf.DUMMYFUNCTION("""COMPUTED_VALUE"""),"6061-T6")</f>
        <v>6061-T6</v>
      </c>
      <c r="I804" t="str">
        <f>IFERROR(__xludf.DUMMYFUNCTION("""COMPUTED_VALUE"""),"Imperial")</f>
        <v>Imperial</v>
      </c>
      <c r="J804" t="str">
        <f>IFERROR(__xludf.DUMMYFUNCTION("""COMPUTED_VALUE"""),"Alexander Pallesco")</f>
        <v>Alexander Pallesco</v>
      </c>
      <c r="K804" s="125">
        <f>IFERROR(__xludf.DUMMYFUNCTION("""COMPUTED_VALUE"""),43497.0)</f>
        <v>43497</v>
      </c>
      <c r="L804" s="120" t="str">
        <f>IFERROR(__xludf.DUMMYFUNCTION("""COMPUTED_VALUE"""),"https://drive.google.com/open?id=1J1CoVTK6WLqAvfzfnTBfDDe5gkQBirtm")</f>
        <v>https://drive.google.com/open?id=1J1CoVTK6WLqAvfzfnTBfDDe5gkQBirtm</v>
      </c>
      <c r="M804" t="str">
        <f>IFERROR(__xludf.DUMMYFUNCTION("""COMPUTED_VALUE"""),"Completed")</f>
        <v>Completed</v>
      </c>
      <c r="N804" t="str">
        <f>IFERROR(__xludf.DUMMYFUNCTION("""COMPUTED_VALUE"""),"")</f>
        <v/>
      </c>
      <c r="O804" t="str">
        <f>IFERROR(__xludf.DUMMYFUNCTION("""COMPUTED_VALUE"""),"")</f>
        <v/>
      </c>
      <c r="P804" t="str">
        <f>IFERROR(__xludf.DUMMYFUNCTION("""COMPUTED_VALUE"""),"")</f>
        <v/>
      </c>
      <c r="Q804" t="str">
        <f>IFERROR(__xludf.DUMMYFUNCTION("""COMPUTED_VALUE"""),"")</f>
        <v/>
      </c>
      <c r="R804" t="str">
        <f>IFERROR(__xludf.DUMMYFUNCTION("""COMPUTED_VALUE"""),"")</f>
        <v/>
      </c>
      <c r="S804" t="str">
        <f>IFERROR(__xludf.DUMMYFUNCTION("""COMPUTED_VALUE"""),"")</f>
        <v/>
      </c>
      <c r="T804" t="str">
        <f>IFERROR(__xludf.DUMMYFUNCTION("""COMPUTED_VALUE"""),"")</f>
        <v/>
      </c>
      <c r="U804" t="str">
        <f>IFERROR(__xludf.DUMMYFUNCTION("""COMPUTED_VALUE"""),"")</f>
        <v/>
      </c>
      <c r="V804" t="str">
        <f>IFERROR(__xludf.DUMMYFUNCTION("""COMPUTED_VALUE"""),"")</f>
        <v/>
      </c>
      <c r="W804" t="str">
        <f>IFERROR(__xludf.DUMMYFUNCTION("""COMPUTED_VALUE"""),"")</f>
        <v/>
      </c>
      <c r="X804" t="str">
        <f>IFERROR(__xludf.DUMMYFUNCTION("""COMPUTED_VALUE"""),"")</f>
        <v/>
      </c>
      <c r="Y804" t="str">
        <f>IFERROR(__xludf.DUMMYFUNCTION("""COMPUTED_VALUE"""),"")</f>
        <v/>
      </c>
      <c r="Z804" t="str">
        <f>IFERROR(__xludf.DUMMYFUNCTION("""COMPUTED_VALUE"""),"")</f>
        <v/>
      </c>
    </row>
    <row r="805">
      <c r="A805" s="119">
        <f>IFERROR(__xludf.DUMMYFUNCTION("""COMPUTED_VALUE"""),14004.0)</f>
        <v>14004</v>
      </c>
      <c r="B805" s="119" t="str">
        <f>IFERROR(__xludf.DUMMYFUNCTION("""COMPUTED_VALUE"""),"R06")</f>
        <v>R06</v>
      </c>
      <c r="C805" t="str">
        <f>IFERROR(__xludf.DUMMYFUNCTION("""COMPUTED_VALUE"""),"LOx_Bulkhead")</f>
        <v>LOx_Bulkhead</v>
      </c>
      <c r="D805" t="str">
        <f>IFERROR(__xludf.DUMMYFUNCTION("""COMPUTED_VALUE"""),"Structures")</f>
        <v>Structures</v>
      </c>
      <c r="E805" t="str">
        <f>IFERROR(__xludf.DUMMYFUNCTION("""COMPUTED_VALUE"""),"SolidWorks")</f>
        <v>SolidWorks</v>
      </c>
      <c r="F805" t="str">
        <f>IFERROR(__xludf.DUMMYFUNCTION("""COMPUTED_VALUE"""),"Marginal Stability")</f>
        <v>Marginal Stability</v>
      </c>
      <c r="G805" t="str">
        <f>IFERROR(__xludf.DUMMYFUNCTION("""COMPUTED_VALUE"""),"Added indexed ridge for mounting airframe, implemented global variables, fillets on internal edges")</f>
        <v>Added indexed ridge for mounting airframe, implemented global variables, fillets on internal edges</v>
      </c>
      <c r="H805" t="str">
        <f>IFERROR(__xludf.DUMMYFUNCTION("""COMPUTED_VALUE"""),"6061-T6")</f>
        <v>6061-T6</v>
      </c>
      <c r="I805" t="str">
        <f>IFERROR(__xludf.DUMMYFUNCTION("""COMPUTED_VALUE"""),"Imperial")</f>
        <v>Imperial</v>
      </c>
      <c r="J805" t="str">
        <f>IFERROR(__xludf.DUMMYFUNCTION("""COMPUTED_VALUE"""),"Joshua Elmer")</f>
        <v>Joshua Elmer</v>
      </c>
      <c r="K805" t="str">
        <f>IFERROR(__xludf.DUMMYFUNCTION("""COMPUTED_VALUE"""),"Sept/2018")</f>
        <v>Sept/2018</v>
      </c>
      <c r="L805" s="120" t="str">
        <f>IFERROR(__xludf.DUMMYFUNCTION("""COMPUTED_VALUE"""),"https://drive.google.com/open?id=1tQzI1sFwpB9NwCMe6lwGSTrOJz8MwaFo")</f>
        <v>https://drive.google.com/open?id=1tQzI1sFwpB9NwCMe6lwGSTrOJz8MwaFo</v>
      </c>
      <c r="M805" t="str">
        <f>IFERROR(__xludf.DUMMYFUNCTION("""COMPUTED_VALUE"""),"Completed")</f>
        <v>Completed</v>
      </c>
      <c r="N805" t="str">
        <f>IFERROR(__xludf.DUMMYFUNCTION("""COMPUTED_VALUE"""),"")</f>
        <v/>
      </c>
      <c r="O805" t="str">
        <f>IFERROR(__xludf.DUMMYFUNCTION("""COMPUTED_VALUE"""),"")</f>
        <v/>
      </c>
      <c r="P805" t="str">
        <f>IFERROR(__xludf.DUMMYFUNCTION("""COMPUTED_VALUE"""),"")</f>
        <v/>
      </c>
      <c r="Q805" t="str">
        <f>IFERROR(__xludf.DUMMYFUNCTION("""COMPUTED_VALUE"""),"")</f>
        <v/>
      </c>
      <c r="R805" t="str">
        <f>IFERROR(__xludf.DUMMYFUNCTION("""COMPUTED_VALUE"""),"")</f>
        <v/>
      </c>
      <c r="S805" t="str">
        <f>IFERROR(__xludf.DUMMYFUNCTION("""COMPUTED_VALUE"""),"")</f>
        <v/>
      </c>
      <c r="T805" t="str">
        <f>IFERROR(__xludf.DUMMYFUNCTION("""COMPUTED_VALUE"""),"")</f>
        <v/>
      </c>
      <c r="U805" t="str">
        <f>IFERROR(__xludf.DUMMYFUNCTION("""COMPUTED_VALUE"""),"")</f>
        <v/>
      </c>
      <c r="V805" t="str">
        <f>IFERROR(__xludf.DUMMYFUNCTION("""COMPUTED_VALUE"""),"")</f>
        <v/>
      </c>
      <c r="W805" t="str">
        <f>IFERROR(__xludf.DUMMYFUNCTION("""COMPUTED_VALUE"""),"")</f>
        <v/>
      </c>
      <c r="X805" t="str">
        <f>IFERROR(__xludf.DUMMYFUNCTION("""COMPUTED_VALUE"""),"")</f>
        <v/>
      </c>
      <c r="Y805" t="str">
        <f>IFERROR(__xludf.DUMMYFUNCTION("""COMPUTED_VALUE"""),"")</f>
        <v/>
      </c>
      <c r="Z805" t="str">
        <f>IFERROR(__xludf.DUMMYFUNCTION("""COMPUTED_VALUE"""),"")</f>
        <v/>
      </c>
    </row>
    <row r="806">
      <c r="A806">
        <f>IFERROR(__xludf.DUMMYFUNCTION("""COMPUTED_VALUE"""),14004.0)</f>
        <v>14004</v>
      </c>
      <c r="B806" s="119" t="str">
        <f>IFERROR(__xludf.DUMMYFUNCTION("""COMPUTED_VALUE"""),"R08")</f>
        <v>R08</v>
      </c>
      <c r="C806" t="str">
        <f>IFERROR(__xludf.DUMMYFUNCTION("""COMPUTED_VALUE"""),"LOX_Bulkhead")</f>
        <v>LOX_Bulkhead</v>
      </c>
      <c r="D806" t="str">
        <f>IFERROR(__xludf.DUMMYFUNCTION("""COMPUTED_VALUE"""),"Structures")</f>
        <v>Structures</v>
      </c>
      <c r="E806" t="str">
        <f>IFERROR(__xludf.DUMMYFUNCTION("""COMPUTED_VALUE"""),"SolidWorks")</f>
        <v>SolidWorks</v>
      </c>
      <c r="F806" t="str">
        <f>IFERROR(__xludf.DUMMYFUNCTION("""COMPUTED_VALUE"""),"Marginal Stability")</f>
        <v>Marginal Stability</v>
      </c>
      <c r="G806" t="str">
        <f>IFERROR(__xludf.DUMMYFUNCTION("""COMPUTED_VALUE"""),"Welded redesign with improved weld surfaces (chamfer) to weld to tank walls, reduced port reinforcement. LOX Fill Port, RP-1 Fill Port, He Purge Port, LOX Pressurization Port, RP-1 Pressurization Port, Pressure Transducer")</f>
        <v>Welded redesign with improved weld surfaces (chamfer) to weld to tank walls, reduced port reinforcement. LOX Fill Port, RP-1 Fill Port, He Purge Port, LOX Pressurization Port, RP-1 Pressurization Port, Pressure Transducer</v>
      </c>
      <c r="H806" t="str">
        <f>IFERROR(__xludf.DUMMYFUNCTION("""COMPUTED_VALUE"""),"6061-T6")</f>
        <v>6061-T6</v>
      </c>
      <c r="I806" t="str">
        <f>IFERROR(__xludf.DUMMYFUNCTION("""COMPUTED_VALUE"""),"Imperial")</f>
        <v>Imperial</v>
      </c>
      <c r="J806" t="str">
        <f>IFERROR(__xludf.DUMMYFUNCTION("""COMPUTED_VALUE"""),"Joshua Elmer")</f>
        <v>Joshua Elmer</v>
      </c>
      <c r="K806" s="124">
        <f>IFERROR(__xludf.DUMMYFUNCTION("""COMPUTED_VALUE"""),43497.0)</f>
        <v>43497</v>
      </c>
      <c r="L806" s="120" t="str">
        <f>IFERROR(__xludf.DUMMYFUNCTION("""COMPUTED_VALUE"""),"https://drive.google.com/open?id=1spU2LsVXF0U6aayZbQnOgfV6gI1rBedy")</f>
        <v>https://drive.google.com/open?id=1spU2LsVXF0U6aayZbQnOgfV6gI1rBedy</v>
      </c>
      <c r="M806" t="str">
        <f>IFERROR(__xludf.DUMMYFUNCTION("""COMPUTED_VALUE"""),"Completed")</f>
        <v>Completed</v>
      </c>
      <c r="N806" t="str">
        <f>IFERROR(__xludf.DUMMYFUNCTION("""COMPUTED_VALUE"""),"")</f>
        <v/>
      </c>
      <c r="O806" t="str">
        <f>IFERROR(__xludf.DUMMYFUNCTION("""COMPUTED_VALUE"""),"")</f>
        <v/>
      </c>
      <c r="P806" t="str">
        <f>IFERROR(__xludf.DUMMYFUNCTION("""COMPUTED_VALUE"""),"")</f>
        <v/>
      </c>
      <c r="Q806" t="str">
        <f>IFERROR(__xludf.DUMMYFUNCTION("""COMPUTED_VALUE"""),"")</f>
        <v/>
      </c>
      <c r="R806" t="str">
        <f>IFERROR(__xludf.DUMMYFUNCTION("""COMPUTED_VALUE"""),"")</f>
        <v/>
      </c>
      <c r="S806" t="str">
        <f>IFERROR(__xludf.DUMMYFUNCTION("""COMPUTED_VALUE"""),"")</f>
        <v/>
      </c>
      <c r="T806" t="str">
        <f>IFERROR(__xludf.DUMMYFUNCTION("""COMPUTED_VALUE"""),"")</f>
        <v/>
      </c>
      <c r="U806" t="str">
        <f>IFERROR(__xludf.DUMMYFUNCTION("""COMPUTED_VALUE"""),"")</f>
        <v/>
      </c>
      <c r="V806" t="str">
        <f>IFERROR(__xludf.DUMMYFUNCTION("""COMPUTED_VALUE"""),"")</f>
        <v/>
      </c>
      <c r="W806" t="str">
        <f>IFERROR(__xludf.DUMMYFUNCTION("""COMPUTED_VALUE"""),"")</f>
        <v/>
      </c>
      <c r="X806" t="str">
        <f>IFERROR(__xludf.DUMMYFUNCTION("""COMPUTED_VALUE"""),"")</f>
        <v/>
      </c>
      <c r="Y806" t="str">
        <f>IFERROR(__xludf.DUMMYFUNCTION("""COMPUTED_VALUE"""),"")</f>
        <v/>
      </c>
      <c r="Z806" t="str">
        <f>IFERROR(__xludf.DUMMYFUNCTION("""COMPUTED_VALUE"""),"")</f>
        <v/>
      </c>
    </row>
    <row r="807">
      <c r="A807" s="119">
        <f>IFERROR(__xludf.DUMMYFUNCTION("""COMPUTED_VALUE"""),14005.0)</f>
        <v>14005</v>
      </c>
      <c r="B807" s="119" t="str">
        <f>IFERROR(__xludf.DUMMYFUNCTION("""COMPUTED_VALUE"""),"R04")</f>
        <v>R04</v>
      </c>
      <c r="C807" t="str">
        <f>IFERROR(__xludf.DUMMYFUNCTION("""COMPUTED_VALUE"""),"LOx_Tank_Wall")</f>
        <v>LOx_Tank_Wall</v>
      </c>
      <c r="D807" t="str">
        <f>IFERROR(__xludf.DUMMYFUNCTION("""COMPUTED_VALUE"""),"Structures")</f>
        <v>Structures</v>
      </c>
      <c r="E807" t="str">
        <f>IFERROR(__xludf.DUMMYFUNCTION("""COMPUTED_VALUE"""),"SolidWorks")</f>
        <v>SolidWorks</v>
      </c>
      <c r="F807" t="str">
        <f>IFERROR(__xludf.DUMMYFUNCTION("""COMPUTED_VALUE"""),"Marginal Stability")</f>
        <v>Marginal Stability</v>
      </c>
      <c r="G807" t="str">
        <f>IFERROR(__xludf.DUMMYFUNCTION("""COMPUTED_VALUE"""),"Outer wall of LOx tank (600 psi, FS 4)")</f>
        <v>Outer wall of LOx tank (600 psi, FS 4)</v>
      </c>
      <c r="H807" t="str">
        <f>IFERROR(__xludf.DUMMYFUNCTION("""COMPUTED_VALUE"""),"6061-T6")</f>
        <v>6061-T6</v>
      </c>
      <c r="I807" t="str">
        <f>IFERROR(__xludf.DUMMYFUNCTION("""COMPUTED_VALUE"""),"Imperial")</f>
        <v>Imperial</v>
      </c>
      <c r="J807" t="str">
        <f>IFERROR(__xludf.DUMMYFUNCTION("""COMPUTED_VALUE"""),"Joshua Elmer")</f>
        <v>Joshua Elmer</v>
      </c>
      <c r="K807" t="str">
        <f>IFERROR(__xludf.DUMMYFUNCTION("""COMPUTED_VALUE"""),"Sept/2018")</f>
        <v>Sept/2018</v>
      </c>
      <c r="L807" s="120" t="str">
        <f>IFERROR(__xludf.DUMMYFUNCTION("""COMPUTED_VALUE"""),"https://drive.google.com/open?id=1_uaz2wDxHWPvSqQ0TdpyvWGPqwYVvDci")</f>
        <v>https://drive.google.com/open?id=1_uaz2wDxHWPvSqQ0TdpyvWGPqwYVvDci</v>
      </c>
      <c r="M807" t="str">
        <f>IFERROR(__xludf.DUMMYFUNCTION("""COMPUTED_VALUE"""),"In progress")</f>
        <v>In progress</v>
      </c>
      <c r="N807" t="str">
        <f>IFERROR(__xludf.DUMMYFUNCTION("""COMPUTED_VALUE"""),"")</f>
        <v/>
      </c>
      <c r="O807" t="str">
        <f>IFERROR(__xludf.DUMMYFUNCTION("""COMPUTED_VALUE"""),"")</f>
        <v/>
      </c>
      <c r="P807" t="str">
        <f>IFERROR(__xludf.DUMMYFUNCTION("""COMPUTED_VALUE"""),"")</f>
        <v/>
      </c>
      <c r="Q807" t="str">
        <f>IFERROR(__xludf.DUMMYFUNCTION("""COMPUTED_VALUE"""),"")</f>
        <v/>
      </c>
      <c r="R807" t="str">
        <f>IFERROR(__xludf.DUMMYFUNCTION("""COMPUTED_VALUE"""),"")</f>
        <v/>
      </c>
      <c r="S807" t="str">
        <f>IFERROR(__xludf.DUMMYFUNCTION("""COMPUTED_VALUE"""),"")</f>
        <v/>
      </c>
      <c r="T807" t="str">
        <f>IFERROR(__xludf.DUMMYFUNCTION("""COMPUTED_VALUE"""),"")</f>
        <v/>
      </c>
      <c r="U807" t="str">
        <f>IFERROR(__xludf.DUMMYFUNCTION("""COMPUTED_VALUE"""),"")</f>
        <v/>
      </c>
      <c r="V807" t="str">
        <f>IFERROR(__xludf.DUMMYFUNCTION("""COMPUTED_VALUE"""),"")</f>
        <v/>
      </c>
      <c r="W807" t="str">
        <f>IFERROR(__xludf.DUMMYFUNCTION("""COMPUTED_VALUE"""),"")</f>
        <v/>
      </c>
      <c r="X807" t="str">
        <f>IFERROR(__xludf.DUMMYFUNCTION("""COMPUTED_VALUE"""),"")</f>
        <v/>
      </c>
      <c r="Y807" t="str">
        <f>IFERROR(__xludf.DUMMYFUNCTION("""COMPUTED_VALUE"""),"")</f>
        <v/>
      </c>
      <c r="Z807" t="str">
        <f>IFERROR(__xludf.DUMMYFUNCTION("""COMPUTED_VALUE"""),"")</f>
        <v/>
      </c>
    </row>
    <row r="808">
      <c r="A808" s="119">
        <f>IFERROR(__xludf.DUMMYFUNCTION("""COMPUTED_VALUE"""),14006.0)</f>
        <v>14006</v>
      </c>
      <c r="B808" s="119" t="str">
        <f>IFERROR(__xludf.DUMMYFUNCTION("""COMPUTED_VALUE"""),"R04")</f>
        <v>R04</v>
      </c>
      <c r="C808" t="str">
        <f>IFERROR(__xludf.DUMMYFUNCTION("""COMPUTED_VALUE"""),"RP-1_Tank_Wall")</f>
        <v>RP-1_Tank_Wall</v>
      </c>
      <c r="D808" t="str">
        <f>IFERROR(__xludf.DUMMYFUNCTION("""COMPUTED_VALUE"""),"Structures")</f>
        <v>Structures</v>
      </c>
      <c r="E808" t="str">
        <f>IFERROR(__xludf.DUMMYFUNCTION("""COMPUTED_VALUE"""),"SolidWorks")</f>
        <v>SolidWorks</v>
      </c>
      <c r="F808" t="str">
        <f>IFERROR(__xludf.DUMMYFUNCTION("""COMPUTED_VALUE"""),"Marginal Stability")</f>
        <v>Marginal Stability</v>
      </c>
      <c r="G808" t="str">
        <f>IFERROR(__xludf.DUMMYFUNCTION("""COMPUTED_VALUE"""),"Outer wall of RP-1 Tank (600 psi, FS 4)")</f>
        <v>Outer wall of RP-1 Tank (600 psi, FS 4)</v>
      </c>
      <c r="H808" t="str">
        <f>IFERROR(__xludf.DUMMYFUNCTION("""COMPUTED_VALUE"""),"6061-T6")</f>
        <v>6061-T6</v>
      </c>
      <c r="I808" t="str">
        <f>IFERROR(__xludf.DUMMYFUNCTION("""COMPUTED_VALUE"""),"Imperial")</f>
        <v>Imperial</v>
      </c>
      <c r="J808" t="str">
        <f>IFERROR(__xludf.DUMMYFUNCTION("""COMPUTED_VALUE"""),"Joshua Elmer")</f>
        <v>Joshua Elmer</v>
      </c>
      <c r="K808" t="str">
        <f>IFERROR(__xludf.DUMMYFUNCTION("""COMPUTED_VALUE"""),"Sept/2018")</f>
        <v>Sept/2018</v>
      </c>
      <c r="L808" s="120" t="str">
        <f>IFERROR(__xludf.DUMMYFUNCTION("""COMPUTED_VALUE"""),"https://drive.google.com/open?id=1jxl6DU6_rDRsXwdwYjHH0JrfaQymys9Q")</f>
        <v>https://drive.google.com/open?id=1jxl6DU6_rDRsXwdwYjHH0JrfaQymys9Q</v>
      </c>
      <c r="M808" t="str">
        <f>IFERROR(__xludf.DUMMYFUNCTION("""COMPUTED_VALUE"""),"In progress")</f>
        <v>In progress</v>
      </c>
      <c r="N808" t="str">
        <f>IFERROR(__xludf.DUMMYFUNCTION("""COMPUTED_VALUE"""),"")</f>
        <v/>
      </c>
      <c r="O808" t="str">
        <f>IFERROR(__xludf.DUMMYFUNCTION("""COMPUTED_VALUE"""),"")</f>
        <v/>
      </c>
      <c r="P808" t="str">
        <f>IFERROR(__xludf.DUMMYFUNCTION("""COMPUTED_VALUE"""),"")</f>
        <v/>
      </c>
      <c r="Q808" t="str">
        <f>IFERROR(__xludf.DUMMYFUNCTION("""COMPUTED_VALUE"""),"")</f>
        <v/>
      </c>
      <c r="R808" t="str">
        <f>IFERROR(__xludf.DUMMYFUNCTION("""COMPUTED_VALUE"""),"")</f>
        <v/>
      </c>
      <c r="S808" t="str">
        <f>IFERROR(__xludf.DUMMYFUNCTION("""COMPUTED_VALUE"""),"")</f>
        <v/>
      </c>
      <c r="T808" t="str">
        <f>IFERROR(__xludf.DUMMYFUNCTION("""COMPUTED_VALUE"""),"")</f>
        <v/>
      </c>
      <c r="U808" t="str">
        <f>IFERROR(__xludf.DUMMYFUNCTION("""COMPUTED_VALUE"""),"")</f>
        <v/>
      </c>
      <c r="V808" t="str">
        <f>IFERROR(__xludf.DUMMYFUNCTION("""COMPUTED_VALUE"""),"")</f>
        <v/>
      </c>
      <c r="W808" t="str">
        <f>IFERROR(__xludf.DUMMYFUNCTION("""COMPUTED_VALUE"""),"")</f>
        <v/>
      </c>
      <c r="X808" t="str">
        <f>IFERROR(__xludf.DUMMYFUNCTION("""COMPUTED_VALUE"""),"")</f>
        <v/>
      </c>
      <c r="Y808" t="str">
        <f>IFERROR(__xludf.DUMMYFUNCTION("""COMPUTED_VALUE"""),"")</f>
        <v/>
      </c>
      <c r="Z808" t="str">
        <f>IFERROR(__xludf.DUMMYFUNCTION("""COMPUTED_VALUE"""),"")</f>
        <v/>
      </c>
    </row>
    <row r="809">
      <c r="A809" s="119">
        <f>IFERROR(__xludf.DUMMYFUNCTION("""COMPUTED_VALUE"""),14007.0)</f>
        <v>14007</v>
      </c>
      <c r="B809" s="119" t="str">
        <f>IFERROR(__xludf.DUMMYFUNCTION("""COMPUTED_VALUE"""),"R01")</f>
        <v>R01</v>
      </c>
      <c r="C809" t="str">
        <f>IFERROR(__xludf.DUMMYFUNCTION("""COMPUTED_VALUE"""),"Airframe_Sec1")</f>
        <v>Airframe_Sec1</v>
      </c>
      <c r="D809" t="str">
        <f>IFERROR(__xludf.DUMMYFUNCTION("""COMPUTED_VALUE"""),"Structures")</f>
        <v>Structures</v>
      </c>
      <c r="E809" t="str">
        <f>IFERROR(__xludf.DUMMYFUNCTION("""COMPUTED_VALUE"""),"SolidWorks")</f>
        <v>SolidWorks</v>
      </c>
      <c r="F809" t="str">
        <f>IFERROR(__xludf.DUMMYFUNCTION("""COMPUTED_VALUE"""),"Marginal Stability")</f>
        <v>Marginal Stability</v>
      </c>
      <c r="G809" t="str">
        <f>IFERROR(__xludf.DUMMYFUNCTION("""COMPUTED_VALUE"""),"First section of the rocket body tube, above the pressurant tank assembly, storing avionics and recovery")</f>
        <v>First section of the rocket body tube, above the pressurant tank assembly, storing avionics and recovery</v>
      </c>
      <c r="H809" t="str">
        <f>IFERROR(__xludf.DUMMYFUNCTION("""COMPUTED_VALUE"""),"6061-T6")</f>
        <v>6061-T6</v>
      </c>
      <c r="I809" t="str">
        <f>IFERROR(__xludf.DUMMYFUNCTION("""COMPUTED_VALUE"""),"Imperial")</f>
        <v>Imperial</v>
      </c>
      <c r="J809" t="str">
        <f>IFERROR(__xludf.DUMMYFUNCTION("""COMPUTED_VALUE"""),"Joshua Hedgpeth")</f>
        <v>Joshua Hedgpeth</v>
      </c>
      <c r="K809" s="125">
        <f>IFERROR(__xludf.DUMMYFUNCTION("""COMPUTED_VALUE"""),43466.0)</f>
        <v>43466</v>
      </c>
      <c r="L809" s="120" t="str">
        <f>IFERROR(__xludf.DUMMYFUNCTION("""COMPUTED_VALUE"""),"https://drive.google.com/a/ucsd.edu/file/d/1JkVf2S1hkxiJx2SDtlUpDhQ_q_UjBaa9/view?usp=sharing")</f>
        <v>https://drive.google.com/a/ucsd.edu/file/d/1JkVf2S1hkxiJx2SDtlUpDhQ_q_UjBaa9/view?usp=sharing</v>
      </c>
      <c r="M809" t="str">
        <f>IFERROR(__xludf.DUMMYFUNCTION("""COMPUTED_VALUE"""),"In progress")</f>
        <v>In progress</v>
      </c>
      <c r="N809" t="str">
        <f>IFERROR(__xludf.DUMMYFUNCTION("""COMPUTED_VALUE"""),"")</f>
        <v/>
      </c>
      <c r="O809" t="str">
        <f>IFERROR(__xludf.DUMMYFUNCTION("""COMPUTED_VALUE"""),"")</f>
        <v/>
      </c>
      <c r="P809" t="str">
        <f>IFERROR(__xludf.DUMMYFUNCTION("""COMPUTED_VALUE"""),"")</f>
        <v/>
      </c>
      <c r="Q809" t="str">
        <f>IFERROR(__xludf.DUMMYFUNCTION("""COMPUTED_VALUE"""),"")</f>
        <v/>
      </c>
      <c r="R809" t="str">
        <f>IFERROR(__xludf.DUMMYFUNCTION("""COMPUTED_VALUE"""),"")</f>
        <v/>
      </c>
      <c r="S809" t="str">
        <f>IFERROR(__xludf.DUMMYFUNCTION("""COMPUTED_VALUE"""),"")</f>
        <v/>
      </c>
      <c r="T809" t="str">
        <f>IFERROR(__xludf.DUMMYFUNCTION("""COMPUTED_VALUE"""),"")</f>
        <v/>
      </c>
      <c r="U809" t="str">
        <f>IFERROR(__xludf.DUMMYFUNCTION("""COMPUTED_VALUE"""),"")</f>
        <v/>
      </c>
      <c r="V809" t="str">
        <f>IFERROR(__xludf.DUMMYFUNCTION("""COMPUTED_VALUE"""),"")</f>
        <v/>
      </c>
      <c r="W809" t="str">
        <f>IFERROR(__xludf.DUMMYFUNCTION("""COMPUTED_VALUE"""),"")</f>
        <v/>
      </c>
      <c r="X809" t="str">
        <f>IFERROR(__xludf.DUMMYFUNCTION("""COMPUTED_VALUE"""),"")</f>
        <v/>
      </c>
      <c r="Y809" t="str">
        <f>IFERROR(__xludf.DUMMYFUNCTION("""COMPUTED_VALUE"""),"")</f>
        <v/>
      </c>
      <c r="Z809" t="str">
        <f>IFERROR(__xludf.DUMMYFUNCTION("""COMPUTED_VALUE"""),"")</f>
        <v/>
      </c>
    </row>
    <row r="810">
      <c r="A810" s="119">
        <f>IFERROR(__xludf.DUMMYFUNCTION("""COMPUTED_VALUE"""),14008.0)</f>
        <v>14008</v>
      </c>
      <c r="B810" s="119" t="str">
        <f>IFERROR(__xludf.DUMMYFUNCTION("""COMPUTED_VALUE"""),"R01")</f>
        <v>R01</v>
      </c>
      <c r="C810" t="str">
        <f>IFERROR(__xludf.DUMMYFUNCTION("""COMPUTED_VALUE"""),"Airframe_Sec2")</f>
        <v>Airframe_Sec2</v>
      </c>
      <c r="D810" t="str">
        <f>IFERROR(__xludf.DUMMYFUNCTION("""COMPUTED_VALUE"""),"Structures")</f>
        <v>Structures</v>
      </c>
      <c r="E810" t="str">
        <f>IFERROR(__xludf.DUMMYFUNCTION("""COMPUTED_VALUE"""),"SolidWorks")</f>
        <v>SolidWorks</v>
      </c>
      <c r="F810" t="str">
        <f>IFERROR(__xludf.DUMMYFUNCTION("""COMPUTED_VALUE"""),"Marginal Stability")</f>
        <v>Marginal Stability</v>
      </c>
      <c r="G810" t="str">
        <f>IFERROR(__xludf.DUMMYFUNCTION("""COMPUTED_VALUE"""),"Second section of the body tube which contains the pressurant tank assembly")</f>
        <v>Second section of the body tube which contains the pressurant tank assembly</v>
      </c>
      <c r="H810" t="str">
        <f>IFERROR(__xludf.DUMMYFUNCTION("""COMPUTED_VALUE"""),"6061-T6")</f>
        <v>6061-T6</v>
      </c>
      <c r="I810" t="str">
        <f>IFERROR(__xludf.DUMMYFUNCTION("""COMPUTED_VALUE"""),"Imperial")</f>
        <v>Imperial</v>
      </c>
      <c r="J810" t="str">
        <f>IFERROR(__xludf.DUMMYFUNCTION("""COMPUTED_VALUE"""),"Joshua Elmer")</f>
        <v>Joshua Elmer</v>
      </c>
      <c r="K810" s="125">
        <f>IFERROR(__xludf.DUMMYFUNCTION("""COMPUTED_VALUE"""),43313.0)</f>
        <v>43313</v>
      </c>
      <c r="L810" s="120" t="str">
        <f>IFERROR(__xludf.DUMMYFUNCTION("""COMPUTED_VALUE"""),"https://drive.google.com/open?id=13_WQGznCK2Te6_iOrqA2ys1_0BLNgaWD")</f>
        <v>https://drive.google.com/open?id=13_WQGznCK2Te6_iOrqA2ys1_0BLNgaWD</v>
      </c>
      <c r="M810" t="str">
        <f>IFERROR(__xludf.DUMMYFUNCTION("""COMPUTED_VALUE"""),"In progress")</f>
        <v>In progress</v>
      </c>
      <c r="N810" t="str">
        <f>IFERROR(__xludf.DUMMYFUNCTION("""COMPUTED_VALUE"""),"")</f>
        <v/>
      </c>
      <c r="O810" t="str">
        <f>IFERROR(__xludf.DUMMYFUNCTION("""COMPUTED_VALUE"""),"")</f>
        <v/>
      </c>
      <c r="P810" t="str">
        <f>IFERROR(__xludf.DUMMYFUNCTION("""COMPUTED_VALUE"""),"")</f>
        <v/>
      </c>
      <c r="Q810" t="str">
        <f>IFERROR(__xludf.DUMMYFUNCTION("""COMPUTED_VALUE"""),"")</f>
        <v/>
      </c>
      <c r="R810" t="str">
        <f>IFERROR(__xludf.DUMMYFUNCTION("""COMPUTED_VALUE"""),"")</f>
        <v/>
      </c>
      <c r="S810" t="str">
        <f>IFERROR(__xludf.DUMMYFUNCTION("""COMPUTED_VALUE"""),"")</f>
        <v/>
      </c>
      <c r="T810" t="str">
        <f>IFERROR(__xludf.DUMMYFUNCTION("""COMPUTED_VALUE"""),"")</f>
        <v/>
      </c>
      <c r="U810" t="str">
        <f>IFERROR(__xludf.DUMMYFUNCTION("""COMPUTED_VALUE"""),"")</f>
        <v/>
      </c>
      <c r="V810" t="str">
        <f>IFERROR(__xludf.DUMMYFUNCTION("""COMPUTED_VALUE"""),"")</f>
        <v/>
      </c>
      <c r="W810" t="str">
        <f>IFERROR(__xludf.DUMMYFUNCTION("""COMPUTED_VALUE"""),"")</f>
        <v/>
      </c>
      <c r="X810" t="str">
        <f>IFERROR(__xludf.DUMMYFUNCTION("""COMPUTED_VALUE"""),"")</f>
        <v/>
      </c>
      <c r="Y810" t="str">
        <f>IFERROR(__xludf.DUMMYFUNCTION("""COMPUTED_VALUE"""),"")</f>
        <v/>
      </c>
      <c r="Z810" t="str">
        <f>IFERROR(__xludf.DUMMYFUNCTION("""COMPUTED_VALUE"""),"")</f>
        <v/>
      </c>
    </row>
    <row r="811">
      <c r="A811" s="119">
        <f>IFERROR(__xludf.DUMMYFUNCTION("""COMPUTED_VALUE"""),14009.0)</f>
        <v>14009</v>
      </c>
      <c r="B811" s="119" t="str">
        <f>IFERROR(__xludf.DUMMYFUNCTION("""COMPUTED_VALUE"""),"R08")</f>
        <v>R08</v>
      </c>
      <c r="C811" t="str">
        <f>IFERROR(__xludf.DUMMYFUNCTION("""COMPUTED_VALUE"""),"Raceway")</f>
        <v>Raceway</v>
      </c>
      <c r="D811" t="str">
        <f>IFERROR(__xludf.DUMMYFUNCTION("""COMPUTED_VALUE"""),"Structures")</f>
        <v>Structures</v>
      </c>
      <c r="E811" t="str">
        <f>IFERROR(__xludf.DUMMYFUNCTION("""COMPUTED_VALUE"""),"SolidWorks")</f>
        <v>SolidWorks</v>
      </c>
      <c r="F811" t="str">
        <f>IFERROR(__xludf.DUMMYFUNCTION("""COMPUTED_VALUE"""),"Marginal Stability")</f>
        <v>Marginal Stability</v>
      </c>
      <c r="G811" t="str">
        <f>IFERROR(__xludf.DUMMYFUNCTION("""COMPUTED_VALUE"""),"Protective cover for running plumbing and electrical from upper airframe to lower tanks and airframe")</f>
        <v>Protective cover for running plumbing and electrical from upper airframe to lower tanks and airframe</v>
      </c>
      <c r="H811" t="str">
        <f>IFERROR(__xludf.DUMMYFUNCTION("""COMPUTED_VALUE"""),"6061-T6")</f>
        <v>6061-T6</v>
      </c>
      <c r="I811" t="str">
        <f>IFERROR(__xludf.DUMMYFUNCTION("""COMPUTED_VALUE"""),"Imperial")</f>
        <v>Imperial</v>
      </c>
      <c r="J811" t="str">
        <f>IFERROR(__xludf.DUMMYFUNCTION("""COMPUTED_VALUE"""),"Joshua Elmer
Gerui (Ray) Sheng")</f>
        <v>Joshua Elmer
Gerui (Ray) Sheng</v>
      </c>
      <c r="K811" s="121">
        <f>IFERROR(__xludf.DUMMYFUNCTION("""COMPUTED_VALUE"""),43466.0)</f>
        <v>43466</v>
      </c>
      <c r="L811" t="str">
        <f>IFERROR(__xludf.DUMMYFUNCTION("""COMPUTED_VALUE"""),"https://drive.google.com/open?id=17nlMmuJdl5hBU4JxtBoXKveDDreg4DP7
https://drive.google.com/open?id=1jRjTDvT-Ey6YO1S3o1mHQ-GnPtwFuXpC
https://drive.google.com/open?id=1g1ASKn7hhVEoA57-XTF_W6kPHjAJ8m4t")</f>
        <v>https://drive.google.com/open?id=17nlMmuJdl5hBU4JxtBoXKveDDreg4DP7
https://drive.google.com/open?id=1jRjTDvT-Ey6YO1S3o1mHQ-GnPtwFuXpC
https://drive.google.com/open?id=1g1ASKn7hhVEoA57-XTF_W6kPHjAJ8m4t</v>
      </c>
      <c r="M811" t="str">
        <f>IFERROR(__xludf.DUMMYFUNCTION("""COMPUTED_VALUE"""),"In progress")</f>
        <v>In progress</v>
      </c>
      <c r="N811" t="str">
        <f>IFERROR(__xludf.DUMMYFUNCTION("""COMPUTED_VALUE"""),"")</f>
        <v/>
      </c>
      <c r="O811" t="str">
        <f>IFERROR(__xludf.DUMMYFUNCTION("""COMPUTED_VALUE"""),"")</f>
        <v/>
      </c>
      <c r="P811" t="str">
        <f>IFERROR(__xludf.DUMMYFUNCTION("""COMPUTED_VALUE"""),"")</f>
        <v/>
      </c>
      <c r="Q811" t="str">
        <f>IFERROR(__xludf.DUMMYFUNCTION("""COMPUTED_VALUE"""),"")</f>
        <v/>
      </c>
      <c r="R811" t="str">
        <f>IFERROR(__xludf.DUMMYFUNCTION("""COMPUTED_VALUE"""),"")</f>
        <v/>
      </c>
      <c r="S811" t="str">
        <f>IFERROR(__xludf.DUMMYFUNCTION("""COMPUTED_VALUE"""),"")</f>
        <v/>
      </c>
      <c r="T811" t="str">
        <f>IFERROR(__xludf.DUMMYFUNCTION("""COMPUTED_VALUE"""),"")</f>
        <v/>
      </c>
      <c r="U811" t="str">
        <f>IFERROR(__xludf.DUMMYFUNCTION("""COMPUTED_VALUE"""),"")</f>
        <v/>
      </c>
      <c r="V811" t="str">
        <f>IFERROR(__xludf.DUMMYFUNCTION("""COMPUTED_VALUE"""),"")</f>
        <v/>
      </c>
      <c r="W811" t="str">
        <f>IFERROR(__xludf.DUMMYFUNCTION("""COMPUTED_VALUE"""),"")</f>
        <v/>
      </c>
      <c r="X811" t="str">
        <f>IFERROR(__xludf.DUMMYFUNCTION("""COMPUTED_VALUE"""),"")</f>
        <v/>
      </c>
      <c r="Y811" t="str">
        <f>IFERROR(__xludf.DUMMYFUNCTION("""COMPUTED_VALUE"""),"")</f>
        <v/>
      </c>
      <c r="Z811" t="str">
        <f>IFERROR(__xludf.DUMMYFUNCTION("""COMPUTED_VALUE"""),"")</f>
        <v/>
      </c>
    </row>
    <row r="812">
      <c r="A812" s="119">
        <f>IFERROR(__xludf.DUMMYFUNCTION("""COMPUTED_VALUE"""),14010.0)</f>
        <v>14010</v>
      </c>
      <c r="B812" s="119" t="str">
        <f>IFERROR(__xludf.DUMMYFUNCTION("""COMPUTED_VALUE"""),"R05")</f>
        <v>R05</v>
      </c>
      <c r="C812" t="str">
        <f>IFERROR(__xludf.DUMMYFUNCTION("""COMPUTED_VALUE"""),"Fin")</f>
        <v>Fin</v>
      </c>
      <c r="D812" t="str">
        <f>IFERROR(__xludf.DUMMYFUNCTION("""COMPUTED_VALUE"""),"Structures")</f>
        <v>Structures</v>
      </c>
      <c r="E812" t="str">
        <f>IFERROR(__xludf.DUMMYFUNCTION("""COMPUTED_VALUE"""),"SolidWorks")</f>
        <v>SolidWorks</v>
      </c>
      <c r="F812" t="str">
        <f>IFERROR(__xludf.DUMMYFUNCTION("""COMPUTED_VALUE"""),"Marginal Stability")</f>
        <v>Marginal Stability</v>
      </c>
      <c r="G812" t="str">
        <f>IFERROR(__xludf.DUMMYFUNCTION("""COMPUTED_VALUE"""),"Fins for stability during flight")</f>
        <v>Fins for stability during flight</v>
      </c>
      <c r="H812" t="str">
        <f>IFERROR(__xludf.DUMMYFUNCTION("""COMPUTED_VALUE"""),"Carbon fiber")</f>
        <v>Carbon fiber</v>
      </c>
      <c r="I812" t="str">
        <f>IFERROR(__xludf.DUMMYFUNCTION("""COMPUTED_VALUE"""),"Imperial")</f>
        <v>Imperial</v>
      </c>
      <c r="J812" t="str">
        <f>IFERROR(__xludf.DUMMYFUNCTION("""COMPUTED_VALUE"""),"Andrew Bilan")</f>
        <v>Andrew Bilan</v>
      </c>
      <c r="K812" s="122">
        <f>IFERROR(__xludf.DUMMYFUNCTION("""COMPUTED_VALUE"""),43386.0)</f>
        <v>43386</v>
      </c>
      <c r="L812" s="120" t="str">
        <f>IFERROR(__xludf.DUMMYFUNCTION("""COMPUTED_VALUE"""),"https://drive.google.com/open?id=1pxv5yOgPuQ4qqavFZKrMMezzVvmXoJNv")</f>
        <v>https://drive.google.com/open?id=1pxv5yOgPuQ4qqavFZKrMMezzVvmXoJNv</v>
      </c>
      <c r="M812" t="str">
        <f>IFERROR(__xludf.DUMMYFUNCTION("""COMPUTED_VALUE"""),"In progress")</f>
        <v>In progress</v>
      </c>
      <c r="N812" t="str">
        <f>IFERROR(__xludf.DUMMYFUNCTION("""COMPUTED_VALUE"""),"")</f>
        <v/>
      </c>
      <c r="O812" t="str">
        <f>IFERROR(__xludf.DUMMYFUNCTION("""COMPUTED_VALUE"""),"")</f>
        <v/>
      </c>
      <c r="P812" t="str">
        <f>IFERROR(__xludf.DUMMYFUNCTION("""COMPUTED_VALUE"""),"")</f>
        <v/>
      </c>
      <c r="Q812" t="str">
        <f>IFERROR(__xludf.DUMMYFUNCTION("""COMPUTED_VALUE"""),"")</f>
        <v/>
      </c>
      <c r="R812" t="str">
        <f>IFERROR(__xludf.DUMMYFUNCTION("""COMPUTED_VALUE"""),"")</f>
        <v/>
      </c>
      <c r="S812" t="str">
        <f>IFERROR(__xludf.DUMMYFUNCTION("""COMPUTED_VALUE"""),"")</f>
        <v/>
      </c>
      <c r="T812" t="str">
        <f>IFERROR(__xludf.DUMMYFUNCTION("""COMPUTED_VALUE"""),"")</f>
        <v/>
      </c>
      <c r="U812" t="str">
        <f>IFERROR(__xludf.DUMMYFUNCTION("""COMPUTED_VALUE"""),"")</f>
        <v/>
      </c>
      <c r="V812" t="str">
        <f>IFERROR(__xludf.DUMMYFUNCTION("""COMPUTED_VALUE"""),"")</f>
        <v/>
      </c>
      <c r="W812" t="str">
        <f>IFERROR(__xludf.DUMMYFUNCTION("""COMPUTED_VALUE"""),"")</f>
        <v/>
      </c>
      <c r="X812" t="str">
        <f>IFERROR(__xludf.DUMMYFUNCTION("""COMPUTED_VALUE"""),"")</f>
        <v/>
      </c>
      <c r="Y812" t="str">
        <f>IFERROR(__xludf.DUMMYFUNCTION("""COMPUTED_VALUE"""),"")</f>
        <v/>
      </c>
      <c r="Z812" t="str">
        <f>IFERROR(__xludf.DUMMYFUNCTION("""COMPUTED_VALUE"""),"")</f>
        <v/>
      </c>
    </row>
    <row r="813">
      <c r="A813" s="119">
        <f>IFERROR(__xludf.DUMMYFUNCTION("""COMPUTED_VALUE"""),14011.0)</f>
        <v>14011</v>
      </c>
      <c r="B813" s="119" t="str">
        <f>IFERROR(__xludf.DUMMYFUNCTION("""COMPUTED_VALUE"""),"R07")</f>
        <v>R07</v>
      </c>
      <c r="C813" t="str">
        <f>IFERROR(__xludf.DUMMYFUNCTION("""COMPUTED_VALUE"""),"Recovery_Mounting_Plate")</f>
        <v>Recovery_Mounting_Plate</v>
      </c>
      <c r="D813" t="str">
        <f>IFERROR(__xludf.DUMMYFUNCTION("""COMPUTED_VALUE"""),"Structures")</f>
        <v>Structures</v>
      </c>
      <c r="E813" t="str">
        <f>IFERROR(__xludf.DUMMYFUNCTION("""COMPUTED_VALUE"""),"SolidWorks")</f>
        <v>SolidWorks</v>
      </c>
      <c r="F813" t="str">
        <f>IFERROR(__xludf.DUMMYFUNCTION("""COMPUTED_VALUE"""),"Marginal Stability")</f>
        <v>Marginal Stability</v>
      </c>
      <c r="G813" t="str">
        <f>IFERROR(__xludf.DUMMYFUNCTION("""COMPUTED_VALUE"""),"The Mounting Plate that attatches the parachute and actuator to the rocket body")</f>
        <v>The Mounting Plate that attatches the parachute and actuator to the rocket body</v>
      </c>
      <c r="H813" t="str">
        <f>IFERROR(__xludf.DUMMYFUNCTION("""COMPUTED_VALUE"""),"Steel")</f>
        <v>Steel</v>
      </c>
      <c r="I813" t="str">
        <f>IFERROR(__xludf.DUMMYFUNCTION("""COMPUTED_VALUE"""),"Imperial")</f>
        <v>Imperial</v>
      </c>
      <c r="J813" t="str">
        <f>IFERROR(__xludf.DUMMYFUNCTION("""COMPUTED_VALUE"""),"Bryce Borders")</f>
        <v>Bryce Borders</v>
      </c>
      <c r="K813" s="125">
        <f>IFERROR(__xludf.DUMMYFUNCTION("""COMPUTED_VALUE"""),43374.0)</f>
        <v>43374</v>
      </c>
      <c r="L813" s="120" t="str">
        <f>IFERROR(__xludf.DUMMYFUNCTION("""COMPUTED_VALUE"""),"https://drive.google.com/open?id=1qXb8koDwF2kn29clhQizMFKqQMShJq7n")</f>
        <v>https://drive.google.com/open?id=1qXb8koDwF2kn29clhQizMFKqQMShJq7n</v>
      </c>
      <c r="M813" t="str">
        <f>IFERROR(__xludf.DUMMYFUNCTION("""COMPUTED_VALUE"""),"In progress")</f>
        <v>In progress</v>
      </c>
      <c r="N813" t="str">
        <f>IFERROR(__xludf.DUMMYFUNCTION("""COMPUTED_VALUE"""),"")</f>
        <v/>
      </c>
      <c r="O813" t="str">
        <f>IFERROR(__xludf.DUMMYFUNCTION("""COMPUTED_VALUE"""),"")</f>
        <v/>
      </c>
      <c r="P813" t="str">
        <f>IFERROR(__xludf.DUMMYFUNCTION("""COMPUTED_VALUE"""),"")</f>
        <v/>
      </c>
      <c r="Q813" t="str">
        <f>IFERROR(__xludf.DUMMYFUNCTION("""COMPUTED_VALUE"""),"")</f>
        <v/>
      </c>
      <c r="R813" t="str">
        <f>IFERROR(__xludf.DUMMYFUNCTION("""COMPUTED_VALUE"""),"")</f>
        <v/>
      </c>
      <c r="S813" t="str">
        <f>IFERROR(__xludf.DUMMYFUNCTION("""COMPUTED_VALUE"""),"")</f>
        <v/>
      </c>
      <c r="T813" t="str">
        <f>IFERROR(__xludf.DUMMYFUNCTION("""COMPUTED_VALUE"""),"")</f>
        <v/>
      </c>
      <c r="U813" t="str">
        <f>IFERROR(__xludf.DUMMYFUNCTION("""COMPUTED_VALUE"""),"")</f>
        <v/>
      </c>
      <c r="V813" t="str">
        <f>IFERROR(__xludf.DUMMYFUNCTION("""COMPUTED_VALUE"""),"")</f>
        <v/>
      </c>
      <c r="W813" t="str">
        <f>IFERROR(__xludf.DUMMYFUNCTION("""COMPUTED_VALUE"""),"")</f>
        <v/>
      </c>
      <c r="X813" t="str">
        <f>IFERROR(__xludf.DUMMYFUNCTION("""COMPUTED_VALUE"""),"")</f>
        <v/>
      </c>
      <c r="Y813" t="str">
        <f>IFERROR(__xludf.DUMMYFUNCTION("""COMPUTED_VALUE"""),"")</f>
        <v/>
      </c>
      <c r="Z813" t="str">
        <f>IFERROR(__xludf.DUMMYFUNCTION("""COMPUTED_VALUE"""),"")</f>
        <v/>
      </c>
    </row>
    <row r="814">
      <c r="A814" s="119">
        <f>IFERROR(__xludf.DUMMYFUNCTION("""COMPUTED_VALUE"""),14012.0)</f>
        <v>14012</v>
      </c>
      <c r="B814" s="119" t="str">
        <f>IFERROR(__xludf.DUMMYFUNCTION("""COMPUTED_VALUE"""),"RO5")</f>
        <v>RO5</v>
      </c>
      <c r="C814" t="str">
        <f>IFERROR(__xludf.DUMMYFUNCTION("""COMPUTED_VALUE"""),"Avionics_Bulkhead")</f>
        <v>Avionics_Bulkhead</v>
      </c>
      <c r="D814" t="str">
        <f>IFERROR(__xludf.DUMMYFUNCTION("""COMPUTED_VALUE"""),"Structures")</f>
        <v>Structures</v>
      </c>
      <c r="E814" t="str">
        <f>IFERROR(__xludf.DUMMYFUNCTION("""COMPUTED_VALUE"""),"SolidWorks")</f>
        <v>SolidWorks</v>
      </c>
      <c r="F814" t="str">
        <f>IFERROR(__xludf.DUMMYFUNCTION("""COMPUTED_VALUE"""),"Marginal Stability")</f>
        <v>Marginal Stability</v>
      </c>
      <c r="G814" t="str">
        <f>IFERROR(__xludf.DUMMYFUNCTION("""COMPUTED_VALUE"""),"Holds the threaded rods that supports the avionics platform.")</f>
        <v>Holds the threaded rods that supports the avionics platform.</v>
      </c>
      <c r="H814" t="str">
        <f>IFERROR(__xludf.DUMMYFUNCTION("""COMPUTED_VALUE"""),"6061-T6")</f>
        <v>6061-T6</v>
      </c>
      <c r="I814" t="str">
        <f>IFERROR(__xludf.DUMMYFUNCTION("""COMPUTED_VALUE"""),"Imperial")</f>
        <v>Imperial</v>
      </c>
      <c r="J814" t="str">
        <f>IFERROR(__xludf.DUMMYFUNCTION("""COMPUTED_VALUE"""),"Joshua Elmer")</f>
        <v>Joshua Elmer</v>
      </c>
      <c r="K814" t="str">
        <f>IFERROR(__xludf.DUMMYFUNCTION("""COMPUTED_VALUE"""),"Sept/2018")</f>
        <v>Sept/2018</v>
      </c>
      <c r="L814" s="120" t="str">
        <f>IFERROR(__xludf.DUMMYFUNCTION("""COMPUTED_VALUE"""),"https://drive.google.com/open?id=1C5yta8XERV_dp-j1jVM3FahsH_VApazx")</f>
        <v>https://drive.google.com/open?id=1C5yta8XERV_dp-j1jVM3FahsH_VApazx</v>
      </c>
      <c r="M814" t="str">
        <f>IFERROR(__xludf.DUMMYFUNCTION("""COMPUTED_VALUE"""),"In progress")</f>
        <v>In progress</v>
      </c>
      <c r="N814" t="str">
        <f>IFERROR(__xludf.DUMMYFUNCTION("""COMPUTED_VALUE"""),"")</f>
        <v/>
      </c>
      <c r="O814" t="str">
        <f>IFERROR(__xludf.DUMMYFUNCTION("""COMPUTED_VALUE"""),"")</f>
        <v/>
      </c>
      <c r="P814" t="str">
        <f>IFERROR(__xludf.DUMMYFUNCTION("""COMPUTED_VALUE"""),"")</f>
        <v/>
      </c>
      <c r="Q814" t="str">
        <f>IFERROR(__xludf.DUMMYFUNCTION("""COMPUTED_VALUE"""),"")</f>
        <v/>
      </c>
      <c r="R814" t="str">
        <f>IFERROR(__xludf.DUMMYFUNCTION("""COMPUTED_VALUE"""),"")</f>
        <v/>
      </c>
      <c r="S814" t="str">
        <f>IFERROR(__xludf.DUMMYFUNCTION("""COMPUTED_VALUE"""),"")</f>
        <v/>
      </c>
      <c r="T814" t="str">
        <f>IFERROR(__xludf.DUMMYFUNCTION("""COMPUTED_VALUE"""),"")</f>
        <v/>
      </c>
      <c r="U814" t="str">
        <f>IFERROR(__xludf.DUMMYFUNCTION("""COMPUTED_VALUE"""),"")</f>
        <v/>
      </c>
      <c r="V814" t="str">
        <f>IFERROR(__xludf.DUMMYFUNCTION("""COMPUTED_VALUE"""),"")</f>
        <v/>
      </c>
      <c r="W814" t="str">
        <f>IFERROR(__xludf.DUMMYFUNCTION("""COMPUTED_VALUE"""),"")</f>
        <v/>
      </c>
      <c r="X814" t="str">
        <f>IFERROR(__xludf.DUMMYFUNCTION("""COMPUTED_VALUE"""),"")</f>
        <v/>
      </c>
      <c r="Y814" t="str">
        <f>IFERROR(__xludf.DUMMYFUNCTION("""COMPUTED_VALUE"""),"")</f>
        <v/>
      </c>
      <c r="Z814" t="str">
        <f>IFERROR(__xludf.DUMMYFUNCTION("""COMPUTED_VALUE"""),"")</f>
        <v/>
      </c>
    </row>
    <row r="815">
      <c r="A815" s="119">
        <f>IFERROR(__xludf.DUMMYFUNCTION("""COMPUTED_VALUE"""),14013.0)</f>
        <v>14013</v>
      </c>
      <c r="B815" s="119" t="str">
        <f>IFERROR(__xludf.DUMMYFUNCTION("""COMPUTED_VALUE"""),"R04")</f>
        <v>R04</v>
      </c>
      <c r="C815" t="str">
        <f>IFERROR(__xludf.DUMMYFUNCTION("""COMPUTED_VALUE"""),"Fin_L_Bracket")</f>
        <v>Fin_L_Bracket</v>
      </c>
      <c r="D815" t="str">
        <f>IFERROR(__xludf.DUMMYFUNCTION("""COMPUTED_VALUE"""),"Structures")</f>
        <v>Structures</v>
      </c>
      <c r="E815" t="str">
        <f>IFERROR(__xludf.DUMMYFUNCTION("""COMPUTED_VALUE"""),"SolidWorks")</f>
        <v>SolidWorks</v>
      </c>
      <c r="F815" t="str">
        <f>IFERROR(__xludf.DUMMYFUNCTION("""COMPUTED_VALUE"""),"Marginal Stability")</f>
        <v>Marginal Stability</v>
      </c>
      <c r="G815" t="str">
        <f>IFERROR(__xludf.DUMMYFUNCTION("""COMPUTED_VALUE"""),"L-bracket holds the fin to the airframe. Attached on the inside of the airframe")</f>
        <v>L-bracket holds the fin to the airframe. Attached on the inside of the airframe</v>
      </c>
      <c r="H815" t="str">
        <f>IFERROR(__xludf.DUMMYFUNCTION("""COMPUTED_VALUE"""),"6061-T6")</f>
        <v>6061-T6</v>
      </c>
      <c r="I815" t="str">
        <f>IFERROR(__xludf.DUMMYFUNCTION("""COMPUTED_VALUE"""),"Imperial")</f>
        <v>Imperial</v>
      </c>
      <c r="J815" t="str">
        <f>IFERROR(__xludf.DUMMYFUNCTION("""COMPUTED_VALUE"""),"Andrew Bilan")</f>
        <v>Andrew Bilan</v>
      </c>
      <c r="K815" s="125">
        <f>IFERROR(__xludf.DUMMYFUNCTION("""COMPUTED_VALUE"""),43374.0)</f>
        <v>43374</v>
      </c>
      <c r="L815" s="120" t="str">
        <f>IFERROR(__xludf.DUMMYFUNCTION("""COMPUTED_VALUE"""),"https://drive.google.com/open?id=15iZ8DA1M1gLEKjcYiEkWIXrOUcYlVLPD")</f>
        <v>https://drive.google.com/open?id=15iZ8DA1M1gLEKjcYiEkWIXrOUcYlVLPD</v>
      </c>
      <c r="M815" t="str">
        <f>IFERROR(__xludf.DUMMYFUNCTION("""COMPUTED_VALUE"""),"In progress")</f>
        <v>In progress</v>
      </c>
      <c r="N815" t="str">
        <f>IFERROR(__xludf.DUMMYFUNCTION("""COMPUTED_VALUE"""),"")</f>
        <v/>
      </c>
      <c r="O815" t="str">
        <f>IFERROR(__xludf.DUMMYFUNCTION("""COMPUTED_VALUE"""),"")</f>
        <v/>
      </c>
      <c r="P815" t="str">
        <f>IFERROR(__xludf.DUMMYFUNCTION("""COMPUTED_VALUE"""),"")</f>
        <v/>
      </c>
      <c r="Q815" t="str">
        <f>IFERROR(__xludf.DUMMYFUNCTION("""COMPUTED_VALUE"""),"")</f>
        <v/>
      </c>
      <c r="R815" t="str">
        <f>IFERROR(__xludf.DUMMYFUNCTION("""COMPUTED_VALUE"""),"")</f>
        <v/>
      </c>
      <c r="S815" t="str">
        <f>IFERROR(__xludf.DUMMYFUNCTION("""COMPUTED_VALUE"""),"")</f>
        <v/>
      </c>
      <c r="T815" t="str">
        <f>IFERROR(__xludf.DUMMYFUNCTION("""COMPUTED_VALUE"""),"")</f>
        <v/>
      </c>
      <c r="U815" t="str">
        <f>IFERROR(__xludf.DUMMYFUNCTION("""COMPUTED_VALUE"""),"")</f>
        <v/>
      </c>
      <c r="V815" t="str">
        <f>IFERROR(__xludf.DUMMYFUNCTION("""COMPUTED_VALUE"""),"")</f>
        <v/>
      </c>
      <c r="W815" t="str">
        <f>IFERROR(__xludf.DUMMYFUNCTION("""COMPUTED_VALUE"""),"")</f>
        <v/>
      </c>
      <c r="X815" t="str">
        <f>IFERROR(__xludf.DUMMYFUNCTION("""COMPUTED_VALUE"""),"")</f>
        <v/>
      </c>
      <c r="Y815" t="str">
        <f>IFERROR(__xludf.DUMMYFUNCTION("""COMPUTED_VALUE"""),"")</f>
        <v/>
      </c>
      <c r="Z815" t="str">
        <f>IFERROR(__xludf.DUMMYFUNCTION("""COMPUTED_VALUE"""),"")</f>
        <v/>
      </c>
    </row>
    <row r="816">
      <c r="A816" s="119">
        <f>IFERROR(__xludf.DUMMYFUNCTION("""COMPUTED_VALUE"""),14014.0)</f>
        <v>14014</v>
      </c>
      <c r="B816" s="119" t="str">
        <f>IFERROR(__xludf.DUMMYFUNCTION("""COMPUTED_VALUE"""),"R03")</f>
        <v>R03</v>
      </c>
      <c r="C816" t="str">
        <f>IFERROR(__xludf.DUMMYFUNCTION("""COMPUTED_VALUE"""),"Shear_Body_Test_Tube")</f>
        <v>Shear_Body_Test_Tube</v>
      </c>
      <c r="D816" t="str">
        <f>IFERROR(__xludf.DUMMYFUNCTION("""COMPUTED_VALUE"""),"Structures")</f>
        <v>Structures</v>
      </c>
      <c r="E816" t="str">
        <f>IFERROR(__xludf.DUMMYFUNCTION("""COMPUTED_VALUE"""),"SolidWorks")</f>
        <v>SolidWorks</v>
      </c>
      <c r="F816" t="str">
        <f>IFERROR(__xludf.DUMMYFUNCTION("""COMPUTED_VALUE"""),"Marginal Stability")</f>
        <v>Marginal Stability</v>
      </c>
      <c r="G816" t="str">
        <f>IFERROR(__xludf.DUMMYFUNCTION("""COMPUTED_VALUE"""),"Section of Airframe designed to test fin assembly")</f>
        <v>Section of Airframe designed to test fin assembly</v>
      </c>
      <c r="H816" t="str">
        <f>IFERROR(__xludf.DUMMYFUNCTION("""COMPUTED_VALUE"""),"6061-T6")</f>
        <v>6061-T6</v>
      </c>
      <c r="I816" t="str">
        <f>IFERROR(__xludf.DUMMYFUNCTION("""COMPUTED_VALUE"""),"Imperial")</f>
        <v>Imperial</v>
      </c>
      <c r="J816" t="str">
        <f>IFERROR(__xludf.DUMMYFUNCTION("""COMPUTED_VALUE"""),"Andrew Bilan")</f>
        <v>Andrew Bilan</v>
      </c>
      <c r="K816" s="125">
        <f>IFERROR(__xludf.DUMMYFUNCTION("""COMPUTED_VALUE"""),43375.0)</f>
        <v>43375</v>
      </c>
      <c r="L816" s="120" t="str">
        <f>IFERROR(__xludf.DUMMYFUNCTION("""COMPUTED_VALUE"""),"https://drive.google.com/open?id=17rBbxM7IWHvuLe9Hj0z9ib4P_unf9klW")</f>
        <v>https://drive.google.com/open?id=17rBbxM7IWHvuLe9Hj0z9ib4P_unf9klW</v>
      </c>
      <c r="M816" t="str">
        <f>IFERROR(__xludf.DUMMYFUNCTION("""COMPUTED_VALUE"""),"In progress")</f>
        <v>In progress</v>
      </c>
      <c r="N816" t="str">
        <f>IFERROR(__xludf.DUMMYFUNCTION("""COMPUTED_VALUE"""),"")</f>
        <v/>
      </c>
      <c r="O816" t="str">
        <f>IFERROR(__xludf.DUMMYFUNCTION("""COMPUTED_VALUE"""),"")</f>
        <v/>
      </c>
      <c r="P816" t="str">
        <f>IFERROR(__xludf.DUMMYFUNCTION("""COMPUTED_VALUE"""),"")</f>
        <v/>
      </c>
      <c r="Q816" t="str">
        <f>IFERROR(__xludf.DUMMYFUNCTION("""COMPUTED_VALUE"""),"")</f>
        <v/>
      </c>
      <c r="R816" t="str">
        <f>IFERROR(__xludf.DUMMYFUNCTION("""COMPUTED_VALUE"""),"")</f>
        <v/>
      </c>
      <c r="S816" t="str">
        <f>IFERROR(__xludf.DUMMYFUNCTION("""COMPUTED_VALUE"""),"")</f>
        <v/>
      </c>
      <c r="T816" t="str">
        <f>IFERROR(__xludf.DUMMYFUNCTION("""COMPUTED_VALUE"""),"")</f>
        <v/>
      </c>
      <c r="U816" t="str">
        <f>IFERROR(__xludf.DUMMYFUNCTION("""COMPUTED_VALUE"""),"")</f>
        <v/>
      </c>
      <c r="V816" t="str">
        <f>IFERROR(__xludf.DUMMYFUNCTION("""COMPUTED_VALUE"""),"")</f>
        <v/>
      </c>
      <c r="W816" t="str">
        <f>IFERROR(__xludf.DUMMYFUNCTION("""COMPUTED_VALUE"""),"")</f>
        <v/>
      </c>
      <c r="X816" t="str">
        <f>IFERROR(__xludf.DUMMYFUNCTION("""COMPUTED_VALUE"""),"")</f>
        <v/>
      </c>
      <c r="Y816" t="str">
        <f>IFERROR(__xludf.DUMMYFUNCTION("""COMPUTED_VALUE"""),"")</f>
        <v/>
      </c>
      <c r="Z816" t="str">
        <f>IFERROR(__xludf.DUMMYFUNCTION("""COMPUTED_VALUE"""),"")</f>
        <v/>
      </c>
    </row>
    <row r="817">
      <c r="A817" s="119">
        <f>IFERROR(__xludf.DUMMYFUNCTION("""COMPUTED_VALUE"""),14015.0)</f>
        <v>14015</v>
      </c>
      <c r="B817" s="119" t="str">
        <f>IFERROR(__xludf.DUMMYFUNCTION("""COMPUTED_VALUE"""),"R01")</f>
        <v>R01</v>
      </c>
      <c r="C817" t="str">
        <f>IFERROR(__xludf.DUMMYFUNCTION("""COMPUTED_VALUE"""),"Nose_Cone_Main_Portion")</f>
        <v>Nose_Cone_Main_Portion</v>
      </c>
      <c r="D817" t="str">
        <f>IFERROR(__xludf.DUMMYFUNCTION("""COMPUTED_VALUE"""),"Structures")</f>
        <v>Structures</v>
      </c>
      <c r="E817" t="str">
        <f>IFERROR(__xludf.DUMMYFUNCTION("""COMPUTED_VALUE"""),"SolidWorks")</f>
        <v>SolidWorks</v>
      </c>
      <c r="F817" t="str">
        <f>IFERROR(__xludf.DUMMYFUNCTION("""COMPUTED_VALUE"""),"Marginal Stability")</f>
        <v>Marginal Stability</v>
      </c>
      <c r="G817" t="str">
        <f>IFERROR(__xludf.DUMMYFUNCTION("""COMPUTED_VALUE"""),"Section of Airframe designed to test fin assembly")</f>
        <v>Section of Airframe designed to test fin assembly</v>
      </c>
      <c r="H817" t="str">
        <f>IFERROR(__xludf.DUMMYFUNCTION("""COMPUTED_VALUE"""),"Carbon Fiber")</f>
        <v>Carbon Fiber</v>
      </c>
      <c r="I817" t="str">
        <f>IFERROR(__xludf.DUMMYFUNCTION("""COMPUTED_VALUE"""),"Imperial")</f>
        <v>Imperial</v>
      </c>
      <c r="J817" t="str">
        <f>IFERROR(__xludf.DUMMYFUNCTION("""COMPUTED_VALUE"""),"Matthew Lok")</f>
        <v>Matthew Lok</v>
      </c>
      <c r="K817" s="125">
        <f>IFERROR(__xludf.DUMMYFUNCTION("""COMPUTED_VALUE"""),43376.0)</f>
        <v>43376</v>
      </c>
      <c r="L817" s="120" t="str">
        <f>IFERROR(__xludf.DUMMYFUNCTION("""COMPUTED_VALUE"""),"https://drive.google.com/open?id=1D17AVos2pD_KuBIMvmYAkgIzFjpa2gW0")</f>
        <v>https://drive.google.com/open?id=1D17AVos2pD_KuBIMvmYAkgIzFjpa2gW0</v>
      </c>
      <c r="M817" t="str">
        <f>IFERROR(__xludf.DUMMYFUNCTION("""COMPUTED_VALUE"""),"In progress")</f>
        <v>In progress</v>
      </c>
      <c r="N817" t="str">
        <f>IFERROR(__xludf.DUMMYFUNCTION("""COMPUTED_VALUE"""),"")</f>
        <v/>
      </c>
      <c r="O817" t="str">
        <f>IFERROR(__xludf.DUMMYFUNCTION("""COMPUTED_VALUE"""),"")</f>
        <v/>
      </c>
      <c r="P817" t="str">
        <f>IFERROR(__xludf.DUMMYFUNCTION("""COMPUTED_VALUE"""),"")</f>
        <v/>
      </c>
      <c r="Q817" t="str">
        <f>IFERROR(__xludf.DUMMYFUNCTION("""COMPUTED_VALUE"""),"")</f>
        <v/>
      </c>
      <c r="R817" t="str">
        <f>IFERROR(__xludf.DUMMYFUNCTION("""COMPUTED_VALUE"""),"")</f>
        <v/>
      </c>
      <c r="S817" t="str">
        <f>IFERROR(__xludf.DUMMYFUNCTION("""COMPUTED_VALUE"""),"")</f>
        <v/>
      </c>
      <c r="T817" t="str">
        <f>IFERROR(__xludf.DUMMYFUNCTION("""COMPUTED_VALUE"""),"")</f>
        <v/>
      </c>
      <c r="U817" t="str">
        <f>IFERROR(__xludf.DUMMYFUNCTION("""COMPUTED_VALUE"""),"")</f>
        <v/>
      </c>
      <c r="V817" t="str">
        <f>IFERROR(__xludf.DUMMYFUNCTION("""COMPUTED_VALUE"""),"")</f>
        <v/>
      </c>
      <c r="W817" t="str">
        <f>IFERROR(__xludf.DUMMYFUNCTION("""COMPUTED_VALUE"""),"")</f>
        <v/>
      </c>
      <c r="X817" t="str">
        <f>IFERROR(__xludf.DUMMYFUNCTION("""COMPUTED_VALUE"""),"")</f>
        <v/>
      </c>
      <c r="Y817" t="str">
        <f>IFERROR(__xludf.DUMMYFUNCTION("""COMPUTED_VALUE"""),"")</f>
        <v/>
      </c>
      <c r="Z817" t="str">
        <f>IFERROR(__xludf.DUMMYFUNCTION("""COMPUTED_VALUE"""),"")</f>
        <v/>
      </c>
    </row>
    <row r="818">
      <c r="A818" s="119">
        <f>IFERROR(__xludf.DUMMYFUNCTION("""COMPUTED_VALUE"""),14016.0)</f>
        <v>14016</v>
      </c>
      <c r="B818" s="119" t="str">
        <f>IFERROR(__xludf.DUMMYFUNCTION("""COMPUTED_VALUE"""),"R01")</f>
        <v>R01</v>
      </c>
      <c r="C818" t="str">
        <f>IFERROR(__xludf.DUMMYFUNCTION("""COMPUTED_VALUE"""),"Nose_Cone_Metal_Tip")</f>
        <v>Nose_Cone_Metal_Tip</v>
      </c>
      <c r="D818" t="str">
        <f>IFERROR(__xludf.DUMMYFUNCTION("""COMPUTED_VALUE"""),"Structures")</f>
        <v>Structures</v>
      </c>
      <c r="E818" t="str">
        <f>IFERROR(__xludf.DUMMYFUNCTION("""COMPUTED_VALUE"""),"SolidWorks")</f>
        <v>SolidWorks</v>
      </c>
      <c r="F818" t="str">
        <f>IFERROR(__xludf.DUMMYFUNCTION("""COMPUTED_VALUE"""),"Marginal Stability")</f>
        <v>Marginal Stability</v>
      </c>
      <c r="G818" t="str">
        <f>IFERROR(__xludf.DUMMYFUNCTION("""COMPUTED_VALUE"""),"Titanium tip for the top of the nose cone")</f>
        <v>Titanium tip for the top of the nose cone</v>
      </c>
      <c r="H818" t="str">
        <f>IFERROR(__xludf.DUMMYFUNCTION("""COMPUTED_VALUE"""),"Titanium")</f>
        <v>Titanium</v>
      </c>
      <c r="I818" t="str">
        <f>IFERROR(__xludf.DUMMYFUNCTION("""COMPUTED_VALUE"""),"Imperial")</f>
        <v>Imperial</v>
      </c>
      <c r="J818" t="str">
        <f>IFERROR(__xludf.DUMMYFUNCTION("""COMPUTED_VALUE"""),"Matthew Lok")</f>
        <v>Matthew Lok</v>
      </c>
      <c r="K818" s="125">
        <f>IFERROR(__xludf.DUMMYFUNCTION("""COMPUTED_VALUE"""),43377.0)</f>
        <v>43377</v>
      </c>
      <c r="L818" s="120" t="str">
        <f>IFERROR(__xludf.DUMMYFUNCTION("""COMPUTED_VALUE"""),"https://drive.google.com/open?id=1nvvZXm1y9vTlimMKy7niuxABJoW2nnGR")</f>
        <v>https://drive.google.com/open?id=1nvvZXm1y9vTlimMKy7niuxABJoW2nnGR</v>
      </c>
      <c r="M818" t="str">
        <f>IFERROR(__xludf.DUMMYFUNCTION("""COMPUTED_VALUE"""),"In progress")</f>
        <v>In progress</v>
      </c>
      <c r="N818" t="str">
        <f>IFERROR(__xludf.DUMMYFUNCTION("""COMPUTED_VALUE"""),"")</f>
        <v/>
      </c>
      <c r="O818" t="str">
        <f>IFERROR(__xludf.DUMMYFUNCTION("""COMPUTED_VALUE"""),"")</f>
        <v/>
      </c>
      <c r="P818" t="str">
        <f>IFERROR(__xludf.DUMMYFUNCTION("""COMPUTED_VALUE"""),"")</f>
        <v/>
      </c>
      <c r="Q818" t="str">
        <f>IFERROR(__xludf.DUMMYFUNCTION("""COMPUTED_VALUE"""),"")</f>
        <v/>
      </c>
      <c r="R818" t="str">
        <f>IFERROR(__xludf.DUMMYFUNCTION("""COMPUTED_VALUE"""),"")</f>
        <v/>
      </c>
      <c r="S818" t="str">
        <f>IFERROR(__xludf.DUMMYFUNCTION("""COMPUTED_VALUE"""),"")</f>
        <v/>
      </c>
      <c r="T818" t="str">
        <f>IFERROR(__xludf.DUMMYFUNCTION("""COMPUTED_VALUE"""),"")</f>
        <v/>
      </c>
      <c r="U818" t="str">
        <f>IFERROR(__xludf.DUMMYFUNCTION("""COMPUTED_VALUE"""),"")</f>
        <v/>
      </c>
      <c r="V818" t="str">
        <f>IFERROR(__xludf.DUMMYFUNCTION("""COMPUTED_VALUE"""),"")</f>
        <v/>
      </c>
      <c r="W818" t="str">
        <f>IFERROR(__xludf.DUMMYFUNCTION("""COMPUTED_VALUE"""),"")</f>
        <v/>
      </c>
      <c r="X818" t="str">
        <f>IFERROR(__xludf.DUMMYFUNCTION("""COMPUTED_VALUE"""),"")</f>
        <v/>
      </c>
      <c r="Y818" t="str">
        <f>IFERROR(__xludf.DUMMYFUNCTION("""COMPUTED_VALUE"""),"")</f>
        <v/>
      </c>
      <c r="Z818" t="str">
        <f>IFERROR(__xludf.DUMMYFUNCTION("""COMPUTED_VALUE"""),"")</f>
        <v/>
      </c>
    </row>
    <row r="819">
      <c r="A819" s="119">
        <f>IFERROR(__xludf.DUMMYFUNCTION("""COMPUTED_VALUE"""),14017.0)</f>
        <v>14017</v>
      </c>
      <c r="B819" s="119" t="str">
        <f>IFERROR(__xludf.DUMMYFUNCTION("""COMPUTED_VALUE"""),"R01")</f>
        <v>R01</v>
      </c>
      <c r="C819" t="str">
        <f>IFERROR(__xludf.DUMMYFUNCTION("""COMPUTED_VALUE"""),"Nose_Cone_Tabs")</f>
        <v>Nose_Cone_Tabs</v>
      </c>
      <c r="D819" t="str">
        <f>IFERROR(__xludf.DUMMYFUNCTION("""COMPUTED_VALUE"""),"Structures")</f>
        <v>Structures</v>
      </c>
      <c r="E819" t="str">
        <f>IFERROR(__xludf.DUMMYFUNCTION("""COMPUTED_VALUE"""),"SolidWorks")</f>
        <v>SolidWorks</v>
      </c>
      <c r="F819" t="str">
        <f>IFERROR(__xludf.DUMMYFUNCTION("""COMPUTED_VALUE"""),"Marginal Stability")</f>
        <v>Marginal Stability</v>
      </c>
      <c r="G819" t="str">
        <f>IFERROR(__xludf.DUMMYFUNCTION("""COMPUTED_VALUE"""),"Tabs that will be pushed against to break the shear pins and begin the recovery process")</f>
        <v>Tabs that will be pushed against to break the shear pins and begin the recovery process</v>
      </c>
      <c r="H819" t="str">
        <f>IFERROR(__xludf.DUMMYFUNCTION("""COMPUTED_VALUE"""),"6061-T6")</f>
        <v>6061-T6</v>
      </c>
      <c r="I819" t="str">
        <f>IFERROR(__xludf.DUMMYFUNCTION("""COMPUTED_VALUE"""),"Impera")</f>
        <v>Impera</v>
      </c>
      <c r="J819" t="str">
        <f>IFERROR(__xludf.DUMMYFUNCTION("""COMPUTED_VALUE"""),"Matthew Lok")</f>
        <v>Matthew Lok</v>
      </c>
      <c r="K819" s="125">
        <f>IFERROR(__xludf.DUMMYFUNCTION("""COMPUTED_VALUE"""),43378.0)</f>
        <v>43378</v>
      </c>
      <c r="L819" s="120" t="str">
        <f>IFERROR(__xludf.DUMMYFUNCTION("""COMPUTED_VALUE"""),"https://drive.google.com/open?id=1gL2X1sYwFUodHhWYINXmfcC_GxBv3jfx")</f>
        <v>https://drive.google.com/open?id=1gL2X1sYwFUodHhWYINXmfcC_GxBv3jfx</v>
      </c>
      <c r="M819" t="str">
        <f>IFERROR(__xludf.DUMMYFUNCTION("""COMPUTED_VALUE"""),"In progress")</f>
        <v>In progress</v>
      </c>
      <c r="N819" t="str">
        <f>IFERROR(__xludf.DUMMYFUNCTION("""COMPUTED_VALUE"""),"")</f>
        <v/>
      </c>
      <c r="O819" t="str">
        <f>IFERROR(__xludf.DUMMYFUNCTION("""COMPUTED_VALUE"""),"")</f>
        <v/>
      </c>
      <c r="P819" t="str">
        <f>IFERROR(__xludf.DUMMYFUNCTION("""COMPUTED_VALUE"""),"")</f>
        <v/>
      </c>
      <c r="Q819" t="str">
        <f>IFERROR(__xludf.DUMMYFUNCTION("""COMPUTED_VALUE"""),"")</f>
        <v/>
      </c>
      <c r="R819" t="str">
        <f>IFERROR(__xludf.DUMMYFUNCTION("""COMPUTED_VALUE"""),"")</f>
        <v/>
      </c>
      <c r="S819" t="str">
        <f>IFERROR(__xludf.DUMMYFUNCTION("""COMPUTED_VALUE"""),"")</f>
        <v/>
      </c>
      <c r="T819" t="str">
        <f>IFERROR(__xludf.DUMMYFUNCTION("""COMPUTED_VALUE"""),"")</f>
        <v/>
      </c>
      <c r="U819" t="str">
        <f>IFERROR(__xludf.DUMMYFUNCTION("""COMPUTED_VALUE"""),"")</f>
        <v/>
      </c>
      <c r="V819" t="str">
        <f>IFERROR(__xludf.DUMMYFUNCTION("""COMPUTED_VALUE"""),"")</f>
        <v/>
      </c>
      <c r="W819" t="str">
        <f>IFERROR(__xludf.DUMMYFUNCTION("""COMPUTED_VALUE"""),"")</f>
        <v/>
      </c>
      <c r="X819" t="str">
        <f>IFERROR(__xludf.DUMMYFUNCTION("""COMPUTED_VALUE"""),"")</f>
        <v/>
      </c>
      <c r="Y819" t="str">
        <f>IFERROR(__xludf.DUMMYFUNCTION("""COMPUTED_VALUE"""),"")</f>
        <v/>
      </c>
      <c r="Z819" t="str">
        <f>IFERROR(__xludf.DUMMYFUNCTION("""COMPUTED_VALUE"""),"")</f>
        <v/>
      </c>
    </row>
    <row r="820">
      <c r="A820" s="119">
        <f>IFERROR(__xludf.DUMMYFUNCTION("""COMPUTED_VALUE"""),14018.0)</f>
        <v>14018</v>
      </c>
      <c r="B820" s="119" t="str">
        <f>IFERROR(__xludf.DUMMYFUNCTION("""COMPUTED_VALUE"""),"R02")</f>
        <v>R02</v>
      </c>
      <c r="C820" t="str">
        <f>IFERROR(__xludf.DUMMYFUNCTION("""COMPUTED_VALUE"""),"Recovery_System_Plate")</f>
        <v>Recovery_System_Plate</v>
      </c>
      <c r="D820" t="str">
        <f>IFERROR(__xludf.DUMMYFUNCTION("""COMPUTED_VALUE"""),"Structures")</f>
        <v>Structures</v>
      </c>
      <c r="E820" t="str">
        <f>IFERROR(__xludf.DUMMYFUNCTION("""COMPUTED_VALUE"""),"Solidworks")</f>
        <v>Solidworks</v>
      </c>
      <c r="F820" t="str">
        <f>IFERROR(__xludf.DUMMYFUNCTION("""COMPUTED_VALUE"""),"Marginal Stability")</f>
        <v>Marginal Stability</v>
      </c>
      <c r="G820" t="str">
        <f>IFERROR(__xludf.DUMMYFUNCTION("""COMPUTED_VALUE"""),"The Mounting Plate that attatches the parachute and actuator to the rocket body ")</f>
        <v>The Mounting Plate that attatches the parachute and actuator to the rocket body </v>
      </c>
      <c r="H820" t="str">
        <f>IFERROR(__xludf.DUMMYFUNCTION("""COMPUTED_VALUE"""),"Aluminium Alloy")</f>
        <v>Aluminium Alloy</v>
      </c>
      <c r="I820" t="str">
        <f>IFERROR(__xludf.DUMMYFUNCTION("""COMPUTED_VALUE"""),"Imperial")</f>
        <v>Imperial</v>
      </c>
      <c r="J820" t="str">
        <f>IFERROR(__xludf.DUMMYFUNCTION("""COMPUTED_VALUE"""),"Bryce Borders")</f>
        <v>Bryce Borders</v>
      </c>
      <c r="K820" s="126">
        <f>IFERROR(__xludf.DUMMYFUNCTION("""COMPUTED_VALUE"""),43395.0)</f>
        <v>43395</v>
      </c>
      <c r="L820" s="120" t="str">
        <f>IFERROR(__xludf.DUMMYFUNCTION("""COMPUTED_VALUE"""),"https://drive.google.com/open?id=1V8NwmyManNg_iq-kV-toRyTxFgRSwML2")</f>
        <v>https://drive.google.com/open?id=1V8NwmyManNg_iq-kV-toRyTxFgRSwML2</v>
      </c>
      <c r="M820" t="str">
        <f>IFERROR(__xludf.DUMMYFUNCTION("""COMPUTED_VALUE"""),"In progress")</f>
        <v>In progress</v>
      </c>
      <c r="N820" t="str">
        <f>IFERROR(__xludf.DUMMYFUNCTION("""COMPUTED_VALUE"""),"")</f>
        <v/>
      </c>
      <c r="O820" t="str">
        <f>IFERROR(__xludf.DUMMYFUNCTION("""COMPUTED_VALUE"""),"")</f>
        <v/>
      </c>
      <c r="P820" t="str">
        <f>IFERROR(__xludf.DUMMYFUNCTION("""COMPUTED_VALUE"""),"")</f>
        <v/>
      </c>
      <c r="Q820" t="str">
        <f>IFERROR(__xludf.DUMMYFUNCTION("""COMPUTED_VALUE"""),"")</f>
        <v/>
      </c>
      <c r="R820" t="str">
        <f>IFERROR(__xludf.DUMMYFUNCTION("""COMPUTED_VALUE"""),"")</f>
        <v/>
      </c>
      <c r="S820" t="str">
        <f>IFERROR(__xludf.DUMMYFUNCTION("""COMPUTED_VALUE"""),"")</f>
        <v/>
      </c>
      <c r="T820" t="str">
        <f>IFERROR(__xludf.DUMMYFUNCTION("""COMPUTED_VALUE"""),"")</f>
        <v/>
      </c>
      <c r="U820" t="str">
        <f>IFERROR(__xludf.DUMMYFUNCTION("""COMPUTED_VALUE"""),"")</f>
        <v/>
      </c>
      <c r="V820" t="str">
        <f>IFERROR(__xludf.DUMMYFUNCTION("""COMPUTED_VALUE"""),"")</f>
        <v/>
      </c>
      <c r="W820" t="str">
        <f>IFERROR(__xludf.DUMMYFUNCTION("""COMPUTED_VALUE"""),"")</f>
        <v/>
      </c>
      <c r="X820" t="str">
        <f>IFERROR(__xludf.DUMMYFUNCTION("""COMPUTED_VALUE"""),"")</f>
        <v/>
      </c>
      <c r="Y820" t="str">
        <f>IFERROR(__xludf.DUMMYFUNCTION("""COMPUTED_VALUE"""),"")</f>
        <v/>
      </c>
      <c r="Z820" t="str">
        <f>IFERROR(__xludf.DUMMYFUNCTION("""COMPUTED_VALUE"""),"")</f>
        <v/>
      </c>
    </row>
    <row r="821">
      <c r="A821" s="119">
        <f>IFERROR(__xludf.DUMMYFUNCTION("""COMPUTED_VALUE"""),14019.0)</f>
        <v>14019</v>
      </c>
      <c r="B821" s="119" t="str">
        <f>IFERROR(__xludf.DUMMYFUNCTION("""COMPUTED_VALUE"""),"R01")</f>
        <v>R01</v>
      </c>
      <c r="C821" t="str">
        <f>IFERROR(__xludf.DUMMYFUNCTION("""COMPUTED_VALUE"""),"Recovery_Pressure_Tank")</f>
        <v>Recovery_Pressure_Tank</v>
      </c>
      <c r="D821" t="str">
        <f>IFERROR(__xludf.DUMMYFUNCTION("""COMPUTED_VALUE"""),"Structures")</f>
        <v>Structures</v>
      </c>
      <c r="E821" t="str">
        <f>IFERROR(__xludf.DUMMYFUNCTION("""COMPUTED_VALUE"""),"Solidworks")</f>
        <v>Solidworks</v>
      </c>
      <c r="F821" t="str">
        <f>IFERROR(__xludf.DUMMYFUNCTION("""COMPUTED_VALUE"""),"Marginal Stability")</f>
        <v>Marginal Stability</v>
      </c>
      <c r="G821" t="str">
        <f>IFERROR(__xludf.DUMMYFUNCTION("""COMPUTED_VALUE"""),"Air tank for recovery plate actuator")</f>
        <v>Air tank for recovery plate actuator</v>
      </c>
      <c r="H821" t="str">
        <f>IFERROR(__xludf.DUMMYFUNCTION("""COMPUTED_VALUE"""),"6061 Aluminim")</f>
        <v>6061 Aluminim</v>
      </c>
      <c r="I821" t="str">
        <f>IFERROR(__xludf.DUMMYFUNCTION("""COMPUTED_VALUE"""),"Imperial")</f>
        <v>Imperial</v>
      </c>
      <c r="J821" t="str">
        <f>IFERROR(__xludf.DUMMYFUNCTION("""COMPUTED_VALUE"""),"Harrison McCorkle")</f>
        <v>Harrison McCorkle</v>
      </c>
      <c r="K821" s="126">
        <f>IFERROR(__xludf.DUMMYFUNCTION("""COMPUTED_VALUE"""),43374.0)</f>
        <v>43374</v>
      </c>
      <c r="L821" s="120" t="str">
        <f>IFERROR(__xludf.DUMMYFUNCTION("""COMPUTED_VALUE"""),"https://drive.google.com/open?id=1dMxRv4LDiIt-PTQeRwErOfkF98S-5Yd_")</f>
        <v>https://drive.google.com/open?id=1dMxRv4LDiIt-PTQeRwErOfkF98S-5Yd_</v>
      </c>
      <c r="M821" t="str">
        <f>IFERROR(__xludf.DUMMYFUNCTION("""COMPUTED_VALUE"""),"in progress")</f>
        <v>in progress</v>
      </c>
      <c r="N821" t="str">
        <f>IFERROR(__xludf.DUMMYFUNCTION("""COMPUTED_VALUE"""),"")</f>
        <v/>
      </c>
      <c r="O821" t="str">
        <f>IFERROR(__xludf.DUMMYFUNCTION("""COMPUTED_VALUE"""),"")</f>
        <v/>
      </c>
      <c r="P821" t="str">
        <f>IFERROR(__xludf.DUMMYFUNCTION("""COMPUTED_VALUE"""),"")</f>
        <v/>
      </c>
      <c r="Q821" t="str">
        <f>IFERROR(__xludf.DUMMYFUNCTION("""COMPUTED_VALUE"""),"")</f>
        <v/>
      </c>
      <c r="R821" t="str">
        <f>IFERROR(__xludf.DUMMYFUNCTION("""COMPUTED_VALUE"""),"")</f>
        <v/>
      </c>
      <c r="S821" t="str">
        <f>IFERROR(__xludf.DUMMYFUNCTION("""COMPUTED_VALUE"""),"")</f>
        <v/>
      </c>
      <c r="T821" t="str">
        <f>IFERROR(__xludf.DUMMYFUNCTION("""COMPUTED_VALUE"""),"")</f>
        <v/>
      </c>
      <c r="U821" t="str">
        <f>IFERROR(__xludf.DUMMYFUNCTION("""COMPUTED_VALUE"""),"")</f>
        <v/>
      </c>
      <c r="V821" t="str">
        <f>IFERROR(__xludf.DUMMYFUNCTION("""COMPUTED_VALUE"""),"")</f>
        <v/>
      </c>
      <c r="W821" t="str">
        <f>IFERROR(__xludf.DUMMYFUNCTION("""COMPUTED_VALUE"""),"")</f>
        <v/>
      </c>
      <c r="X821" t="str">
        <f>IFERROR(__xludf.DUMMYFUNCTION("""COMPUTED_VALUE"""),"")</f>
        <v/>
      </c>
      <c r="Y821" t="str">
        <f>IFERROR(__xludf.DUMMYFUNCTION("""COMPUTED_VALUE"""),"")</f>
        <v/>
      </c>
      <c r="Z821" t="str">
        <f>IFERROR(__xludf.DUMMYFUNCTION("""COMPUTED_VALUE"""),"")</f>
        <v/>
      </c>
    </row>
    <row r="822">
      <c r="A822" s="119">
        <f>IFERROR(__xludf.DUMMYFUNCTION("""COMPUTED_VALUE"""),14020.0)</f>
        <v>14020</v>
      </c>
      <c r="B822" s="119" t="str">
        <f>IFERROR(__xludf.DUMMYFUNCTION("""COMPUTED_VALUE"""),"R01")</f>
        <v>R01</v>
      </c>
      <c r="C822" t="str">
        <f>IFERROR(__xludf.DUMMYFUNCTION("""COMPUTED_VALUE"""),"Avionics_Mounting_Plate")</f>
        <v>Avionics_Mounting_Plate</v>
      </c>
      <c r="D822" t="str">
        <f>IFERROR(__xludf.DUMMYFUNCTION("""COMPUTED_VALUE"""),"Structures")</f>
        <v>Structures</v>
      </c>
      <c r="E822" t="str">
        <f>IFERROR(__xludf.DUMMYFUNCTION("""COMPUTED_VALUE"""),"Solidworks")</f>
        <v>Solidworks</v>
      </c>
      <c r="F822" t="str">
        <f>IFERROR(__xludf.DUMMYFUNCTION("""COMPUTED_VALUE"""),"Marginal Stability")</f>
        <v>Marginal Stability</v>
      </c>
      <c r="G822" t="str">
        <f>IFERROR(__xludf.DUMMYFUNCTION("""COMPUTED_VALUE"""),"Mounting the flight compuer to the rest of the rocket. Needs to add holes once the flight computer dimensions are known.")</f>
        <v>Mounting the flight compuer to the rest of the rocket. Needs to add holes once the flight computer dimensions are known.</v>
      </c>
      <c r="H822" t="str">
        <f>IFERROR(__xludf.DUMMYFUNCTION("""COMPUTED_VALUE"""),"6061 Aluminim")</f>
        <v>6061 Aluminim</v>
      </c>
      <c r="I822" t="str">
        <f>IFERROR(__xludf.DUMMYFUNCTION("""COMPUTED_VALUE"""),"Imperial")</f>
        <v>Imperial</v>
      </c>
      <c r="J822" t="str">
        <f>IFERROR(__xludf.DUMMYFUNCTION("""COMPUTED_VALUE"""),"Matthew Lok")</f>
        <v>Matthew Lok</v>
      </c>
      <c r="K822" s="127">
        <f>IFERROR(__xludf.DUMMYFUNCTION("""COMPUTED_VALUE"""),43477.0)</f>
        <v>43477</v>
      </c>
      <c r="L822" s="120" t="str">
        <f>IFERROR(__xludf.DUMMYFUNCTION("""COMPUTED_VALUE"""),"https://drive.google.com/open?id=1wQ6QNGc3aF6TLr0OV7clUUrt8Y7wsu_O")</f>
        <v>https://drive.google.com/open?id=1wQ6QNGc3aF6TLr0OV7clUUrt8Y7wsu_O</v>
      </c>
      <c r="M822" t="str">
        <f>IFERROR(__xludf.DUMMYFUNCTION("""COMPUTED_VALUE"""),"in progress")</f>
        <v>in progress</v>
      </c>
      <c r="N822" t="str">
        <f>IFERROR(__xludf.DUMMYFUNCTION("""COMPUTED_VALUE"""),"")</f>
        <v/>
      </c>
      <c r="O822" t="str">
        <f>IFERROR(__xludf.DUMMYFUNCTION("""COMPUTED_VALUE"""),"")</f>
        <v/>
      </c>
      <c r="P822" t="str">
        <f>IFERROR(__xludf.DUMMYFUNCTION("""COMPUTED_VALUE"""),"")</f>
        <v/>
      </c>
      <c r="Q822" t="str">
        <f>IFERROR(__xludf.DUMMYFUNCTION("""COMPUTED_VALUE"""),"")</f>
        <v/>
      </c>
      <c r="R822" t="str">
        <f>IFERROR(__xludf.DUMMYFUNCTION("""COMPUTED_VALUE"""),"")</f>
        <v/>
      </c>
      <c r="S822" t="str">
        <f>IFERROR(__xludf.DUMMYFUNCTION("""COMPUTED_VALUE"""),"")</f>
        <v/>
      </c>
      <c r="T822" t="str">
        <f>IFERROR(__xludf.DUMMYFUNCTION("""COMPUTED_VALUE"""),"")</f>
        <v/>
      </c>
      <c r="U822" t="str">
        <f>IFERROR(__xludf.DUMMYFUNCTION("""COMPUTED_VALUE"""),"")</f>
        <v/>
      </c>
      <c r="V822" t="str">
        <f>IFERROR(__xludf.DUMMYFUNCTION("""COMPUTED_VALUE"""),"")</f>
        <v/>
      </c>
      <c r="W822" t="str">
        <f>IFERROR(__xludf.DUMMYFUNCTION("""COMPUTED_VALUE"""),"")</f>
        <v/>
      </c>
      <c r="X822" t="str">
        <f>IFERROR(__xludf.DUMMYFUNCTION("""COMPUTED_VALUE"""),"")</f>
        <v/>
      </c>
      <c r="Y822" t="str">
        <f>IFERROR(__xludf.DUMMYFUNCTION("""COMPUTED_VALUE"""),"")</f>
        <v/>
      </c>
      <c r="Z822" t="str">
        <f>IFERROR(__xludf.DUMMYFUNCTION("""COMPUTED_VALUE"""),"")</f>
        <v/>
      </c>
    </row>
    <row r="823">
      <c r="A823" s="119">
        <f>IFERROR(__xludf.DUMMYFUNCTION("""COMPUTED_VALUE"""),14021.0)</f>
        <v>14021</v>
      </c>
      <c r="B823" s="119" t="str">
        <f>IFERROR(__xludf.DUMMYFUNCTION("""COMPUTED_VALUE"""),"R03")</f>
        <v>R03</v>
      </c>
      <c r="C823" t="str">
        <f>IFERROR(__xludf.DUMMYFUNCTION("""COMPUTED_VALUE"""),"Avionics_Top_Bulkhead")</f>
        <v>Avionics_Top_Bulkhead</v>
      </c>
      <c r="D823" t="str">
        <f>IFERROR(__xludf.DUMMYFUNCTION("""COMPUTED_VALUE"""),"Structures")</f>
        <v>Structures</v>
      </c>
      <c r="E823" t="str">
        <f>IFERROR(__xludf.DUMMYFUNCTION("""COMPUTED_VALUE"""),"Solidworks")</f>
        <v>Solidworks</v>
      </c>
      <c r="F823" t="str">
        <f>IFERROR(__xludf.DUMMYFUNCTION("""COMPUTED_VALUE"""),"Marginal Stability")</f>
        <v>Marginal Stability</v>
      </c>
      <c r="G823" t="str">
        <f>IFERROR(__xludf.DUMMYFUNCTION("""COMPUTED_VALUE"""),"The upper portion of the avionics bay. Holds the top ends of the threaded rods to the inner airframe.")</f>
        <v>The upper portion of the avionics bay. Holds the top ends of the threaded rods to the inner airframe.</v>
      </c>
      <c r="H823" t="str">
        <f>IFERROR(__xludf.DUMMYFUNCTION("""COMPUTED_VALUE"""),"6061 Aluminim")</f>
        <v>6061 Aluminim</v>
      </c>
      <c r="I823" t="str">
        <f>IFERROR(__xludf.DUMMYFUNCTION("""COMPUTED_VALUE"""),"Imperial")</f>
        <v>Imperial</v>
      </c>
      <c r="J823" t="str">
        <f>IFERROR(__xludf.DUMMYFUNCTION("""COMPUTED_VALUE"""),"Matthew Lok")</f>
        <v>Matthew Lok</v>
      </c>
      <c r="K823" s="126">
        <f>IFERROR(__xludf.DUMMYFUNCTION("""COMPUTED_VALUE"""),43484.0)</f>
        <v>43484</v>
      </c>
      <c r="L823" s="120" t="str">
        <f>IFERROR(__xludf.DUMMYFUNCTION("""COMPUTED_VALUE"""),"https://drive.google.com/open?id=1Yt8We5AuqEkfHsCKhC4wFPUM4i7kgsMQ")</f>
        <v>https://drive.google.com/open?id=1Yt8We5AuqEkfHsCKhC4wFPUM4i7kgsMQ</v>
      </c>
      <c r="M823" t="str">
        <f>IFERROR(__xludf.DUMMYFUNCTION("""COMPUTED_VALUE"""),"in progress")</f>
        <v>in progress</v>
      </c>
      <c r="N823" t="str">
        <f>IFERROR(__xludf.DUMMYFUNCTION("""COMPUTED_VALUE"""),"")</f>
        <v/>
      </c>
      <c r="O823" t="str">
        <f>IFERROR(__xludf.DUMMYFUNCTION("""COMPUTED_VALUE"""),"")</f>
        <v/>
      </c>
      <c r="P823" t="str">
        <f>IFERROR(__xludf.DUMMYFUNCTION("""COMPUTED_VALUE"""),"")</f>
        <v/>
      </c>
      <c r="Q823" t="str">
        <f>IFERROR(__xludf.DUMMYFUNCTION("""COMPUTED_VALUE"""),"")</f>
        <v/>
      </c>
      <c r="R823" t="str">
        <f>IFERROR(__xludf.DUMMYFUNCTION("""COMPUTED_VALUE"""),"")</f>
        <v/>
      </c>
      <c r="S823" t="str">
        <f>IFERROR(__xludf.DUMMYFUNCTION("""COMPUTED_VALUE"""),"")</f>
        <v/>
      </c>
      <c r="T823" t="str">
        <f>IFERROR(__xludf.DUMMYFUNCTION("""COMPUTED_VALUE"""),"")</f>
        <v/>
      </c>
      <c r="U823" t="str">
        <f>IFERROR(__xludf.DUMMYFUNCTION("""COMPUTED_VALUE"""),"")</f>
        <v/>
      </c>
      <c r="V823" t="str">
        <f>IFERROR(__xludf.DUMMYFUNCTION("""COMPUTED_VALUE"""),"")</f>
        <v/>
      </c>
      <c r="W823" t="str">
        <f>IFERROR(__xludf.DUMMYFUNCTION("""COMPUTED_VALUE"""),"")</f>
        <v/>
      </c>
      <c r="X823" t="str">
        <f>IFERROR(__xludf.DUMMYFUNCTION("""COMPUTED_VALUE"""),"")</f>
        <v/>
      </c>
      <c r="Y823" t="str">
        <f>IFERROR(__xludf.DUMMYFUNCTION("""COMPUTED_VALUE"""),"")</f>
        <v/>
      </c>
      <c r="Z823" t="str">
        <f>IFERROR(__xludf.DUMMYFUNCTION("""COMPUTED_VALUE"""),"")</f>
        <v/>
      </c>
    </row>
    <row r="824">
      <c r="A824" s="119">
        <f>IFERROR(__xludf.DUMMYFUNCTION("""COMPUTED_VALUE"""),14022.0)</f>
        <v>14022</v>
      </c>
      <c r="B824" s="119" t="str">
        <f>IFERROR(__xludf.DUMMYFUNCTION("""COMPUTED_VALUE"""),"R04")</f>
        <v>R04</v>
      </c>
      <c r="C824" t="str">
        <f>IFERROR(__xludf.DUMMYFUNCTION("""COMPUTED_VALUE"""),"Recovery_System_Piston_Mount")</f>
        <v>Recovery_System_Piston_Mount</v>
      </c>
      <c r="D824" t="str">
        <f>IFERROR(__xludf.DUMMYFUNCTION("""COMPUTED_VALUE"""),"Structures")</f>
        <v>Structures</v>
      </c>
      <c r="E824" t="str">
        <f>IFERROR(__xludf.DUMMYFUNCTION("""COMPUTED_VALUE"""),"Solidworks")</f>
        <v>Solidworks</v>
      </c>
      <c r="F824" t="str">
        <f>IFERROR(__xludf.DUMMYFUNCTION("""COMPUTED_VALUE"""),"Marginal Stability")</f>
        <v>Marginal Stability</v>
      </c>
      <c r="G824" t="str">
        <f>IFERROR(__xludf.DUMMYFUNCTION("""COMPUTED_VALUE"""),"")</f>
        <v/>
      </c>
      <c r="H824" t="str">
        <f>IFERROR(__xludf.DUMMYFUNCTION("""COMPUTED_VALUE"""),"6061 Aluminum")</f>
        <v>6061 Aluminum</v>
      </c>
      <c r="I824" t="str">
        <f>IFERROR(__xludf.DUMMYFUNCTION("""COMPUTED_VALUE"""),"Imperial")</f>
        <v>Imperial</v>
      </c>
      <c r="J824" t="str">
        <f>IFERROR(__xludf.DUMMYFUNCTION("""COMPUTED_VALUE"""),"Bryce Borders")</f>
        <v>Bryce Borders</v>
      </c>
      <c r="K824" s="126" t="str">
        <f>IFERROR(__xludf.DUMMYFUNCTION("""COMPUTED_VALUE"""),"")</f>
        <v/>
      </c>
      <c r="L824" s="120" t="str">
        <f>IFERROR(__xludf.DUMMYFUNCTION("""COMPUTED_VALUE"""),"https://drive.google.com/open?id=1qdT_caOa0y6n0sPjLHPUt1wFJjw5o9ac")</f>
        <v>https://drive.google.com/open?id=1qdT_caOa0y6n0sPjLHPUt1wFJjw5o9ac</v>
      </c>
      <c r="M824" t="str">
        <f>IFERROR(__xludf.DUMMYFUNCTION("""COMPUTED_VALUE"""),"In Progress")</f>
        <v>In Progress</v>
      </c>
      <c r="N824" t="str">
        <f>IFERROR(__xludf.DUMMYFUNCTION("""COMPUTED_VALUE"""),"")</f>
        <v/>
      </c>
      <c r="O824" t="str">
        <f>IFERROR(__xludf.DUMMYFUNCTION("""COMPUTED_VALUE"""),"")</f>
        <v/>
      </c>
      <c r="P824" t="str">
        <f>IFERROR(__xludf.DUMMYFUNCTION("""COMPUTED_VALUE"""),"")</f>
        <v/>
      </c>
      <c r="Q824" t="str">
        <f>IFERROR(__xludf.DUMMYFUNCTION("""COMPUTED_VALUE"""),"")</f>
        <v/>
      </c>
      <c r="R824" t="str">
        <f>IFERROR(__xludf.DUMMYFUNCTION("""COMPUTED_VALUE"""),"")</f>
        <v/>
      </c>
      <c r="S824" t="str">
        <f>IFERROR(__xludf.DUMMYFUNCTION("""COMPUTED_VALUE"""),"")</f>
        <v/>
      </c>
      <c r="T824" t="str">
        <f>IFERROR(__xludf.DUMMYFUNCTION("""COMPUTED_VALUE"""),"")</f>
        <v/>
      </c>
      <c r="U824" t="str">
        <f>IFERROR(__xludf.DUMMYFUNCTION("""COMPUTED_VALUE"""),"")</f>
        <v/>
      </c>
      <c r="V824" t="str">
        <f>IFERROR(__xludf.DUMMYFUNCTION("""COMPUTED_VALUE"""),"")</f>
        <v/>
      </c>
      <c r="W824" t="str">
        <f>IFERROR(__xludf.DUMMYFUNCTION("""COMPUTED_VALUE"""),"")</f>
        <v/>
      </c>
      <c r="X824" t="str">
        <f>IFERROR(__xludf.DUMMYFUNCTION("""COMPUTED_VALUE"""),"")</f>
        <v/>
      </c>
      <c r="Y824" t="str">
        <f>IFERROR(__xludf.DUMMYFUNCTION("""COMPUTED_VALUE"""),"")</f>
        <v/>
      </c>
      <c r="Z824" t="str">
        <f>IFERROR(__xludf.DUMMYFUNCTION("""COMPUTED_VALUE"""),"")</f>
        <v/>
      </c>
    </row>
    <row r="825">
      <c r="A825" s="119">
        <f>IFERROR(__xludf.DUMMYFUNCTION("""COMPUTED_VALUE"""),14023.0)</f>
        <v>14023</v>
      </c>
      <c r="B825" s="119" t="str">
        <f>IFERROR(__xludf.DUMMYFUNCTION("""COMPUTED_VALUE"""),"R01")</f>
        <v>R01</v>
      </c>
      <c r="C825" t="str">
        <f>IFERROR(__xludf.DUMMYFUNCTION("""COMPUTED_VALUE"""),"Airframe_Sec3")</f>
        <v>Airframe_Sec3</v>
      </c>
      <c r="D825" t="str">
        <f>IFERROR(__xludf.DUMMYFUNCTION("""COMPUTED_VALUE"""),"Structures")</f>
        <v>Structures</v>
      </c>
      <c r="E825" t="str">
        <f>IFERROR(__xludf.DUMMYFUNCTION("""COMPUTED_VALUE"""),"Solidworks")</f>
        <v>Solidworks</v>
      </c>
      <c r="F825" t="str">
        <f>IFERROR(__xludf.DUMMYFUNCTION("""COMPUTED_VALUE"""),"Marginal Stability")</f>
        <v>Marginal Stability</v>
      </c>
      <c r="G825" t="str">
        <f>IFERROR(__xludf.DUMMYFUNCTION("""COMPUTED_VALUE"""),"The third portion of the airframe which contains valves between pressurant and propellant tanks")</f>
        <v>The third portion of the airframe which contains valves between pressurant and propellant tanks</v>
      </c>
      <c r="H825" t="str">
        <f>IFERROR(__xludf.DUMMYFUNCTION("""COMPUTED_VALUE"""),"6062 Aluminum")</f>
        <v>6062 Aluminum</v>
      </c>
      <c r="I825" t="str">
        <f>IFERROR(__xludf.DUMMYFUNCTION("""COMPUTED_VALUE"""),"Imperial")</f>
        <v>Imperial</v>
      </c>
      <c r="J825" t="str">
        <f>IFERROR(__xludf.DUMMYFUNCTION("""COMPUTED_VALUE"""),"Joshua Hedgpeth")</f>
        <v>Joshua Hedgpeth</v>
      </c>
      <c r="K825" s="126">
        <f>IFERROR(__xludf.DUMMYFUNCTION("""COMPUTED_VALUE"""),43487.0)</f>
        <v>43487</v>
      </c>
      <c r="L825" s="120" t="str">
        <f>IFERROR(__xludf.DUMMYFUNCTION("""COMPUTED_VALUE"""),"https://drive.google.com/open?id=1ujAemIINzECzFt_LFTQyfmVpGqOhIBZw")</f>
        <v>https://drive.google.com/open?id=1ujAemIINzECzFt_LFTQyfmVpGqOhIBZw</v>
      </c>
      <c r="M825" t="str">
        <f>IFERROR(__xludf.DUMMYFUNCTION("""COMPUTED_VALUE"""),"In Progress")</f>
        <v>In Progress</v>
      </c>
      <c r="N825" t="str">
        <f>IFERROR(__xludf.DUMMYFUNCTION("""COMPUTED_VALUE"""),"")</f>
        <v/>
      </c>
      <c r="O825" t="str">
        <f>IFERROR(__xludf.DUMMYFUNCTION("""COMPUTED_VALUE"""),"")</f>
        <v/>
      </c>
      <c r="P825" t="str">
        <f>IFERROR(__xludf.DUMMYFUNCTION("""COMPUTED_VALUE"""),"")</f>
        <v/>
      </c>
      <c r="Q825" t="str">
        <f>IFERROR(__xludf.DUMMYFUNCTION("""COMPUTED_VALUE"""),"")</f>
        <v/>
      </c>
      <c r="R825" t="str">
        <f>IFERROR(__xludf.DUMMYFUNCTION("""COMPUTED_VALUE"""),"")</f>
        <v/>
      </c>
      <c r="S825" t="str">
        <f>IFERROR(__xludf.DUMMYFUNCTION("""COMPUTED_VALUE"""),"")</f>
        <v/>
      </c>
      <c r="T825" t="str">
        <f>IFERROR(__xludf.DUMMYFUNCTION("""COMPUTED_VALUE"""),"")</f>
        <v/>
      </c>
      <c r="U825" t="str">
        <f>IFERROR(__xludf.DUMMYFUNCTION("""COMPUTED_VALUE"""),"")</f>
        <v/>
      </c>
      <c r="V825" t="str">
        <f>IFERROR(__xludf.DUMMYFUNCTION("""COMPUTED_VALUE"""),"")</f>
        <v/>
      </c>
      <c r="W825" t="str">
        <f>IFERROR(__xludf.DUMMYFUNCTION("""COMPUTED_VALUE"""),"")</f>
        <v/>
      </c>
      <c r="X825" t="str">
        <f>IFERROR(__xludf.DUMMYFUNCTION("""COMPUTED_VALUE"""),"")</f>
        <v/>
      </c>
      <c r="Y825" t="str">
        <f>IFERROR(__xludf.DUMMYFUNCTION("""COMPUTED_VALUE"""),"")</f>
        <v/>
      </c>
      <c r="Z825" t="str">
        <f>IFERROR(__xludf.DUMMYFUNCTION("""COMPUTED_VALUE"""),"")</f>
        <v/>
      </c>
    </row>
    <row r="826">
      <c r="A826" s="119">
        <f>IFERROR(__xludf.DUMMYFUNCTION("""COMPUTED_VALUE"""),14024.0)</f>
        <v>14024</v>
      </c>
      <c r="B826" s="119" t="str">
        <f>IFERROR(__xludf.DUMMYFUNCTION("""COMPUTED_VALUE"""),"R01")</f>
        <v>R01</v>
      </c>
      <c r="C826" t="str">
        <f>IFERROR(__xludf.DUMMYFUNCTION("""COMPUTED_VALUE"""),"Airframe_Sec4")</f>
        <v>Airframe_Sec4</v>
      </c>
      <c r="D826" t="str">
        <f>IFERROR(__xludf.DUMMYFUNCTION("""COMPUTED_VALUE"""),"Structures")</f>
        <v>Structures</v>
      </c>
      <c r="E826" t="str">
        <f>IFERROR(__xludf.DUMMYFUNCTION("""COMPUTED_VALUE"""),"Solidworks")</f>
        <v>Solidworks</v>
      </c>
      <c r="F826" t="str">
        <f>IFERROR(__xludf.DUMMYFUNCTION("""COMPUTED_VALUE"""),"Marginal Stability")</f>
        <v>Marginal Stability</v>
      </c>
      <c r="G826" t="str">
        <f>IFERROR(__xludf.DUMMYFUNCTION("""COMPUTED_VALUE"""),"")</f>
        <v/>
      </c>
      <c r="H826" t="str">
        <f>IFERROR(__xludf.DUMMYFUNCTION("""COMPUTED_VALUE"""),"6063 Aluminum")</f>
        <v>6063 Aluminum</v>
      </c>
      <c r="I826" t="str">
        <f>IFERROR(__xludf.DUMMYFUNCTION("""COMPUTED_VALUE"""),"Imperial")</f>
        <v>Imperial</v>
      </c>
      <c r="J826" t="str">
        <f>IFERROR(__xludf.DUMMYFUNCTION("""COMPUTED_VALUE"""),"Joshua Hedgpeth")</f>
        <v>Joshua Hedgpeth</v>
      </c>
      <c r="K826" s="126">
        <f>IFERROR(__xludf.DUMMYFUNCTION("""COMPUTED_VALUE"""),43487.0)</f>
        <v>43487</v>
      </c>
      <c r="L826" s="120" t="str">
        <f>IFERROR(__xludf.DUMMYFUNCTION("""COMPUTED_VALUE"""),"https://drive.google.com/open?id=1DRQhhhnzR5LnwcEB2IHFdLF-r5a7Icb3")</f>
        <v>https://drive.google.com/open?id=1DRQhhhnzR5LnwcEB2IHFdLF-r5a7Icb3</v>
      </c>
      <c r="M826" t="str">
        <f>IFERROR(__xludf.DUMMYFUNCTION("""COMPUTED_VALUE"""),"In Progress")</f>
        <v>In Progress</v>
      </c>
      <c r="N826" t="str">
        <f>IFERROR(__xludf.DUMMYFUNCTION("""COMPUTED_VALUE"""),"")</f>
        <v/>
      </c>
      <c r="O826" t="str">
        <f>IFERROR(__xludf.DUMMYFUNCTION("""COMPUTED_VALUE"""),"")</f>
        <v/>
      </c>
      <c r="P826" t="str">
        <f>IFERROR(__xludf.DUMMYFUNCTION("""COMPUTED_VALUE"""),"")</f>
        <v/>
      </c>
      <c r="Q826" t="str">
        <f>IFERROR(__xludf.DUMMYFUNCTION("""COMPUTED_VALUE"""),"")</f>
        <v/>
      </c>
      <c r="R826" t="str">
        <f>IFERROR(__xludf.DUMMYFUNCTION("""COMPUTED_VALUE"""),"")</f>
        <v/>
      </c>
      <c r="S826" t="str">
        <f>IFERROR(__xludf.DUMMYFUNCTION("""COMPUTED_VALUE"""),"")</f>
        <v/>
      </c>
      <c r="T826" t="str">
        <f>IFERROR(__xludf.DUMMYFUNCTION("""COMPUTED_VALUE"""),"")</f>
        <v/>
      </c>
      <c r="U826" t="str">
        <f>IFERROR(__xludf.DUMMYFUNCTION("""COMPUTED_VALUE"""),"")</f>
        <v/>
      </c>
      <c r="V826" t="str">
        <f>IFERROR(__xludf.DUMMYFUNCTION("""COMPUTED_VALUE"""),"")</f>
        <v/>
      </c>
      <c r="W826" t="str">
        <f>IFERROR(__xludf.DUMMYFUNCTION("""COMPUTED_VALUE"""),"")</f>
        <v/>
      </c>
      <c r="X826" t="str">
        <f>IFERROR(__xludf.DUMMYFUNCTION("""COMPUTED_VALUE"""),"")</f>
        <v/>
      </c>
      <c r="Y826" t="str">
        <f>IFERROR(__xludf.DUMMYFUNCTION("""COMPUTED_VALUE"""),"")</f>
        <v/>
      </c>
      <c r="Z826" t="str">
        <f>IFERROR(__xludf.DUMMYFUNCTION("""COMPUTED_VALUE"""),"")</f>
        <v/>
      </c>
    </row>
    <row r="827">
      <c r="A827" s="119">
        <f>IFERROR(__xludf.DUMMYFUNCTION("""COMPUTED_VALUE"""),14025.0)</f>
        <v>14025</v>
      </c>
      <c r="B827" s="119" t="str">
        <f>IFERROR(__xludf.DUMMYFUNCTION("""COMPUTED_VALUE"""),"R01")</f>
        <v>R01</v>
      </c>
      <c r="C827" t="str">
        <f>IFERROR(__xludf.DUMMYFUNCTION("""COMPUTED_VALUE"""),"REDUNDANCY_MOTOR_WHEEL")</f>
        <v>REDUNDANCY_MOTOR_WHEEL</v>
      </c>
      <c r="D827" t="str">
        <f>IFERROR(__xludf.DUMMYFUNCTION("""COMPUTED_VALUE"""),"Structures")</f>
        <v>Structures</v>
      </c>
      <c r="E827" t="str">
        <f>IFERROR(__xludf.DUMMYFUNCTION("""COMPUTED_VALUE"""),"Solidworks")</f>
        <v>Solidworks</v>
      </c>
      <c r="F827" t="str">
        <f>IFERROR(__xludf.DUMMYFUNCTION("""COMPUTED_VALUE"""),"Marginal Stability")</f>
        <v>Marginal Stability</v>
      </c>
      <c r="G827" t="str">
        <f>IFERROR(__xludf.DUMMYFUNCTION("""COMPUTED_VALUE"""),"")</f>
        <v/>
      </c>
      <c r="H827" t="str">
        <f>IFERROR(__xludf.DUMMYFUNCTION("""COMPUTED_VALUE"""),"")</f>
        <v/>
      </c>
      <c r="I827" t="str">
        <f>IFERROR(__xludf.DUMMYFUNCTION("""COMPUTED_VALUE"""),"")</f>
        <v/>
      </c>
      <c r="J827" t="str">
        <f>IFERROR(__xludf.DUMMYFUNCTION("""COMPUTED_VALUE"""),"")</f>
        <v/>
      </c>
      <c r="K827" s="126" t="str">
        <f>IFERROR(__xludf.DUMMYFUNCTION("""COMPUTED_VALUE"""),"")</f>
        <v/>
      </c>
      <c r="L827" t="str">
        <f>IFERROR(__xludf.DUMMYFUNCTION("""COMPUTED_VALUE"""),"")</f>
        <v/>
      </c>
      <c r="M827" t="str">
        <f>IFERROR(__xludf.DUMMYFUNCTION("""COMPUTED_VALUE"""),"")</f>
        <v/>
      </c>
      <c r="N827" t="str">
        <f>IFERROR(__xludf.DUMMYFUNCTION("""COMPUTED_VALUE"""),"")</f>
        <v/>
      </c>
      <c r="O827" t="str">
        <f>IFERROR(__xludf.DUMMYFUNCTION("""COMPUTED_VALUE"""),"")</f>
        <v/>
      </c>
      <c r="P827" t="str">
        <f>IFERROR(__xludf.DUMMYFUNCTION("""COMPUTED_VALUE"""),"")</f>
        <v/>
      </c>
      <c r="Q827" t="str">
        <f>IFERROR(__xludf.DUMMYFUNCTION("""COMPUTED_VALUE"""),"")</f>
        <v/>
      </c>
      <c r="R827" t="str">
        <f>IFERROR(__xludf.DUMMYFUNCTION("""COMPUTED_VALUE"""),"")</f>
        <v/>
      </c>
      <c r="S827" t="str">
        <f>IFERROR(__xludf.DUMMYFUNCTION("""COMPUTED_VALUE"""),"")</f>
        <v/>
      </c>
      <c r="T827" t="str">
        <f>IFERROR(__xludf.DUMMYFUNCTION("""COMPUTED_VALUE"""),"")</f>
        <v/>
      </c>
      <c r="U827" t="str">
        <f>IFERROR(__xludf.DUMMYFUNCTION("""COMPUTED_VALUE"""),"")</f>
        <v/>
      </c>
      <c r="V827" t="str">
        <f>IFERROR(__xludf.DUMMYFUNCTION("""COMPUTED_VALUE"""),"")</f>
        <v/>
      </c>
      <c r="W827" t="str">
        <f>IFERROR(__xludf.DUMMYFUNCTION("""COMPUTED_VALUE"""),"")</f>
        <v/>
      </c>
      <c r="X827" t="str">
        <f>IFERROR(__xludf.DUMMYFUNCTION("""COMPUTED_VALUE"""),"")</f>
        <v/>
      </c>
      <c r="Y827" t="str">
        <f>IFERROR(__xludf.DUMMYFUNCTION("""COMPUTED_VALUE"""),"")</f>
        <v/>
      </c>
      <c r="Z827" t="str">
        <f>IFERROR(__xludf.DUMMYFUNCTION("""COMPUTED_VALUE"""),"")</f>
        <v/>
      </c>
    </row>
    <row r="828">
      <c r="A828" s="119">
        <f>IFERROR(__xludf.DUMMYFUNCTION("""COMPUTED_VALUE"""),14026.0)</f>
        <v>14026</v>
      </c>
      <c r="B828" s="119" t="str">
        <f>IFERROR(__xludf.DUMMYFUNCTION("""COMPUTED_VALUE"""),"R05")</f>
        <v>R05</v>
      </c>
      <c r="C828" t="str">
        <f>IFERROR(__xludf.DUMMYFUNCTION("""COMPUTED_VALUE"""),"Lower Avionics Midsection")</f>
        <v>Lower Avionics Midsection</v>
      </c>
      <c r="D828" t="str">
        <f>IFERROR(__xludf.DUMMYFUNCTION("""COMPUTED_VALUE"""),"Structures")</f>
        <v>Structures</v>
      </c>
      <c r="E828" t="str">
        <f>IFERROR(__xludf.DUMMYFUNCTION("""COMPUTED_VALUE"""),"Solidworks")</f>
        <v>Solidworks</v>
      </c>
      <c r="F828" t="str">
        <f>IFERROR(__xludf.DUMMYFUNCTION("""COMPUTED_VALUE"""),"Marginal Stability")</f>
        <v>Marginal Stability</v>
      </c>
      <c r="G828" t="str">
        <f>IFERROR(__xludf.DUMMYFUNCTION("""COMPUTED_VALUE"""),"Holds the lower half of the avionics.")</f>
        <v>Holds the lower half of the avionics.</v>
      </c>
      <c r="H828" t="str">
        <f>IFERROR(__xludf.DUMMYFUNCTION("""COMPUTED_VALUE"""),"6061 Aluminum")</f>
        <v>6061 Aluminum</v>
      </c>
      <c r="I828" t="str">
        <f>IFERROR(__xludf.DUMMYFUNCTION("""COMPUTED_VALUE"""),"Imperial")</f>
        <v>Imperial</v>
      </c>
      <c r="J828" t="str">
        <f>IFERROR(__xludf.DUMMYFUNCTION("""COMPUTED_VALUE"""),"Matthew Lok")</f>
        <v>Matthew Lok</v>
      </c>
      <c r="K828" s="49">
        <f>IFERROR(__xludf.DUMMYFUNCTION("""COMPUTED_VALUE"""),43491.0)</f>
        <v>43491</v>
      </c>
      <c r="L828" s="120" t="str">
        <f>IFERROR(__xludf.DUMMYFUNCTION("""COMPUTED_VALUE"""),"https://drive.google.com/open?id=1BEZbacNmk1kxfq07X5LI4xZkVL6J9RyX")</f>
        <v>https://drive.google.com/open?id=1BEZbacNmk1kxfq07X5LI4xZkVL6J9RyX</v>
      </c>
      <c r="M828" t="str">
        <f>IFERROR(__xludf.DUMMYFUNCTION("""COMPUTED_VALUE"""),"In Progress")</f>
        <v>In Progress</v>
      </c>
      <c r="N828" t="str">
        <f>IFERROR(__xludf.DUMMYFUNCTION("""COMPUTED_VALUE"""),"")</f>
        <v/>
      </c>
      <c r="O828" t="str">
        <f>IFERROR(__xludf.DUMMYFUNCTION("""COMPUTED_VALUE"""),"")</f>
        <v/>
      </c>
      <c r="P828" t="str">
        <f>IFERROR(__xludf.DUMMYFUNCTION("""COMPUTED_VALUE"""),"")</f>
        <v/>
      </c>
      <c r="Q828" t="str">
        <f>IFERROR(__xludf.DUMMYFUNCTION("""COMPUTED_VALUE"""),"")</f>
        <v/>
      </c>
      <c r="R828" t="str">
        <f>IFERROR(__xludf.DUMMYFUNCTION("""COMPUTED_VALUE"""),"")</f>
        <v/>
      </c>
      <c r="S828" t="str">
        <f>IFERROR(__xludf.DUMMYFUNCTION("""COMPUTED_VALUE"""),"")</f>
        <v/>
      </c>
      <c r="T828" t="str">
        <f>IFERROR(__xludf.DUMMYFUNCTION("""COMPUTED_VALUE"""),"")</f>
        <v/>
      </c>
      <c r="U828" t="str">
        <f>IFERROR(__xludf.DUMMYFUNCTION("""COMPUTED_VALUE"""),"")</f>
        <v/>
      </c>
      <c r="V828" t="str">
        <f>IFERROR(__xludf.DUMMYFUNCTION("""COMPUTED_VALUE"""),"")</f>
        <v/>
      </c>
      <c r="W828" t="str">
        <f>IFERROR(__xludf.DUMMYFUNCTION("""COMPUTED_VALUE"""),"")</f>
        <v/>
      </c>
      <c r="X828" t="str">
        <f>IFERROR(__xludf.DUMMYFUNCTION("""COMPUTED_VALUE"""),"")</f>
        <v/>
      </c>
      <c r="Y828" t="str">
        <f>IFERROR(__xludf.DUMMYFUNCTION("""COMPUTED_VALUE"""),"")</f>
        <v/>
      </c>
      <c r="Z828" t="str">
        <f>IFERROR(__xludf.DUMMYFUNCTION("""COMPUTED_VALUE"""),"")</f>
        <v/>
      </c>
    </row>
    <row r="829">
      <c r="A829" s="119">
        <f>IFERROR(__xludf.DUMMYFUNCTION("""COMPUTED_VALUE"""),14029.0)</f>
        <v>14029</v>
      </c>
      <c r="B829" s="119" t="str">
        <f>IFERROR(__xludf.DUMMYFUNCTION("""COMPUTED_VALUE"""),"R04")</f>
        <v>R04</v>
      </c>
      <c r="C829" t="str">
        <f>IFERROR(__xludf.DUMMYFUNCTION("""COMPUTED_VALUE"""),"Lower Avionics End")</f>
        <v>Lower Avionics End</v>
      </c>
      <c r="D829" t="str">
        <f>IFERROR(__xludf.DUMMYFUNCTION("""COMPUTED_VALUE"""),"Structures")</f>
        <v>Structures</v>
      </c>
      <c r="E829" t="str">
        <f>IFERROR(__xludf.DUMMYFUNCTION("""COMPUTED_VALUE"""),"Solidworks")</f>
        <v>Solidworks</v>
      </c>
      <c r="F829" t="str">
        <f>IFERROR(__xludf.DUMMYFUNCTION("""COMPUTED_VALUE"""),"Marginal Stability")</f>
        <v>Marginal Stability</v>
      </c>
      <c r="G829" t="str">
        <f>IFERROR(__xludf.DUMMYFUNCTION("""COMPUTED_VALUE"""),"Seals the lower avionics bay.")</f>
        <v>Seals the lower avionics bay.</v>
      </c>
      <c r="H829" t="str">
        <f>IFERROR(__xludf.DUMMYFUNCTION("""COMPUTED_VALUE"""),"6061 Aluminum")</f>
        <v>6061 Aluminum</v>
      </c>
      <c r="I829" t="str">
        <f>IFERROR(__xludf.DUMMYFUNCTION("""COMPUTED_VALUE"""),"Imperial")</f>
        <v>Imperial</v>
      </c>
      <c r="J829" t="str">
        <f>IFERROR(__xludf.DUMMYFUNCTION("""COMPUTED_VALUE"""),"Matthew Lok")</f>
        <v>Matthew Lok</v>
      </c>
      <c r="K829" s="49">
        <f>IFERROR(__xludf.DUMMYFUNCTION("""COMPUTED_VALUE"""),43491.0)</f>
        <v>43491</v>
      </c>
      <c r="L829" s="120" t="str">
        <f>IFERROR(__xludf.DUMMYFUNCTION("""COMPUTED_VALUE"""),"https://drive.google.com/open?id=18d2nxDvJnaZDY9FwbpWgSM9hAKzaoeS4")</f>
        <v>https://drive.google.com/open?id=18d2nxDvJnaZDY9FwbpWgSM9hAKzaoeS4</v>
      </c>
      <c r="M829" t="str">
        <f>IFERROR(__xludf.DUMMYFUNCTION("""COMPUTED_VALUE"""),"In Progress")</f>
        <v>In Progress</v>
      </c>
      <c r="N829" t="str">
        <f>IFERROR(__xludf.DUMMYFUNCTION("""COMPUTED_VALUE"""),"")</f>
        <v/>
      </c>
      <c r="O829" t="str">
        <f>IFERROR(__xludf.DUMMYFUNCTION("""COMPUTED_VALUE"""),"")</f>
        <v/>
      </c>
      <c r="P829" t="str">
        <f>IFERROR(__xludf.DUMMYFUNCTION("""COMPUTED_VALUE"""),"")</f>
        <v/>
      </c>
      <c r="Q829" t="str">
        <f>IFERROR(__xludf.DUMMYFUNCTION("""COMPUTED_VALUE"""),"")</f>
        <v/>
      </c>
      <c r="R829" t="str">
        <f>IFERROR(__xludf.DUMMYFUNCTION("""COMPUTED_VALUE"""),"")</f>
        <v/>
      </c>
      <c r="S829" t="str">
        <f>IFERROR(__xludf.DUMMYFUNCTION("""COMPUTED_VALUE"""),"")</f>
        <v/>
      </c>
      <c r="T829" t="str">
        <f>IFERROR(__xludf.DUMMYFUNCTION("""COMPUTED_VALUE"""),"")</f>
        <v/>
      </c>
      <c r="U829" t="str">
        <f>IFERROR(__xludf.DUMMYFUNCTION("""COMPUTED_VALUE"""),"")</f>
        <v/>
      </c>
      <c r="V829" t="str">
        <f>IFERROR(__xludf.DUMMYFUNCTION("""COMPUTED_VALUE"""),"")</f>
        <v/>
      </c>
      <c r="W829" t="str">
        <f>IFERROR(__xludf.DUMMYFUNCTION("""COMPUTED_VALUE"""),"")</f>
        <v/>
      </c>
      <c r="X829" t="str">
        <f>IFERROR(__xludf.DUMMYFUNCTION("""COMPUTED_VALUE"""),"")</f>
        <v/>
      </c>
      <c r="Y829" t="str">
        <f>IFERROR(__xludf.DUMMYFUNCTION("""COMPUTED_VALUE"""),"")</f>
        <v/>
      </c>
      <c r="Z829" t="str">
        <f>IFERROR(__xludf.DUMMYFUNCTION("""COMPUTED_VALUE"""),"")</f>
        <v/>
      </c>
    </row>
    <row r="830">
      <c r="A830" s="119">
        <f>IFERROR(__xludf.DUMMYFUNCTION("""COMPUTED_VALUE"""),14030.0)</f>
        <v>14030</v>
      </c>
      <c r="B830" s="119" t="str">
        <f>IFERROR(__xludf.DUMMYFUNCTION("""COMPUTED_VALUE"""),"R03")</f>
        <v>R03</v>
      </c>
      <c r="C830" t="str">
        <f>IFERROR(__xludf.DUMMYFUNCTION("""COMPUTED_VALUE"""),"Lower Avionics Lid")</f>
        <v>Lower Avionics Lid</v>
      </c>
      <c r="D830" t="str">
        <f>IFERROR(__xludf.DUMMYFUNCTION("""COMPUTED_VALUE"""),"Structures")</f>
        <v>Structures</v>
      </c>
      <c r="E830" t="str">
        <f>IFERROR(__xludf.DUMMYFUNCTION("""COMPUTED_VALUE"""),"Solidworks")</f>
        <v>Solidworks</v>
      </c>
      <c r="F830" t="str">
        <f>IFERROR(__xludf.DUMMYFUNCTION("""COMPUTED_VALUE"""),"Marginal Stability")</f>
        <v>Marginal Stability</v>
      </c>
      <c r="G830" t="str">
        <f>IFERROR(__xludf.DUMMYFUNCTION("""COMPUTED_VALUE"""),"Seals the lower avionics bay, allows wires to enter and exit.")</f>
        <v>Seals the lower avionics bay, allows wires to enter and exit.</v>
      </c>
      <c r="H830" t="str">
        <f>IFERROR(__xludf.DUMMYFUNCTION("""COMPUTED_VALUE"""),"6061 Aluminum")</f>
        <v>6061 Aluminum</v>
      </c>
      <c r="I830" t="str">
        <f>IFERROR(__xludf.DUMMYFUNCTION("""COMPUTED_VALUE"""),"Imperial")</f>
        <v>Imperial</v>
      </c>
      <c r="J830" t="str">
        <f>IFERROR(__xludf.DUMMYFUNCTION("""COMPUTED_VALUE"""),"Matthew Lok")</f>
        <v>Matthew Lok</v>
      </c>
      <c r="K830" s="49">
        <f>IFERROR(__xludf.DUMMYFUNCTION("""COMPUTED_VALUE"""),43491.0)</f>
        <v>43491</v>
      </c>
      <c r="L830" s="120" t="str">
        <f>IFERROR(__xludf.DUMMYFUNCTION("""COMPUTED_VALUE"""),"https://drive.google.com/open?id=1u3Qeqo5i97_3e2TVO8i2h7tVJLr7NgSk")</f>
        <v>https://drive.google.com/open?id=1u3Qeqo5i97_3e2TVO8i2h7tVJLr7NgSk</v>
      </c>
      <c r="M830" t="str">
        <f>IFERROR(__xludf.DUMMYFUNCTION("""COMPUTED_VALUE"""),"In Progress")</f>
        <v>In Progress</v>
      </c>
      <c r="N830" t="str">
        <f>IFERROR(__xludf.DUMMYFUNCTION("""COMPUTED_VALUE"""),"")</f>
        <v/>
      </c>
      <c r="O830" t="str">
        <f>IFERROR(__xludf.DUMMYFUNCTION("""COMPUTED_VALUE"""),"")</f>
        <v/>
      </c>
      <c r="P830" t="str">
        <f>IFERROR(__xludf.DUMMYFUNCTION("""COMPUTED_VALUE"""),"")</f>
        <v/>
      </c>
      <c r="Q830" t="str">
        <f>IFERROR(__xludf.DUMMYFUNCTION("""COMPUTED_VALUE"""),"")</f>
        <v/>
      </c>
      <c r="R830" t="str">
        <f>IFERROR(__xludf.DUMMYFUNCTION("""COMPUTED_VALUE"""),"")</f>
        <v/>
      </c>
      <c r="S830" t="str">
        <f>IFERROR(__xludf.DUMMYFUNCTION("""COMPUTED_VALUE"""),"")</f>
        <v/>
      </c>
      <c r="T830" t="str">
        <f>IFERROR(__xludf.DUMMYFUNCTION("""COMPUTED_VALUE"""),"")</f>
        <v/>
      </c>
      <c r="U830" t="str">
        <f>IFERROR(__xludf.DUMMYFUNCTION("""COMPUTED_VALUE"""),"")</f>
        <v/>
      </c>
      <c r="V830" t="str">
        <f>IFERROR(__xludf.DUMMYFUNCTION("""COMPUTED_VALUE"""),"")</f>
        <v/>
      </c>
      <c r="W830" t="str">
        <f>IFERROR(__xludf.DUMMYFUNCTION("""COMPUTED_VALUE"""),"")</f>
        <v/>
      </c>
      <c r="X830" t="str">
        <f>IFERROR(__xludf.DUMMYFUNCTION("""COMPUTED_VALUE"""),"")</f>
        <v/>
      </c>
      <c r="Y830" t="str">
        <f>IFERROR(__xludf.DUMMYFUNCTION("""COMPUTED_VALUE"""),"")</f>
        <v/>
      </c>
      <c r="Z830" t="str">
        <f>IFERROR(__xludf.DUMMYFUNCTION("""COMPUTED_VALUE"""),"")</f>
        <v/>
      </c>
    </row>
    <row r="831">
      <c r="A831" s="119">
        <f>IFERROR(__xludf.DUMMYFUNCTION("""COMPUTED_VALUE"""),14031.0)</f>
        <v>14031</v>
      </c>
      <c r="B831" s="119" t="str">
        <f>IFERROR(__xludf.DUMMYFUNCTION("""COMPUTED_VALUE"""),"R01")</f>
        <v>R01</v>
      </c>
      <c r="C831" t="str">
        <f>IFERROR(__xludf.DUMMYFUNCTION("""COMPUTED_VALUE"""),"Launch Lug Face")</f>
        <v>Launch Lug Face</v>
      </c>
      <c r="D831" t="str">
        <f>IFERROR(__xludf.DUMMYFUNCTION("""COMPUTED_VALUE"""),"Structures")</f>
        <v>Structures</v>
      </c>
      <c r="E831" t="str">
        <f>IFERROR(__xludf.DUMMYFUNCTION("""COMPUTED_VALUE"""),"Solidworks")</f>
        <v>Solidworks</v>
      </c>
      <c r="F831" t="str">
        <f>IFERROR(__xludf.DUMMYFUNCTION("""COMPUTED_VALUE"""),"Marginal Stability")</f>
        <v>Marginal Stability</v>
      </c>
      <c r="G831" t="str">
        <f>IFERROR(__xludf.DUMMYFUNCTION("""COMPUTED_VALUE"""),"Center Part of the Launch Lug")</f>
        <v>Center Part of the Launch Lug</v>
      </c>
      <c r="H831" t="str">
        <f>IFERROR(__xludf.DUMMYFUNCTION("""COMPUTED_VALUE"""),"6062 Aluminum")</f>
        <v>6062 Aluminum</v>
      </c>
      <c r="I831" t="str">
        <f>IFERROR(__xludf.DUMMYFUNCTION("""COMPUTED_VALUE"""),"Imperial")</f>
        <v>Imperial</v>
      </c>
      <c r="J831" t="str">
        <f>IFERROR(__xludf.DUMMYFUNCTION("""COMPUTED_VALUE"""),"Andre Shahinian")</f>
        <v>Andre Shahinian</v>
      </c>
      <c r="K831" s="49">
        <f>IFERROR(__xludf.DUMMYFUNCTION("""COMPUTED_VALUE"""),43500.0)</f>
        <v>43500</v>
      </c>
      <c r="L831" s="120" t="str">
        <f>IFERROR(__xludf.DUMMYFUNCTION("""COMPUTED_VALUE"""),"https://drive.google.com/open?id=1uEVOY-WevWrcxvUoJ1uclQ2g_78pwk0V")</f>
        <v>https://drive.google.com/open?id=1uEVOY-WevWrcxvUoJ1uclQ2g_78pwk0V</v>
      </c>
      <c r="M831" t="str">
        <f>IFERROR(__xludf.DUMMYFUNCTION("""COMPUTED_VALUE"""),"In Progress")</f>
        <v>In Progress</v>
      </c>
      <c r="N831" t="str">
        <f>IFERROR(__xludf.DUMMYFUNCTION("""COMPUTED_VALUE"""),"")</f>
        <v/>
      </c>
      <c r="O831" t="str">
        <f>IFERROR(__xludf.DUMMYFUNCTION("""COMPUTED_VALUE"""),"")</f>
        <v/>
      </c>
      <c r="P831" t="str">
        <f>IFERROR(__xludf.DUMMYFUNCTION("""COMPUTED_VALUE"""),"")</f>
        <v/>
      </c>
      <c r="Q831" t="str">
        <f>IFERROR(__xludf.DUMMYFUNCTION("""COMPUTED_VALUE"""),"")</f>
        <v/>
      </c>
      <c r="R831" t="str">
        <f>IFERROR(__xludf.DUMMYFUNCTION("""COMPUTED_VALUE"""),"")</f>
        <v/>
      </c>
      <c r="S831" t="str">
        <f>IFERROR(__xludf.DUMMYFUNCTION("""COMPUTED_VALUE"""),"")</f>
        <v/>
      </c>
      <c r="T831" t="str">
        <f>IFERROR(__xludf.DUMMYFUNCTION("""COMPUTED_VALUE"""),"")</f>
        <v/>
      </c>
      <c r="U831" t="str">
        <f>IFERROR(__xludf.DUMMYFUNCTION("""COMPUTED_VALUE"""),"")</f>
        <v/>
      </c>
      <c r="V831" t="str">
        <f>IFERROR(__xludf.DUMMYFUNCTION("""COMPUTED_VALUE"""),"")</f>
        <v/>
      </c>
      <c r="W831" t="str">
        <f>IFERROR(__xludf.DUMMYFUNCTION("""COMPUTED_VALUE"""),"")</f>
        <v/>
      </c>
      <c r="X831" t="str">
        <f>IFERROR(__xludf.DUMMYFUNCTION("""COMPUTED_VALUE"""),"")</f>
        <v/>
      </c>
      <c r="Y831" t="str">
        <f>IFERROR(__xludf.DUMMYFUNCTION("""COMPUTED_VALUE"""),"")</f>
        <v/>
      </c>
      <c r="Z831" t="str">
        <f>IFERROR(__xludf.DUMMYFUNCTION("""COMPUTED_VALUE"""),"")</f>
        <v/>
      </c>
    </row>
    <row r="832">
      <c r="A832" s="119">
        <f>IFERROR(__xludf.DUMMYFUNCTION("""COMPUTED_VALUE"""),14032.0)</f>
        <v>14032</v>
      </c>
      <c r="B832" s="119" t="str">
        <f>IFERROR(__xludf.DUMMYFUNCTION("""COMPUTED_VALUE"""),"R01")</f>
        <v>R01</v>
      </c>
      <c r="C832" t="str">
        <f>IFERROR(__xludf.DUMMYFUNCTION("""COMPUTED_VALUE"""),"Redundancy Pulley")</f>
        <v>Redundancy Pulley</v>
      </c>
      <c r="D832" t="str">
        <f>IFERROR(__xludf.DUMMYFUNCTION("""COMPUTED_VALUE"""),"Structures")</f>
        <v>Structures</v>
      </c>
      <c r="E832" t="str">
        <f>IFERROR(__xludf.DUMMYFUNCTION("""COMPUTED_VALUE"""),"Solidworks")</f>
        <v>Solidworks</v>
      </c>
      <c r="F832" t="str">
        <f>IFERROR(__xludf.DUMMYFUNCTION("""COMPUTED_VALUE"""),"Marginal Stability")</f>
        <v>Marginal Stability</v>
      </c>
      <c r="G832" t="str">
        <f>IFERROR(__xludf.DUMMYFUNCTION("""COMPUTED_VALUE"""),"Redirects force to pull upwards on Recovery Ejectio Plate as a redundancy")</f>
        <v>Redirects force to pull upwards on Recovery Ejectio Plate as a redundancy</v>
      </c>
      <c r="H832" t="str">
        <f>IFERROR(__xludf.DUMMYFUNCTION("""COMPUTED_VALUE"""),"6061 Aluminium")</f>
        <v>6061 Aluminium</v>
      </c>
      <c r="I832" t="str">
        <f>IFERROR(__xludf.DUMMYFUNCTION("""COMPUTED_VALUE"""),"Imperial")</f>
        <v>Imperial</v>
      </c>
      <c r="J832" t="str">
        <f>IFERROR(__xludf.DUMMYFUNCTION("""COMPUTED_VALUE"""),"Bryce Borders")</f>
        <v>Bryce Borders</v>
      </c>
      <c r="K832" s="49">
        <f>IFERROR(__xludf.DUMMYFUNCTION("""COMPUTED_VALUE"""),43496.0)</f>
        <v>43496</v>
      </c>
      <c r="L832" s="120" t="str">
        <f>IFERROR(__xludf.DUMMYFUNCTION("""COMPUTED_VALUE"""),"https://drive.google.com/drive/folders/1pEUuzC4hwV5AJEftRQrDAZ70En_CcXPE")</f>
        <v>https://drive.google.com/drive/folders/1pEUuzC4hwV5AJEftRQrDAZ70En_CcXPE</v>
      </c>
      <c r="M832" t="str">
        <f>IFERROR(__xludf.DUMMYFUNCTION("""COMPUTED_VALUE"""),"In Progress")</f>
        <v>In Progress</v>
      </c>
      <c r="N832" t="str">
        <f>IFERROR(__xludf.DUMMYFUNCTION("""COMPUTED_VALUE"""),"")</f>
        <v/>
      </c>
      <c r="O832" t="str">
        <f>IFERROR(__xludf.DUMMYFUNCTION("""COMPUTED_VALUE"""),"")</f>
        <v/>
      </c>
      <c r="P832" t="str">
        <f>IFERROR(__xludf.DUMMYFUNCTION("""COMPUTED_VALUE"""),"")</f>
        <v/>
      </c>
      <c r="Q832" t="str">
        <f>IFERROR(__xludf.DUMMYFUNCTION("""COMPUTED_VALUE"""),"")</f>
        <v/>
      </c>
      <c r="R832" t="str">
        <f>IFERROR(__xludf.DUMMYFUNCTION("""COMPUTED_VALUE"""),"")</f>
        <v/>
      </c>
      <c r="S832" t="str">
        <f>IFERROR(__xludf.DUMMYFUNCTION("""COMPUTED_VALUE"""),"")</f>
        <v/>
      </c>
      <c r="T832" t="str">
        <f>IFERROR(__xludf.DUMMYFUNCTION("""COMPUTED_VALUE"""),"")</f>
        <v/>
      </c>
      <c r="U832" t="str">
        <f>IFERROR(__xludf.DUMMYFUNCTION("""COMPUTED_VALUE"""),"")</f>
        <v/>
      </c>
      <c r="V832" t="str">
        <f>IFERROR(__xludf.DUMMYFUNCTION("""COMPUTED_VALUE"""),"")</f>
        <v/>
      </c>
      <c r="W832" t="str">
        <f>IFERROR(__xludf.DUMMYFUNCTION("""COMPUTED_VALUE"""),"")</f>
        <v/>
      </c>
      <c r="X832" t="str">
        <f>IFERROR(__xludf.DUMMYFUNCTION("""COMPUTED_VALUE"""),"")</f>
        <v/>
      </c>
      <c r="Y832" t="str">
        <f>IFERROR(__xludf.DUMMYFUNCTION("""COMPUTED_VALUE"""),"")</f>
        <v/>
      </c>
      <c r="Z832" t="str">
        <f>IFERROR(__xludf.DUMMYFUNCTION("""COMPUTED_VALUE"""),"")</f>
        <v/>
      </c>
    </row>
    <row r="833">
      <c r="A833" s="119">
        <f>IFERROR(__xludf.DUMMYFUNCTION("""COMPUTED_VALUE"""),14033.0)</f>
        <v>14033</v>
      </c>
      <c r="B833" s="119" t="str">
        <f>IFERROR(__xludf.DUMMYFUNCTION("""COMPUTED_VALUE"""),"R01")</f>
        <v>R01</v>
      </c>
      <c r="C833" t="str">
        <f>IFERROR(__xludf.DUMMYFUNCTION("""COMPUTED_VALUE"""),"Motor Mount")</f>
        <v>Motor Mount</v>
      </c>
      <c r="D833" t="str">
        <f>IFERROR(__xludf.DUMMYFUNCTION("""COMPUTED_VALUE"""),"Structures")</f>
        <v>Structures</v>
      </c>
      <c r="E833" t="str">
        <f>IFERROR(__xludf.DUMMYFUNCTION("""COMPUTED_VALUE"""),"Solidworks")</f>
        <v>Solidworks</v>
      </c>
      <c r="F833" t="str">
        <f>IFERROR(__xludf.DUMMYFUNCTION("""COMPUTED_VALUE"""),"Marginal Stability")</f>
        <v>Marginal Stability</v>
      </c>
      <c r="G833" t="str">
        <f>IFERROR(__xludf.DUMMYFUNCTION("""COMPUTED_VALUE"""),"Made to hold a motor in place on the Plumbing Plate for a redundancy")</f>
        <v>Made to hold a motor in place on the Plumbing Plate for a redundancy</v>
      </c>
      <c r="H833" t="str">
        <f>IFERROR(__xludf.DUMMYFUNCTION("""COMPUTED_VALUE"""),"6061 Aluminium")</f>
        <v>6061 Aluminium</v>
      </c>
      <c r="I833" t="str">
        <f>IFERROR(__xludf.DUMMYFUNCTION("""COMPUTED_VALUE"""),"Imperial")</f>
        <v>Imperial</v>
      </c>
      <c r="J833" t="str">
        <f>IFERROR(__xludf.DUMMYFUNCTION("""COMPUTED_VALUE"""),"Bryce Borders")</f>
        <v>Bryce Borders</v>
      </c>
      <c r="K833" s="49">
        <f>IFERROR(__xludf.DUMMYFUNCTION("""COMPUTED_VALUE"""),43496.0)</f>
        <v>43496</v>
      </c>
      <c r="L833" s="120" t="str">
        <f>IFERROR(__xludf.DUMMYFUNCTION("""COMPUTED_VALUE"""),"https://drive.google.com/drive/folders/1pEUuzC4hwV5AJEftRQrDAZ70En_CcXPE")</f>
        <v>https://drive.google.com/drive/folders/1pEUuzC4hwV5AJEftRQrDAZ70En_CcXPE</v>
      </c>
      <c r="M833" t="str">
        <f>IFERROR(__xludf.DUMMYFUNCTION("""COMPUTED_VALUE"""),"In Progress")</f>
        <v>In Progress</v>
      </c>
      <c r="N833" t="str">
        <f>IFERROR(__xludf.DUMMYFUNCTION("""COMPUTED_VALUE"""),"")</f>
        <v/>
      </c>
      <c r="O833" t="str">
        <f>IFERROR(__xludf.DUMMYFUNCTION("""COMPUTED_VALUE"""),"")</f>
        <v/>
      </c>
      <c r="P833" t="str">
        <f>IFERROR(__xludf.DUMMYFUNCTION("""COMPUTED_VALUE"""),"")</f>
        <v/>
      </c>
      <c r="Q833" t="str">
        <f>IFERROR(__xludf.DUMMYFUNCTION("""COMPUTED_VALUE"""),"")</f>
        <v/>
      </c>
      <c r="R833" t="str">
        <f>IFERROR(__xludf.DUMMYFUNCTION("""COMPUTED_VALUE"""),"")</f>
        <v/>
      </c>
      <c r="S833" t="str">
        <f>IFERROR(__xludf.DUMMYFUNCTION("""COMPUTED_VALUE"""),"")</f>
        <v/>
      </c>
      <c r="T833" t="str">
        <f>IFERROR(__xludf.DUMMYFUNCTION("""COMPUTED_VALUE"""),"")</f>
        <v/>
      </c>
      <c r="U833" t="str">
        <f>IFERROR(__xludf.DUMMYFUNCTION("""COMPUTED_VALUE"""),"")</f>
        <v/>
      </c>
      <c r="V833" t="str">
        <f>IFERROR(__xludf.DUMMYFUNCTION("""COMPUTED_VALUE"""),"")</f>
        <v/>
      </c>
      <c r="W833" t="str">
        <f>IFERROR(__xludf.DUMMYFUNCTION("""COMPUTED_VALUE"""),"")</f>
        <v/>
      </c>
      <c r="X833" t="str">
        <f>IFERROR(__xludf.DUMMYFUNCTION("""COMPUTED_VALUE"""),"")</f>
        <v/>
      </c>
      <c r="Y833" t="str">
        <f>IFERROR(__xludf.DUMMYFUNCTION("""COMPUTED_VALUE"""),"")</f>
        <v/>
      </c>
      <c r="Z833" t="str">
        <f>IFERROR(__xludf.DUMMYFUNCTION("""COMPUTED_VALUE"""),"")</f>
        <v/>
      </c>
    </row>
    <row r="834">
      <c r="A834" s="119">
        <f>IFERROR(__xludf.DUMMYFUNCTION("""COMPUTED_VALUE"""),14034.0)</f>
        <v>14034</v>
      </c>
      <c r="B834" s="119" t="str">
        <f>IFERROR(__xludf.DUMMYFUNCTION("""COMPUTED_VALUE"""),"R01")</f>
        <v>R01</v>
      </c>
      <c r="C834" t="str">
        <f>IFERROR(__xludf.DUMMYFUNCTION("""COMPUTED_VALUE"""),"Cover Plate")</f>
        <v>Cover Plate</v>
      </c>
      <c r="D834" t="str">
        <f>IFERROR(__xludf.DUMMYFUNCTION("""COMPUTED_VALUE"""),"Structures")</f>
        <v>Structures</v>
      </c>
      <c r="E834" t="str">
        <f>IFERROR(__xludf.DUMMYFUNCTION("""COMPUTED_VALUE"""),"Solidworks")</f>
        <v>Solidworks</v>
      </c>
      <c r="F834" t="str">
        <f>IFERROR(__xludf.DUMMYFUNCTION("""COMPUTED_VALUE"""),"Marginal Stability")</f>
        <v>Marginal Stability</v>
      </c>
      <c r="G834" t="str">
        <f>IFERROR(__xludf.DUMMYFUNCTION("""COMPUTED_VALUE"""),"A cover that keeps the parachutes seperate from the rest of the rocket")</f>
        <v>A cover that keeps the parachutes seperate from the rest of the rocket</v>
      </c>
      <c r="H834" t="str">
        <f>IFERROR(__xludf.DUMMYFUNCTION("""COMPUTED_VALUE"""),"6061 Aluminium")</f>
        <v>6061 Aluminium</v>
      </c>
      <c r="I834" t="str">
        <f>IFERROR(__xludf.DUMMYFUNCTION("""COMPUTED_VALUE"""),"Imperial")</f>
        <v>Imperial</v>
      </c>
      <c r="J834" t="str">
        <f>IFERROR(__xludf.DUMMYFUNCTION("""COMPUTED_VALUE"""),"Bryce Borders")</f>
        <v>Bryce Borders</v>
      </c>
      <c r="K834" s="49">
        <f>IFERROR(__xludf.DUMMYFUNCTION("""COMPUTED_VALUE"""),43496.0)</f>
        <v>43496</v>
      </c>
      <c r="L834" s="120" t="str">
        <f>IFERROR(__xludf.DUMMYFUNCTION("""COMPUTED_VALUE"""),"https://drive.google.com/drive/folders/1pEUuzC4hwV5AJEftRQrDAZ70En_CcXPE")</f>
        <v>https://drive.google.com/drive/folders/1pEUuzC4hwV5AJEftRQrDAZ70En_CcXPE</v>
      </c>
      <c r="M834" t="str">
        <f>IFERROR(__xludf.DUMMYFUNCTION("""COMPUTED_VALUE"""),"In Progress")</f>
        <v>In Progress</v>
      </c>
      <c r="N834" t="str">
        <f>IFERROR(__xludf.DUMMYFUNCTION("""COMPUTED_VALUE"""),"")</f>
        <v/>
      </c>
      <c r="O834" t="str">
        <f>IFERROR(__xludf.DUMMYFUNCTION("""COMPUTED_VALUE"""),"")</f>
        <v/>
      </c>
      <c r="P834" t="str">
        <f>IFERROR(__xludf.DUMMYFUNCTION("""COMPUTED_VALUE"""),"")</f>
        <v/>
      </c>
      <c r="Q834" t="str">
        <f>IFERROR(__xludf.DUMMYFUNCTION("""COMPUTED_VALUE"""),"")</f>
        <v/>
      </c>
      <c r="R834" t="str">
        <f>IFERROR(__xludf.DUMMYFUNCTION("""COMPUTED_VALUE"""),"")</f>
        <v/>
      </c>
      <c r="S834" t="str">
        <f>IFERROR(__xludf.DUMMYFUNCTION("""COMPUTED_VALUE"""),"")</f>
        <v/>
      </c>
      <c r="T834" t="str">
        <f>IFERROR(__xludf.DUMMYFUNCTION("""COMPUTED_VALUE"""),"")</f>
        <v/>
      </c>
      <c r="U834" t="str">
        <f>IFERROR(__xludf.DUMMYFUNCTION("""COMPUTED_VALUE"""),"")</f>
        <v/>
      </c>
      <c r="V834" t="str">
        <f>IFERROR(__xludf.DUMMYFUNCTION("""COMPUTED_VALUE"""),"")</f>
        <v/>
      </c>
      <c r="W834" t="str">
        <f>IFERROR(__xludf.DUMMYFUNCTION("""COMPUTED_VALUE"""),"")</f>
        <v/>
      </c>
      <c r="X834" t="str">
        <f>IFERROR(__xludf.DUMMYFUNCTION("""COMPUTED_VALUE"""),"")</f>
        <v/>
      </c>
      <c r="Y834" t="str">
        <f>IFERROR(__xludf.DUMMYFUNCTION("""COMPUTED_VALUE"""),"")</f>
        <v/>
      </c>
      <c r="Z834" t="str">
        <f>IFERROR(__xludf.DUMMYFUNCTION("""COMPUTED_VALUE"""),"")</f>
        <v/>
      </c>
    </row>
    <row r="835">
      <c r="A835" s="119">
        <f>IFERROR(__xludf.DUMMYFUNCTION("""COMPUTED_VALUE"""),14035.0)</f>
        <v>14035</v>
      </c>
      <c r="B835" s="119" t="str">
        <f>IFERROR(__xludf.DUMMYFUNCTION("""COMPUTED_VALUE"""),"R01")</f>
        <v>R01</v>
      </c>
      <c r="C835" t="str">
        <f>IFERROR(__xludf.DUMMYFUNCTION("""COMPUTED_VALUE"""),"GPS Faraday Cage Edge")</f>
        <v>GPS Faraday Cage Edge</v>
      </c>
      <c r="D835" t="str">
        <f>IFERROR(__xludf.DUMMYFUNCTION("""COMPUTED_VALUE"""),"Structures")</f>
        <v>Structures</v>
      </c>
      <c r="E835" t="str">
        <f>IFERROR(__xludf.DUMMYFUNCTION("""COMPUTED_VALUE"""),"Solidworks")</f>
        <v>Solidworks</v>
      </c>
      <c r="F835" t="str">
        <f>IFERROR(__xludf.DUMMYFUNCTION("""COMPUTED_VALUE"""),"Marginal Stability")</f>
        <v>Marginal Stability</v>
      </c>
      <c r="G835" t="str">
        <f>IFERROR(__xludf.DUMMYFUNCTION("""COMPUTED_VALUE"""),"Part of the frame for a Faraday cage to reduce noise experienced by the GPS")</f>
        <v>Part of the frame for a Faraday cage to reduce noise experienced by the GPS</v>
      </c>
      <c r="H835" t="str">
        <f>IFERROR(__xludf.DUMMYFUNCTION("""COMPUTED_VALUE"""),"6061 Aluminum")</f>
        <v>6061 Aluminum</v>
      </c>
      <c r="I835" t="str">
        <f>IFERROR(__xludf.DUMMYFUNCTION("""COMPUTED_VALUE"""),"Imperial")</f>
        <v>Imperial</v>
      </c>
      <c r="J835" t="str">
        <f>IFERROR(__xludf.DUMMYFUNCTION("""COMPUTED_VALUE"""),"Matthew Lok")</f>
        <v>Matthew Lok</v>
      </c>
      <c r="K835" s="49">
        <f>IFERROR(__xludf.DUMMYFUNCTION("""COMPUTED_VALUE"""),43498.0)</f>
        <v>43498</v>
      </c>
      <c r="L835" s="120" t="str">
        <f>IFERROR(__xludf.DUMMYFUNCTION("""COMPUTED_VALUE"""),"https://drive.google.com/open?id=1q7E5aqa81i1id0B4_hOoQfY6NldI5RWU")</f>
        <v>https://drive.google.com/open?id=1q7E5aqa81i1id0B4_hOoQfY6NldI5RWU</v>
      </c>
      <c r="M835" t="str">
        <f>IFERROR(__xludf.DUMMYFUNCTION("""COMPUTED_VALUE"""),"In Progress")</f>
        <v>In Progress</v>
      </c>
      <c r="N835" t="str">
        <f>IFERROR(__xludf.DUMMYFUNCTION("""COMPUTED_VALUE"""),"")</f>
        <v/>
      </c>
      <c r="O835" t="str">
        <f>IFERROR(__xludf.DUMMYFUNCTION("""COMPUTED_VALUE"""),"")</f>
        <v/>
      </c>
      <c r="P835" t="str">
        <f>IFERROR(__xludf.DUMMYFUNCTION("""COMPUTED_VALUE"""),"")</f>
        <v/>
      </c>
      <c r="Q835" t="str">
        <f>IFERROR(__xludf.DUMMYFUNCTION("""COMPUTED_VALUE"""),"")</f>
        <v/>
      </c>
      <c r="R835" t="str">
        <f>IFERROR(__xludf.DUMMYFUNCTION("""COMPUTED_VALUE"""),"")</f>
        <v/>
      </c>
      <c r="S835" t="str">
        <f>IFERROR(__xludf.DUMMYFUNCTION("""COMPUTED_VALUE"""),"")</f>
        <v/>
      </c>
      <c r="T835" t="str">
        <f>IFERROR(__xludf.DUMMYFUNCTION("""COMPUTED_VALUE"""),"")</f>
        <v/>
      </c>
      <c r="U835" t="str">
        <f>IFERROR(__xludf.DUMMYFUNCTION("""COMPUTED_VALUE"""),"")</f>
        <v/>
      </c>
      <c r="V835" t="str">
        <f>IFERROR(__xludf.DUMMYFUNCTION("""COMPUTED_VALUE"""),"")</f>
        <v/>
      </c>
      <c r="W835" t="str">
        <f>IFERROR(__xludf.DUMMYFUNCTION("""COMPUTED_VALUE"""),"")</f>
        <v/>
      </c>
      <c r="X835" t="str">
        <f>IFERROR(__xludf.DUMMYFUNCTION("""COMPUTED_VALUE"""),"")</f>
        <v/>
      </c>
      <c r="Y835" t="str">
        <f>IFERROR(__xludf.DUMMYFUNCTION("""COMPUTED_VALUE"""),"")</f>
        <v/>
      </c>
      <c r="Z835" t="str">
        <f>IFERROR(__xludf.DUMMYFUNCTION("""COMPUTED_VALUE"""),"")</f>
        <v/>
      </c>
    </row>
    <row r="836">
      <c r="A836" s="119">
        <f>IFERROR(__xludf.DUMMYFUNCTION("""COMPUTED_VALUE"""),14036.0)</f>
        <v>14036</v>
      </c>
      <c r="B836" s="119" t="str">
        <f>IFERROR(__xludf.DUMMYFUNCTION("""COMPUTED_VALUE"""),"R01")</f>
        <v>R01</v>
      </c>
      <c r="C836" t="str">
        <f>IFERROR(__xludf.DUMMYFUNCTION("""COMPUTED_VALUE"""),"GPS Faraday Cage Top")</f>
        <v>GPS Faraday Cage Top</v>
      </c>
      <c r="D836" t="str">
        <f>IFERROR(__xludf.DUMMYFUNCTION("""COMPUTED_VALUE"""),"Structures")</f>
        <v>Structures</v>
      </c>
      <c r="E836" t="str">
        <f>IFERROR(__xludf.DUMMYFUNCTION("""COMPUTED_VALUE"""),"Solidworks")</f>
        <v>Solidworks</v>
      </c>
      <c r="F836" t="str">
        <f>IFERROR(__xludf.DUMMYFUNCTION("""COMPUTED_VALUE"""),"Marginal Stability")</f>
        <v>Marginal Stability</v>
      </c>
      <c r="G836" t="str">
        <f>IFERROR(__xludf.DUMMYFUNCTION("""COMPUTED_VALUE"""),"Part of the frame for a Faraday cage to reduce noise experienced by the GPS")</f>
        <v>Part of the frame for a Faraday cage to reduce noise experienced by the GPS</v>
      </c>
      <c r="H836" t="str">
        <f>IFERROR(__xludf.DUMMYFUNCTION("""COMPUTED_VALUE"""),"6061 Aluminum")</f>
        <v>6061 Aluminum</v>
      </c>
      <c r="I836" t="str">
        <f>IFERROR(__xludf.DUMMYFUNCTION("""COMPUTED_VALUE"""),"Imperial")</f>
        <v>Imperial</v>
      </c>
      <c r="J836" t="str">
        <f>IFERROR(__xludf.DUMMYFUNCTION("""COMPUTED_VALUE"""),"Matthew Lok")</f>
        <v>Matthew Lok</v>
      </c>
      <c r="K836" s="49">
        <f>IFERROR(__xludf.DUMMYFUNCTION("""COMPUTED_VALUE"""),43498.0)</f>
        <v>43498</v>
      </c>
      <c r="L836" s="120" t="str">
        <f>IFERROR(__xludf.DUMMYFUNCTION("""COMPUTED_VALUE"""),"https://drive.google.com/open?id=1efGx18s076OS1gfDDfIvAtqg9FlMlRHO")</f>
        <v>https://drive.google.com/open?id=1efGx18s076OS1gfDDfIvAtqg9FlMlRHO</v>
      </c>
      <c r="M836" t="str">
        <f>IFERROR(__xludf.DUMMYFUNCTION("""COMPUTED_VALUE"""),"In Progress")</f>
        <v>In Progress</v>
      </c>
      <c r="N836" t="str">
        <f>IFERROR(__xludf.DUMMYFUNCTION("""COMPUTED_VALUE"""),"")</f>
        <v/>
      </c>
      <c r="O836" t="str">
        <f>IFERROR(__xludf.DUMMYFUNCTION("""COMPUTED_VALUE"""),"")</f>
        <v/>
      </c>
      <c r="P836" t="str">
        <f>IFERROR(__xludf.DUMMYFUNCTION("""COMPUTED_VALUE"""),"")</f>
        <v/>
      </c>
      <c r="Q836" t="str">
        <f>IFERROR(__xludf.DUMMYFUNCTION("""COMPUTED_VALUE"""),"")</f>
        <v/>
      </c>
      <c r="R836" t="str">
        <f>IFERROR(__xludf.DUMMYFUNCTION("""COMPUTED_VALUE"""),"")</f>
        <v/>
      </c>
      <c r="S836" t="str">
        <f>IFERROR(__xludf.DUMMYFUNCTION("""COMPUTED_VALUE"""),"")</f>
        <v/>
      </c>
      <c r="T836" t="str">
        <f>IFERROR(__xludf.DUMMYFUNCTION("""COMPUTED_VALUE"""),"")</f>
        <v/>
      </c>
      <c r="U836" t="str">
        <f>IFERROR(__xludf.DUMMYFUNCTION("""COMPUTED_VALUE"""),"")</f>
        <v/>
      </c>
      <c r="V836" t="str">
        <f>IFERROR(__xludf.DUMMYFUNCTION("""COMPUTED_VALUE"""),"")</f>
        <v/>
      </c>
      <c r="W836" t="str">
        <f>IFERROR(__xludf.DUMMYFUNCTION("""COMPUTED_VALUE"""),"")</f>
        <v/>
      </c>
      <c r="X836" t="str">
        <f>IFERROR(__xludf.DUMMYFUNCTION("""COMPUTED_VALUE"""),"")</f>
        <v/>
      </c>
      <c r="Y836" t="str">
        <f>IFERROR(__xludf.DUMMYFUNCTION("""COMPUTED_VALUE"""),"")</f>
        <v/>
      </c>
      <c r="Z836" t="str">
        <f>IFERROR(__xludf.DUMMYFUNCTION("""COMPUTED_VALUE"""),"")</f>
        <v/>
      </c>
    </row>
    <row r="837">
      <c r="A837" s="119">
        <f>IFERROR(__xludf.DUMMYFUNCTION("""COMPUTED_VALUE"""),14037.0)</f>
        <v>14037</v>
      </c>
      <c r="B837" s="119" t="str">
        <f>IFERROR(__xludf.DUMMYFUNCTION("""COMPUTED_VALUE"""),"R01")</f>
        <v>R01</v>
      </c>
      <c r="C837" t="str">
        <f>IFERROR(__xludf.DUMMYFUNCTION("""COMPUTED_VALUE"""),"Telemetry Faraday Cage Edge")</f>
        <v>Telemetry Faraday Cage Edge</v>
      </c>
      <c r="D837" t="str">
        <f>IFERROR(__xludf.DUMMYFUNCTION("""COMPUTED_VALUE"""),"Structures")</f>
        <v>Structures</v>
      </c>
      <c r="E837" t="str">
        <f>IFERROR(__xludf.DUMMYFUNCTION("""COMPUTED_VALUE"""),"Solidworks")</f>
        <v>Solidworks</v>
      </c>
      <c r="F837" t="str">
        <f>IFERROR(__xludf.DUMMYFUNCTION("""COMPUTED_VALUE"""),"Marginal Stability")</f>
        <v>Marginal Stability</v>
      </c>
      <c r="G837" t="str">
        <f>IFERROR(__xludf.DUMMYFUNCTION("""COMPUTED_VALUE"""),"Part of the frame for a Faraday cage to reduce noise experienced by the Sapphire Telemetry")</f>
        <v>Part of the frame for a Faraday cage to reduce noise experienced by the Sapphire Telemetry</v>
      </c>
      <c r="H837" t="str">
        <f>IFERROR(__xludf.DUMMYFUNCTION("""COMPUTED_VALUE"""),"6061 Aluminum")</f>
        <v>6061 Aluminum</v>
      </c>
      <c r="I837" t="str">
        <f>IFERROR(__xludf.DUMMYFUNCTION("""COMPUTED_VALUE"""),"Imperial")</f>
        <v>Imperial</v>
      </c>
      <c r="J837" t="str">
        <f>IFERROR(__xludf.DUMMYFUNCTION("""COMPUTED_VALUE"""),"Matthew Lok")</f>
        <v>Matthew Lok</v>
      </c>
      <c r="K837" s="49">
        <f>IFERROR(__xludf.DUMMYFUNCTION("""COMPUTED_VALUE"""),43498.0)</f>
        <v>43498</v>
      </c>
      <c r="L837" s="120" t="str">
        <f>IFERROR(__xludf.DUMMYFUNCTION("""COMPUTED_VALUE"""),"https://drive.google.com/open?id=1jPYmlH39Pi5FwMlNYUSL4o89O9IlUN6m")</f>
        <v>https://drive.google.com/open?id=1jPYmlH39Pi5FwMlNYUSL4o89O9IlUN6m</v>
      </c>
      <c r="M837" t="str">
        <f>IFERROR(__xludf.DUMMYFUNCTION("""COMPUTED_VALUE"""),"In Progress")</f>
        <v>In Progress</v>
      </c>
      <c r="N837" t="str">
        <f>IFERROR(__xludf.DUMMYFUNCTION("""COMPUTED_VALUE"""),"")</f>
        <v/>
      </c>
      <c r="O837" t="str">
        <f>IFERROR(__xludf.DUMMYFUNCTION("""COMPUTED_VALUE"""),"")</f>
        <v/>
      </c>
      <c r="P837" t="str">
        <f>IFERROR(__xludf.DUMMYFUNCTION("""COMPUTED_VALUE"""),"")</f>
        <v/>
      </c>
      <c r="Q837" t="str">
        <f>IFERROR(__xludf.DUMMYFUNCTION("""COMPUTED_VALUE"""),"")</f>
        <v/>
      </c>
      <c r="R837" t="str">
        <f>IFERROR(__xludf.DUMMYFUNCTION("""COMPUTED_VALUE"""),"")</f>
        <v/>
      </c>
      <c r="S837" t="str">
        <f>IFERROR(__xludf.DUMMYFUNCTION("""COMPUTED_VALUE"""),"")</f>
        <v/>
      </c>
      <c r="T837" t="str">
        <f>IFERROR(__xludf.DUMMYFUNCTION("""COMPUTED_VALUE"""),"")</f>
        <v/>
      </c>
      <c r="U837" t="str">
        <f>IFERROR(__xludf.DUMMYFUNCTION("""COMPUTED_VALUE"""),"")</f>
        <v/>
      </c>
      <c r="V837" t="str">
        <f>IFERROR(__xludf.DUMMYFUNCTION("""COMPUTED_VALUE"""),"")</f>
        <v/>
      </c>
      <c r="W837" t="str">
        <f>IFERROR(__xludf.DUMMYFUNCTION("""COMPUTED_VALUE"""),"")</f>
        <v/>
      </c>
      <c r="X837" t="str">
        <f>IFERROR(__xludf.DUMMYFUNCTION("""COMPUTED_VALUE"""),"")</f>
        <v/>
      </c>
      <c r="Y837" t="str">
        <f>IFERROR(__xludf.DUMMYFUNCTION("""COMPUTED_VALUE"""),"")</f>
        <v/>
      </c>
      <c r="Z837" t="str">
        <f>IFERROR(__xludf.DUMMYFUNCTION("""COMPUTED_VALUE"""),"")</f>
        <v/>
      </c>
    </row>
    <row r="838">
      <c r="A838" s="119">
        <f>IFERROR(__xludf.DUMMYFUNCTION("""COMPUTED_VALUE"""),14038.0)</f>
        <v>14038</v>
      </c>
      <c r="B838" s="119" t="str">
        <f>IFERROR(__xludf.DUMMYFUNCTION("""COMPUTED_VALUE"""),"R01")</f>
        <v>R01</v>
      </c>
      <c r="C838" t="str">
        <f>IFERROR(__xludf.DUMMYFUNCTION("""COMPUTED_VALUE"""),"Telemetry Faraday Cage Top")</f>
        <v>Telemetry Faraday Cage Top</v>
      </c>
      <c r="D838" t="str">
        <f>IFERROR(__xludf.DUMMYFUNCTION("""COMPUTED_VALUE"""),"Structures")</f>
        <v>Structures</v>
      </c>
      <c r="E838" t="str">
        <f>IFERROR(__xludf.DUMMYFUNCTION("""COMPUTED_VALUE"""),"Solidworks")</f>
        <v>Solidworks</v>
      </c>
      <c r="F838" t="str">
        <f>IFERROR(__xludf.DUMMYFUNCTION("""COMPUTED_VALUE"""),"Marginal Stability")</f>
        <v>Marginal Stability</v>
      </c>
      <c r="G838" t="str">
        <f>IFERROR(__xludf.DUMMYFUNCTION("""COMPUTED_VALUE"""),"Part of the frame for a Faraday cage to reduce noise experienced by the Sapphire Telemetry")</f>
        <v>Part of the frame for a Faraday cage to reduce noise experienced by the Sapphire Telemetry</v>
      </c>
      <c r="H838" t="str">
        <f>IFERROR(__xludf.DUMMYFUNCTION("""COMPUTED_VALUE"""),"6061 Aluminum")</f>
        <v>6061 Aluminum</v>
      </c>
      <c r="I838" t="str">
        <f>IFERROR(__xludf.DUMMYFUNCTION("""COMPUTED_VALUE"""),"Imperial")</f>
        <v>Imperial</v>
      </c>
      <c r="J838" t="str">
        <f>IFERROR(__xludf.DUMMYFUNCTION("""COMPUTED_VALUE"""),"Matthew Lok")</f>
        <v>Matthew Lok</v>
      </c>
      <c r="K838" s="49">
        <f>IFERROR(__xludf.DUMMYFUNCTION("""COMPUTED_VALUE"""),43498.0)</f>
        <v>43498</v>
      </c>
      <c r="L838" s="120" t="str">
        <f>IFERROR(__xludf.DUMMYFUNCTION("""COMPUTED_VALUE"""),"https://drive.google.com/open?id=17CnaL4x1WMZyE3c5h1o8FyzrN_xbPw2J")</f>
        <v>https://drive.google.com/open?id=17CnaL4x1WMZyE3c5h1o8FyzrN_xbPw2J</v>
      </c>
      <c r="M838" t="str">
        <f>IFERROR(__xludf.DUMMYFUNCTION("""COMPUTED_VALUE"""),"In Progress")</f>
        <v>In Progress</v>
      </c>
      <c r="N838" t="str">
        <f>IFERROR(__xludf.DUMMYFUNCTION("""COMPUTED_VALUE"""),"")</f>
        <v/>
      </c>
      <c r="O838" t="str">
        <f>IFERROR(__xludf.DUMMYFUNCTION("""COMPUTED_VALUE"""),"")</f>
        <v/>
      </c>
      <c r="P838" t="str">
        <f>IFERROR(__xludf.DUMMYFUNCTION("""COMPUTED_VALUE"""),"")</f>
        <v/>
      </c>
      <c r="Q838" t="str">
        <f>IFERROR(__xludf.DUMMYFUNCTION("""COMPUTED_VALUE"""),"")</f>
        <v/>
      </c>
      <c r="R838" t="str">
        <f>IFERROR(__xludf.DUMMYFUNCTION("""COMPUTED_VALUE"""),"")</f>
        <v/>
      </c>
      <c r="S838" t="str">
        <f>IFERROR(__xludf.DUMMYFUNCTION("""COMPUTED_VALUE"""),"")</f>
        <v/>
      </c>
      <c r="T838" t="str">
        <f>IFERROR(__xludf.DUMMYFUNCTION("""COMPUTED_VALUE"""),"")</f>
        <v/>
      </c>
      <c r="U838" t="str">
        <f>IFERROR(__xludf.DUMMYFUNCTION("""COMPUTED_VALUE"""),"")</f>
        <v/>
      </c>
      <c r="V838" t="str">
        <f>IFERROR(__xludf.DUMMYFUNCTION("""COMPUTED_VALUE"""),"")</f>
        <v/>
      </c>
      <c r="W838" t="str">
        <f>IFERROR(__xludf.DUMMYFUNCTION("""COMPUTED_VALUE"""),"")</f>
        <v/>
      </c>
      <c r="X838" t="str">
        <f>IFERROR(__xludf.DUMMYFUNCTION("""COMPUTED_VALUE"""),"")</f>
        <v/>
      </c>
      <c r="Y838" t="str">
        <f>IFERROR(__xludf.DUMMYFUNCTION("""COMPUTED_VALUE"""),"")</f>
        <v/>
      </c>
      <c r="Z838" t="str">
        <f>IFERROR(__xludf.DUMMYFUNCTION("""COMPUTED_VALUE"""),"")</f>
        <v/>
      </c>
    </row>
    <row r="839">
      <c r="A839" s="119">
        <f>IFERROR(__xludf.DUMMYFUNCTION("""COMPUTED_VALUE"""),14039.0)</f>
        <v>14039</v>
      </c>
      <c r="B839" s="119" t="str">
        <f>IFERROR(__xludf.DUMMYFUNCTION("""COMPUTED_VALUE"""),"R01")</f>
        <v>R01</v>
      </c>
      <c r="C839" t="str">
        <f>IFERROR(__xludf.DUMMYFUNCTION("""COMPUTED_VALUE"""),"Launch Lug Right")</f>
        <v>Launch Lug Right</v>
      </c>
      <c r="D839" t="str">
        <f>IFERROR(__xludf.DUMMYFUNCTION("""COMPUTED_VALUE"""),"Structures")</f>
        <v>Structures</v>
      </c>
      <c r="E839" t="str">
        <f>IFERROR(__xludf.DUMMYFUNCTION("""COMPUTED_VALUE"""),"Solidworks")</f>
        <v>Solidworks</v>
      </c>
      <c r="F839" t="str">
        <f>IFERROR(__xludf.DUMMYFUNCTION("""COMPUTED_VALUE"""),"Marginal Stability")</f>
        <v>Marginal Stability</v>
      </c>
      <c r="G839" t="str">
        <f>IFERROR(__xludf.DUMMYFUNCTION("""COMPUTED_VALUE"""),"Right side of the launch lug.")</f>
        <v>Right side of the launch lug.</v>
      </c>
      <c r="H839" t="str">
        <f>IFERROR(__xludf.DUMMYFUNCTION("""COMPUTED_VALUE"""),"6062 Aluminum")</f>
        <v>6062 Aluminum</v>
      </c>
      <c r="I839" t="str">
        <f>IFERROR(__xludf.DUMMYFUNCTION("""COMPUTED_VALUE"""),"Imperial")</f>
        <v>Imperial</v>
      </c>
      <c r="J839" t="str">
        <f>IFERROR(__xludf.DUMMYFUNCTION("""COMPUTED_VALUE"""),"Andre Shahinian")</f>
        <v>Andre Shahinian</v>
      </c>
      <c r="K839" s="49">
        <f>IFERROR(__xludf.DUMMYFUNCTION("""COMPUTED_VALUE"""),43500.0)</f>
        <v>43500</v>
      </c>
      <c r="L839" s="120" t="str">
        <f>IFERROR(__xludf.DUMMYFUNCTION("""COMPUTED_VALUE"""),"https://drive.google.com/open?id=1tPmeflqazjcNnntDosmGCqzwQ1SngCpD")</f>
        <v>https://drive.google.com/open?id=1tPmeflqazjcNnntDosmGCqzwQ1SngCpD</v>
      </c>
      <c r="M839" t="str">
        <f>IFERROR(__xludf.DUMMYFUNCTION("""COMPUTED_VALUE"""),"In Progress")</f>
        <v>In Progress</v>
      </c>
      <c r="N839" t="str">
        <f>IFERROR(__xludf.DUMMYFUNCTION("""COMPUTED_VALUE"""),"")</f>
        <v/>
      </c>
      <c r="O839" t="str">
        <f>IFERROR(__xludf.DUMMYFUNCTION("""COMPUTED_VALUE"""),"")</f>
        <v/>
      </c>
      <c r="P839" t="str">
        <f>IFERROR(__xludf.DUMMYFUNCTION("""COMPUTED_VALUE"""),"")</f>
        <v/>
      </c>
      <c r="Q839" t="str">
        <f>IFERROR(__xludf.DUMMYFUNCTION("""COMPUTED_VALUE"""),"")</f>
        <v/>
      </c>
      <c r="R839" t="str">
        <f>IFERROR(__xludf.DUMMYFUNCTION("""COMPUTED_VALUE"""),"")</f>
        <v/>
      </c>
      <c r="S839" t="str">
        <f>IFERROR(__xludf.DUMMYFUNCTION("""COMPUTED_VALUE"""),"")</f>
        <v/>
      </c>
      <c r="T839" t="str">
        <f>IFERROR(__xludf.DUMMYFUNCTION("""COMPUTED_VALUE"""),"")</f>
        <v/>
      </c>
      <c r="U839" t="str">
        <f>IFERROR(__xludf.DUMMYFUNCTION("""COMPUTED_VALUE"""),"")</f>
        <v/>
      </c>
      <c r="V839" t="str">
        <f>IFERROR(__xludf.DUMMYFUNCTION("""COMPUTED_VALUE"""),"")</f>
        <v/>
      </c>
      <c r="W839" t="str">
        <f>IFERROR(__xludf.DUMMYFUNCTION("""COMPUTED_VALUE"""),"")</f>
        <v/>
      </c>
      <c r="X839" t="str">
        <f>IFERROR(__xludf.DUMMYFUNCTION("""COMPUTED_VALUE"""),"")</f>
        <v/>
      </c>
      <c r="Y839" t="str">
        <f>IFERROR(__xludf.DUMMYFUNCTION("""COMPUTED_VALUE"""),"")</f>
        <v/>
      </c>
      <c r="Z839" t="str">
        <f>IFERROR(__xludf.DUMMYFUNCTION("""COMPUTED_VALUE"""),"")</f>
        <v/>
      </c>
    </row>
    <row r="840">
      <c r="A840" s="119">
        <f>IFERROR(__xludf.DUMMYFUNCTION("""COMPUTED_VALUE"""),14040.0)</f>
        <v>14040</v>
      </c>
      <c r="B840" s="119" t="str">
        <f>IFERROR(__xludf.DUMMYFUNCTION("""COMPUTED_VALUE"""),"R02")</f>
        <v>R02</v>
      </c>
      <c r="C840" t="str">
        <f>IFERROR(__xludf.DUMMYFUNCTION("""COMPUTED_VALUE"""),"Launch Lug Left")</f>
        <v>Launch Lug Left</v>
      </c>
      <c r="D840" t="str">
        <f>IFERROR(__xludf.DUMMYFUNCTION("""COMPUTED_VALUE"""),"Structures")</f>
        <v>Structures</v>
      </c>
      <c r="E840" t="str">
        <f>IFERROR(__xludf.DUMMYFUNCTION("""COMPUTED_VALUE"""),"Solidworks")</f>
        <v>Solidworks</v>
      </c>
      <c r="F840" t="str">
        <f>IFERROR(__xludf.DUMMYFUNCTION("""COMPUTED_VALUE"""),"Marginal Stability")</f>
        <v>Marginal Stability</v>
      </c>
      <c r="G840" t="str">
        <f>IFERROR(__xludf.DUMMYFUNCTION("""COMPUTED_VALUE"""),"Left side of the launch lug.")</f>
        <v>Left side of the launch lug.</v>
      </c>
      <c r="H840" t="str">
        <f>IFERROR(__xludf.DUMMYFUNCTION("""COMPUTED_VALUE"""),"6063 Aluminum")</f>
        <v>6063 Aluminum</v>
      </c>
      <c r="I840" t="str">
        <f>IFERROR(__xludf.DUMMYFUNCTION("""COMPUTED_VALUE"""),"Imperial")</f>
        <v>Imperial</v>
      </c>
      <c r="J840" t="str">
        <f>IFERROR(__xludf.DUMMYFUNCTION("""COMPUTED_VALUE"""),"Andre Shahinian")</f>
        <v>Andre Shahinian</v>
      </c>
      <c r="K840" s="49">
        <f>IFERROR(__xludf.DUMMYFUNCTION("""COMPUTED_VALUE"""),43500.0)</f>
        <v>43500</v>
      </c>
      <c r="L840" s="120" t="str">
        <f>IFERROR(__xludf.DUMMYFUNCTION("""COMPUTED_VALUE"""),"https://drive.google.com/open?id=1qoVaKBtErMi4gwbuTdwJo4kUs-86QIvG")</f>
        <v>https://drive.google.com/open?id=1qoVaKBtErMi4gwbuTdwJo4kUs-86QIvG</v>
      </c>
      <c r="M840" t="str">
        <f>IFERROR(__xludf.DUMMYFUNCTION("""COMPUTED_VALUE"""),"In Progress")</f>
        <v>In Progress</v>
      </c>
      <c r="N840" t="str">
        <f>IFERROR(__xludf.DUMMYFUNCTION("""COMPUTED_VALUE"""),"")</f>
        <v/>
      </c>
      <c r="O840" t="str">
        <f>IFERROR(__xludf.DUMMYFUNCTION("""COMPUTED_VALUE"""),"")</f>
        <v/>
      </c>
      <c r="P840" t="str">
        <f>IFERROR(__xludf.DUMMYFUNCTION("""COMPUTED_VALUE"""),"")</f>
        <v/>
      </c>
      <c r="Q840" t="str">
        <f>IFERROR(__xludf.DUMMYFUNCTION("""COMPUTED_VALUE"""),"")</f>
        <v/>
      </c>
      <c r="R840" t="str">
        <f>IFERROR(__xludf.DUMMYFUNCTION("""COMPUTED_VALUE"""),"")</f>
        <v/>
      </c>
      <c r="S840" t="str">
        <f>IFERROR(__xludf.DUMMYFUNCTION("""COMPUTED_VALUE"""),"")</f>
        <v/>
      </c>
      <c r="T840" t="str">
        <f>IFERROR(__xludf.DUMMYFUNCTION("""COMPUTED_VALUE"""),"")</f>
        <v/>
      </c>
      <c r="U840" t="str">
        <f>IFERROR(__xludf.DUMMYFUNCTION("""COMPUTED_VALUE"""),"")</f>
        <v/>
      </c>
      <c r="V840" t="str">
        <f>IFERROR(__xludf.DUMMYFUNCTION("""COMPUTED_VALUE"""),"")</f>
        <v/>
      </c>
      <c r="W840" t="str">
        <f>IFERROR(__xludf.DUMMYFUNCTION("""COMPUTED_VALUE"""),"")</f>
        <v/>
      </c>
      <c r="X840" t="str">
        <f>IFERROR(__xludf.DUMMYFUNCTION("""COMPUTED_VALUE"""),"")</f>
        <v/>
      </c>
      <c r="Y840" t="str">
        <f>IFERROR(__xludf.DUMMYFUNCTION("""COMPUTED_VALUE"""),"")</f>
        <v/>
      </c>
      <c r="Z840" t="str">
        <f>IFERROR(__xludf.DUMMYFUNCTION("""COMPUTED_VALUE"""),"")</f>
        <v/>
      </c>
    </row>
    <row r="841">
      <c r="A841" s="119">
        <f>IFERROR(__xludf.DUMMYFUNCTION("""COMPUTED_VALUE"""),14041.0)</f>
        <v>14041</v>
      </c>
      <c r="B841" s="119" t="str">
        <f>IFERROR(__xludf.DUMMYFUNCTION("""COMPUTED_VALUE"""),"R01")</f>
        <v>R01</v>
      </c>
      <c r="C841" t="str">
        <f>IFERROR(__xludf.DUMMYFUNCTION("""COMPUTED_VALUE"""),"Recovery Pressure Tank Bulkhead")</f>
        <v>Recovery Pressure Tank Bulkhead</v>
      </c>
      <c r="D841" t="str">
        <f>IFERROR(__xludf.DUMMYFUNCTION("""COMPUTED_VALUE"""),"Structures")</f>
        <v>Structures</v>
      </c>
      <c r="E841" t="str">
        <f>IFERROR(__xludf.DUMMYFUNCTION("""COMPUTED_VALUE"""),"Solidworks")</f>
        <v>Solidworks</v>
      </c>
      <c r="F841" t="str">
        <f>IFERROR(__xludf.DUMMYFUNCTION("""COMPUTED_VALUE"""),"Marginal Stability")</f>
        <v>Marginal Stability</v>
      </c>
      <c r="G841" t="str">
        <f>IFERROR(__xludf.DUMMYFUNCTION("""COMPUTED_VALUE"""),"Holds the Recovery Pressure Tank in place")</f>
        <v>Holds the Recovery Pressure Tank in place</v>
      </c>
      <c r="H841" t="str">
        <f>IFERROR(__xludf.DUMMYFUNCTION("""COMPUTED_VALUE"""),"6061 Aluminium")</f>
        <v>6061 Aluminium</v>
      </c>
      <c r="I841" t="str">
        <f>IFERROR(__xludf.DUMMYFUNCTION("""COMPUTED_VALUE"""),"Imperial")</f>
        <v>Imperial</v>
      </c>
      <c r="J841" t="str">
        <f>IFERROR(__xludf.DUMMYFUNCTION("""COMPUTED_VALUE"""),"Andrew Bilan")</f>
        <v>Andrew Bilan</v>
      </c>
      <c r="K841" s="49">
        <f>IFERROR(__xludf.DUMMYFUNCTION("""COMPUTED_VALUE"""),43501.0)</f>
        <v>43501</v>
      </c>
      <c r="L841" s="120" t="str">
        <f>IFERROR(__xludf.DUMMYFUNCTION("""COMPUTED_VALUE"""),"https://drive.google.com/drive/folders/1pEUuzC4hwV5AJEftRQrDAZ70En_CcXPE")</f>
        <v>https://drive.google.com/drive/folders/1pEUuzC4hwV5AJEftRQrDAZ70En_CcXPE</v>
      </c>
      <c r="M841" t="str">
        <f>IFERROR(__xludf.DUMMYFUNCTION("""COMPUTED_VALUE"""),"In Progress")</f>
        <v>In Progress</v>
      </c>
      <c r="N841" t="str">
        <f>IFERROR(__xludf.DUMMYFUNCTION("""COMPUTED_VALUE"""),"")</f>
        <v/>
      </c>
      <c r="O841" t="str">
        <f>IFERROR(__xludf.DUMMYFUNCTION("""COMPUTED_VALUE"""),"")</f>
        <v/>
      </c>
      <c r="P841" t="str">
        <f>IFERROR(__xludf.DUMMYFUNCTION("""COMPUTED_VALUE"""),"")</f>
        <v/>
      </c>
      <c r="Q841" t="str">
        <f>IFERROR(__xludf.DUMMYFUNCTION("""COMPUTED_VALUE"""),"")</f>
        <v/>
      </c>
      <c r="R841" t="str">
        <f>IFERROR(__xludf.DUMMYFUNCTION("""COMPUTED_VALUE"""),"")</f>
        <v/>
      </c>
      <c r="S841" t="str">
        <f>IFERROR(__xludf.DUMMYFUNCTION("""COMPUTED_VALUE"""),"")</f>
        <v/>
      </c>
      <c r="T841" t="str">
        <f>IFERROR(__xludf.DUMMYFUNCTION("""COMPUTED_VALUE"""),"")</f>
        <v/>
      </c>
      <c r="U841" t="str">
        <f>IFERROR(__xludf.DUMMYFUNCTION("""COMPUTED_VALUE"""),"")</f>
        <v/>
      </c>
      <c r="V841" t="str">
        <f>IFERROR(__xludf.DUMMYFUNCTION("""COMPUTED_VALUE"""),"")</f>
        <v/>
      </c>
      <c r="W841" t="str">
        <f>IFERROR(__xludf.DUMMYFUNCTION("""COMPUTED_VALUE"""),"")</f>
        <v/>
      </c>
      <c r="X841" t="str">
        <f>IFERROR(__xludf.DUMMYFUNCTION("""COMPUTED_VALUE"""),"")</f>
        <v/>
      </c>
      <c r="Y841" t="str">
        <f>IFERROR(__xludf.DUMMYFUNCTION("""COMPUTED_VALUE"""),"")</f>
        <v/>
      </c>
      <c r="Z841" t="str">
        <f>IFERROR(__xludf.DUMMYFUNCTION("""COMPUTED_VALUE"""),"")</f>
        <v/>
      </c>
    </row>
    <row r="842">
      <c r="A842" s="119">
        <f>IFERROR(__xludf.DUMMYFUNCTION("""COMPUTED_VALUE"""),14042.0)</f>
        <v>14042</v>
      </c>
      <c r="B842" s="119" t="str">
        <f>IFERROR(__xludf.DUMMYFUNCTION("""COMPUTED_VALUE"""),"R02")</f>
        <v>R02</v>
      </c>
      <c r="C842" t="str">
        <f>IFERROR(__xludf.DUMMYFUNCTION("""COMPUTED_VALUE"""),"Drogue Pulley Lower")</f>
        <v>Drogue Pulley Lower</v>
      </c>
      <c r="D842" t="str">
        <f>IFERROR(__xludf.DUMMYFUNCTION("""COMPUTED_VALUE"""),"Structures")</f>
        <v>Structures</v>
      </c>
      <c r="E842" t="str">
        <f>IFERROR(__xludf.DUMMYFUNCTION("""COMPUTED_VALUE"""),"Solidworks")</f>
        <v>Solidworks</v>
      </c>
      <c r="F842" t="str">
        <f>IFERROR(__xludf.DUMMYFUNCTION("""COMPUTED_VALUE"""),"Marginal Stability")</f>
        <v>Marginal Stability</v>
      </c>
      <c r="G842" t="str">
        <f>IFERROR(__xludf.DUMMYFUNCTION("""COMPUTED_VALUE"""),"Lower half of pulley that holds drogue line")</f>
        <v>Lower half of pulley that holds drogue line</v>
      </c>
      <c r="H842" t="str">
        <f>IFERROR(__xludf.DUMMYFUNCTION("""COMPUTED_VALUE"""),"6061 Aluminum")</f>
        <v>6061 Aluminum</v>
      </c>
      <c r="I842" t="str">
        <f>IFERROR(__xludf.DUMMYFUNCTION("""COMPUTED_VALUE"""),"Imperial")</f>
        <v>Imperial</v>
      </c>
      <c r="J842" t="str">
        <f>IFERROR(__xludf.DUMMYFUNCTION("""COMPUTED_VALUE"""),"Kyle Gore")</f>
        <v>Kyle Gore</v>
      </c>
      <c r="K842" s="49">
        <f>IFERROR(__xludf.DUMMYFUNCTION("""COMPUTED_VALUE"""),43501.0)</f>
        <v>43501</v>
      </c>
      <c r="L842" t="str">
        <f>IFERROR(__xludf.DUMMYFUNCTION("""COMPUTED_VALUE"""),"")</f>
        <v/>
      </c>
      <c r="M842" t="str">
        <f>IFERROR(__xludf.DUMMYFUNCTION("""COMPUTED_VALUE"""),"In Progress")</f>
        <v>In Progress</v>
      </c>
      <c r="N842" t="str">
        <f>IFERROR(__xludf.DUMMYFUNCTION("""COMPUTED_VALUE"""),"")</f>
        <v/>
      </c>
      <c r="O842" t="str">
        <f>IFERROR(__xludf.DUMMYFUNCTION("""COMPUTED_VALUE"""),"")</f>
        <v/>
      </c>
      <c r="P842" t="str">
        <f>IFERROR(__xludf.DUMMYFUNCTION("""COMPUTED_VALUE"""),"")</f>
        <v/>
      </c>
      <c r="Q842" t="str">
        <f>IFERROR(__xludf.DUMMYFUNCTION("""COMPUTED_VALUE"""),"")</f>
        <v/>
      </c>
      <c r="R842" t="str">
        <f>IFERROR(__xludf.DUMMYFUNCTION("""COMPUTED_VALUE"""),"")</f>
        <v/>
      </c>
      <c r="S842" t="str">
        <f>IFERROR(__xludf.DUMMYFUNCTION("""COMPUTED_VALUE"""),"")</f>
        <v/>
      </c>
      <c r="T842" t="str">
        <f>IFERROR(__xludf.DUMMYFUNCTION("""COMPUTED_VALUE"""),"")</f>
        <v/>
      </c>
      <c r="U842" t="str">
        <f>IFERROR(__xludf.DUMMYFUNCTION("""COMPUTED_VALUE"""),"")</f>
        <v/>
      </c>
      <c r="V842" t="str">
        <f>IFERROR(__xludf.DUMMYFUNCTION("""COMPUTED_VALUE"""),"")</f>
        <v/>
      </c>
      <c r="W842" t="str">
        <f>IFERROR(__xludf.DUMMYFUNCTION("""COMPUTED_VALUE"""),"")</f>
        <v/>
      </c>
      <c r="X842" t="str">
        <f>IFERROR(__xludf.DUMMYFUNCTION("""COMPUTED_VALUE"""),"")</f>
        <v/>
      </c>
      <c r="Y842" t="str">
        <f>IFERROR(__xludf.DUMMYFUNCTION("""COMPUTED_VALUE"""),"")</f>
        <v/>
      </c>
      <c r="Z842" t="str">
        <f>IFERROR(__xludf.DUMMYFUNCTION("""COMPUTED_VALUE"""),"")</f>
        <v/>
      </c>
    </row>
    <row r="843">
      <c r="A843" s="119">
        <f>IFERROR(__xludf.DUMMYFUNCTION("""COMPUTED_VALUE"""),14043.0)</f>
        <v>14043</v>
      </c>
      <c r="B843" s="119" t="str">
        <f>IFERROR(__xludf.DUMMYFUNCTION("""COMPUTED_VALUE"""),"R02")</f>
        <v>R02</v>
      </c>
      <c r="C843" t="str">
        <f>IFERROR(__xludf.DUMMYFUNCTION("""COMPUTED_VALUE"""),"Drogue Pulley Lower L Bracket")</f>
        <v>Drogue Pulley Lower L Bracket</v>
      </c>
      <c r="D843" t="str">
        <f>IFERROR(__xludf.DUMMYFUNCTION("""COMPUTED_VALUE"""),"Structures")</f>
        <v>Structures</v>
      </c>
      <c r="E843" t="str">
        <f>IFERROR(__xludf.DUMMYFUNCTION("""COMPUTED_VALUE"""),"Solidworks")</f>
        <v>Solidworks</v>
      </c>
      <c r="F843" t="str">
        <f>IFERROR(__xludf.DUMMYFUNCTION("""COMPUTED_VALUE"""),"Marginal Stability")</f>
        <v>Marginal Stability</v>
      </c>
      <c r="G843" t="str">
        <f>IFERROR(__xludf.DUMMYFUNCTION("""COMPUTED_VALUE"""),"Bracket to mount drogue pulley")</f>
        <v>Bracket to mount drogue pulley</v>
      </c>
      <c r="H843" t="str">
        <f>IFERROR(__xludf.DUMMYFUNCTION("""COMPUTED_VALUE"""),"6061 Aluminum")</f>
        <v>6061 Aluminum</v>
      </c>
      <c r="I843" t="str">
        <f>IFERROR(__xludf.DUMMYFUNCTION("""COMPUTED_VALUE"""),"Imperial")</f>
        <v>Imperial</v>
      </c>
      <c r="J843" t="str">
        <f>IFERROR(__xludf.DUMMYFUNCTION("""COMPUTED_VALUE"""),"Kyle Gore")</f>
        <v>Kyle Gore</v>
      </c>
      <c r="K843" s="49">
        <f>IFERROR(__xludf.DUMMYFUNCTION("""COMPUTED_VALUE"""),43501.0)</f>
        <v>43501</v>
      </c>
      <c r="L843" t="str">
        <f>IFERROR(__xludf.DUMMYFUNCTION("""COMPUTED_VALUE"""),"")</f>
        <v/>
      </c>
      <c r="M843" t="str">
        <f>IFERROR(__xludf.DUMMYFUNCTION("""COMPUTED_VALUE"""),"In Progress")</f>
        <v>In Progress</v>
      </c>
      <c r="N843" t="str">
        <f>IFERROR(__xludf.DUMMYFUNCTION("""COMPUTED_VALUE"""),"")</f>
        <v/>
      </c>
      <c r="O843" t="str">
        <f>IFERROR(__xludf.DUMMYFUNCTION("""COMPUTED_VALUE"""),"")</f>
        <v/>
      </c>
      <c r="P843" t="str">
        <f>IFERROR(__xludf.DUMMYFUNCTION("""COMPUTED_VALUE"""),"")</f>
        <v/>
      </c>
      <c r="Q843" t="str">
        <f>IFERROR(__xludf.DUMMYFUNCTION("""COMPUTED_VALUE"""),"")</f>
        <v/>
      </c>
      <c r="R843" t="str">
        <f>IFERROR(__xludf.DUMMYFUNCTION("""COMPUTED_VALUE"""),"")</f>
        <v/>
      </c>
      <c r="S843" t="str">
        <f>IFERROR(__xludf.DUMMYFUNCTION("""COMPUTED_VALUE"""),"")</f>
        <v/>
      </c>
      <c r="T843" t="str">
        <f>IFERROR(__xludf.DUMMYFUNCTION("""COMPUTED_VALUE"""),"")</f>
        <v/>
      </c>
      <c r="U843" t="str">
        <f>IFERROR(__xludf.DUMMYFUNCTION("""COMPUTED_VALUE"""),"")</f>
        <v/>
      </c>
      <c r="V843" t="str">
        <f>IFERROR(__xludf.DUMMYFUNCTION("""COMPUTED_VALUE"""),"")</f>
        <v/>
      </c>
      <c r="W843" t="str">
        <f>IFERROR(__xludf.DUMMYFUNCTION("""COMPUTED_VALUE"""),"")</f>
        <v/>
      </c>
      <c r="X843" t="str">
        <f>IFERROR(__xludf.DUMMYFUNCTION("""COMPUTED_VALUE"""),"")</f>
        <v/>
      </c>
      <c r="Y843" t="str">
        <f>IFERROR(__xludf.DUMMYFUNCTION("""COMPUTED_VALUE"""),"")</f>
        <v/>
      </c>
      <c r="Z843" t="str">
        <f>IFERROR(__xludf.DUMMYFUNCTION("""COMPUTED_VALUE"""),"")</f>
        <v/>
      </c>
    </row>
    <row r="844">
      <c r="A844" s="119">
        <f>IFERROR(__xludf.DUMMYFUNCTION("""COMPUTED_VALUE"""),14044.0)</f>
        <v>14044</v>
      </c>
      <c r="B844" s="119" t="str">
        <f>IFERROR(__xludf.DUMMYFUNCTION("""COMPUTED_VALUE"""),"R01")</f>
        <v>R01</v>
      </c>
      <c r="C844" t="str">
        <f>IFERROR(__xludf.DUMMYFUNCTION("""COMPUTED_VALUE"""),"Parachute Stand-In")</f>
        <v>Parachute Stand-In</v>
      </c>
      <c r="D844" t="str">
        <f>IFERROR(__xludf.DUMMYFUNCTION("""COMPUTED_VALUE"""),"Structures")</f>
        <v>Structures</v>
      </c>
      <c r="E844" t="str">
        <f>IFERROR(__xludf.DUMMYFUNCTION("""COMPUTED_VALUE"""),"Solidworks")</f>
        <v>Solidworks</v>
      </c>
      <c r="F844" t="str">
        <f>IFERROR(__xludf.DUMMYFUNCTION("""COMPUTED_VALUE"""),"Marginal Stability")</f>
        <v>Marginal Stability</v>
      </c>
      <c r="G844" t="str">
        <f>IFERROR(__xludf.DUMMYFUNCTION("""COMPUTED_VALUE"""),"Reserves space for parachute")</f>
        <v>Reserves space for parachute</v>
      </c>
      <c r="H844" t="str">
        <f>IFERROR(__xludf.DUMMYFUNCTION("""COMPUTED_VALUE"""),"Nylon")</f>
        <v>Nylon</v>
      </c>
      <c r="I844" t="str">
        <f>IFERROR(__xludf.DUMMYFUNCTION("""COMPUTED_VALUE"""),"Imperial")</f>
        <v>Imperial</v>
      </c>
      <c r="J844" t="str">
        <f>IFERROR(__xludf.DUMMYFUNCTION("""COMPUTED_VALUE"""),"Kyle Gore")</f>
        <v>Kyle Gore</v>
      </c>
      <c r="K844" s="49">
        <f>IFERROR(__xludf.DUMMYFUNCTION("""COMPUTED_VALUE"""),43505.0)</f>
        <v>43505</v>
      </c>
      <c r="L844" s="120" t="str">
        <f>IFERROR(__xludf.DUMMYFUNCTION("""COMPUTED_VALUE"""),"https://drive.google.com/open?id=1Yvgxqbqpe6AMNrbDvi0h6uv4kb6Ib-lw")</f>
        <v>https://drive.google.com/open?id=1Yvgxqbqpe6AMNrbDvi0h6uv4kb6Ib-lw</v>
      </c>
      <c r="M844" t="str">
        <f>IFERROR(__xludf.DUMMYFUNCTION("""COMPUTED_VALUE"""),"In Progress")</f>
        <v>In Progress</v>
      </c>
      <c r="N844" t="str">
        <f>IFERROR(__xludf.DUMMYFUNCTION("""COMPUTED_VALUE"""),"")</f>
        <v/>
      </c>
      <c r="O844" t="str">
        <f>IFERROR(__xludf.DUMMYFUNCTION("""COMPUTED_VALUE"""),"")</f>
        <v/>
      </c>
      <c r="P844" t="str">
        <f>IFERROR(__xludf.DUMMYFUNCTION("""COMPUTED_VALUE"""),"")</f>
        <v/>
      </c>
      <c r="Q844" t="str">
        <f>IFERROR(__xludf.DUMMYFUNCTION("""COMPUTED_VALUE"""),"")</f>
        <v/>
      </c>
      <c r="R844" t="str">
        <f>IFERROR(__xludf.DUMMYFUNCTION("""COMPUTED_VALUE"""),"")</f>
        <v/>
      </c>
      <c r="S844" t="str">
        <f>IFERROR(__xludf.DUMMYFUNCTION("""COMPUTED_VALUE"""),"")</f>
        <v/>
      </c>
      <c r="T844" t="str">
        <f>IFERROR(__xludf.DUMMYFUNCTION("""COMPUTED_VALUE"""),"")</f>
        <v/>
      </c>
      <c r="U844" t="str">
        <f>IFERROR(__xludf.DUMMYFUNCTION("""COMPUTED_VALUE"""),"")</f>
        <v/>
      </c>
      <c r="V844" t="str">
        <f>IFERROR(__xludf.DUMMYFUNCTION("""COMPUTED_VALUE"""),"")</f>
        <v/>
      </c>
      <c r="W844" t="str">
        <f>IFERROR(__xludf.DUMMYFUNCTION("""COMPUTED_VALUE"""),"")</f>
        <v/>
      </c>
      <c r="X844" t="str">
        <f>IFERROR(__xludf.DUMMYFUNCTION("""COMPUTED_VALUE"""),"")</f>
        <v/>
      </c>
      <c r="Y844" t="str">
        <f>IFERROR(__xludf.DUMMYFUNCTION("""COMPUTED_VALUE"""),"")</f>
        <v/>
      </c>
      <c r="Z844" t="str">
        <f>IFERROR(__xludf.DUMMYFUNCTION("""COMPUTED_VALUE"""),"")</f>
        <v/>
      </c>
    </row>
    <row r="845">
      <c r="A845" s="119">
        <f>IFERROR(__xludf.DUMMYFUNCTION("""COMPUTED_VALUE"""),14045.0)</f>
        <v>14045</v>
      </c>
      <c r="B845" s="119" t="str">
        <f>IFERROR(__xludf.DUMMYFUNCTION("""COMPUTED_VALUE"""),"R01")</f>
        <v>R01</v>
      </c>
      <c r="C845" t="str">
        <f>IFERROR(__xludf.DUMMYFUNCTION("""COMPUTED_VALUE"""),"Ejection Gusset")</f>
        <v>Ejection Gusset</v>
      </c>
      <c r="D845" t="str">
        <f>IFERROR(__xludf.DUMMYFUNCTION("""COMPUTED_VALUE"""),"Structures")</f>
        <v>Structures</v>
      </c>
      <c r="E845" t="str">
        <f>IFERROR(__xludf.DUMMYFUNCTION("""COMPUTED_VALUE"""),"Solidworks")</f>
        <v>Solidworks</v>
      </c>
      <c r="F845" t="str">
        <f>IFERROR(__xludf.DUMMYFUNCTION("""COMPUTED_VALUE"""),"Marginal Stability")</f>
        <v>Marginal Stability</v>
      </c>
      <c r="G845" t="str">
        <f>IFERROR(__xludf.DUMMYFUNCTION("""COMPUTED_VALUE"""),"Attaches L-brackets together for recovery ejector")</f>
        <v>Attaches L-brackets together for recovery ejector</v>
      </c>
      <c r="H845" t="str">
        <f>IFERROR(__xludf.DUMMYFUNCTION("""COMPUTED_VALUE"""),"Steel")</f>
        <v>Steel</v>
      </c>
      <c r="I845" t="str">
        <f>IFERROR(__xludf.DUMMYFUNCTION("""COMPUTED_VALUE"""),"Imperial")</f>
        <v>Imperial</v>
      </c>
      <c r="J845" t="str">
        <f>IFERROR(__xludf.DUMMYFUNCTION("""COMPUTED_VALUE"""),"Bryce Borders")</f>
        <v>Bryce Borders</v>
      </c>
      <c r="K845" s="49">
        <f>IFERROR(__xludf.DUMMYFUNCTION("""COMPUTED_VALUE"""),43507.0)</f>
        <v>43507</v>
      </c>
      <c r="L845" t="str">
        <f>IFERROR(__xludf.DUMMYFUNCTION("""COMPUTED_VALUE"""),"")</f>
        <v/>
      </c>
      <c r="M845" t="str">
        <f>IFERROR(__xludf.DUMMYFUNCTION("""COMPUTED_VALUE"""),"In Progress")</f>
        <v>In Progress</v>
      </c>
      <c r="N845" t="str">
        <f>IFERROR(__xludf.DUMMYFUNCTION("""COMPUTED_VALUE"""),"")</f>
        <v/>
      </c>
      <c r="O845" t="str">
        <f>IFERROR(__xludf.DUMMYFUNCTION("""COMPUTED_VALUE"""),"")</f>
        <v/>
      </c>
      <c r="P845" t="str">
        <f>IFERROR(__xludf.DUMMYFUNCTION("""COMPUTED_VALUE"""),"")</f>
        <v/>
      </c>
      <c r="Q845" t="str">
        <f>IFERROR(__xludf.DUMMYFUNCTION("""COMPUTED_VALUE"""),"")</f>
        <v/>
      </c>
      <c r="R845" t="str">
        <f>IFERROR(__xludf.DUMMYFUNCTION("""COMPUTED_VALUE"""),"")</f>
        <v/>
      </c>
      <c r="S845" t="str">
        <f>IFERROR(__xludf.DUMMYFUNCTION("""COMPUTED_VALUE"""),"")</f>
        <v/>
      </c>
      <c r="T845" t="str">
        <f>IFERROR(__xludf.DUMMYFUNCTION("""COMPUTED_VALUE"""),"")</f>
        <v/>
      </c>
      <c r="U845" t="str">
        <f>IFERROR(__xludf.DUMMYFUNCTION("""COMPUTED_VALUE"""),"")</f>
        <v/>
      </c>
      <c r="V845" t="str">
        <f>IFERROR(__xludf.DUMMYFUNCTION("""COMPUTED_VALUE"""),"")</f>
        <v/>
      </c>
      <c r="W845" t="str">
        <f>IFERROR(__xludf.DUMMYFUNCTION("""COMPUTED_VALUE"""),"")</f>
        <v/>
      </c>
      <c r="X845" t="str">
        <f>IFERROR(__xludf.DUMMYFUNCTION("""COMPUTED_VALUE"""),"")</f>
        <v/>
      </c>
      <c r="Y845" t="str">
        <f>IFERROR(__xludf.DUMMYFUNCTION("""COMPUTED_VALUE"""),"")</f>
        <v/>
      </c>
      <c r="Z845" t="str">
        <f>IFERROR(__xludf.DUMMYFUNCTION("""COMPUTED_VALUE"""),"")</f>
        <v/>
      </c>
    </row>
    <row r="846">
      <c r="A846" s="119">
        <f>IFERROR(__xludf.DUMMYFUNCTION("""COMPUTED_VALUE"""),14046.0)</f>
        <v>14046</v>
      </c>
      <c r="B846" s="119" t="str">
        <f>IFERROR(__xludf.DUMMYFUNCTION("""COMPUTED_VALUE"""),"R01")</f>
        <v>R01</v>
      </c>
      <c r="C846" t="str">
        <f>IFERROR(__xludf.DUMMYFUNCTION("""COMPUTED_VALUE"""),"Drogue Pulley Upper")</f>
        <v>Drogue Pulley Upper</v>
      </c>
      <c r="D846" t="str">
        <f>IFERROR(__xludf.DUMMYFUNCTION("""COMPUTED_VALUE"""),"Structures")</f>
        <v>Structures</v>
      </c>
      <c r="E846" t="str">
        <f>IFERROR(__xludf.DUMMYFUNCTION("""COMPUTED_VALUE"""),"Solidworks")</f>
        <v>Solidworks</v>
      </c>
      <c r="F846" t="str">
        <f>IFERROR(__xludf.DUMMYFUNCTION("""COMPUTED_VALUE"""),"Marginal Stability")</f>
        <v>Marginal Stability</v>
      </c>
      <c r="G846" t="str">
        <f>IFERROR(__xludf.DUMMYFUNCTION("""COMPUTED_VALUE"""),"Upper half of drogue pulley")</f>
        <v>Upper half of drogue pulley</v>
      </c>
      <c r="H846" t="str">
        <f>IFERROR(__xludf.DUMMYFUNCTION("""COMPUTED_VALUE"""),"6061 Aluminum")</f>
        <v>6061 Aluminum</v>
      </c>
      <c r="I846" t="str">
        <f>IFERROR(__xludf.DUMMYFUNCTION("""COMPUTED_VALUE"""),"Imperial")</f>
        <v>Imperial</v>
      </c>
      <c r="J846" t="str">
        <f>IFERROR(__xludf.DUMMYFUNCTION("""COMPUTED_VALUE"""),"Kyle Gore")</f>
        <v>Kyle Gore</v>
      </c>
      <c r="K846" s="49">
        <f>IFERROR(__xludf.DUMMYFUNCTION("""COMPUTED_VALUE"""),43512.0)</f>
        <v>43512</v>
      </c>
      <c r="L846" t="str">
        <f>IFERROR(__xludf.DUMMYFUNCTION("""COMPUTED_VALUE"""),"")</f>
        <v/>
      </c>
      <c r="M846" t="str">
        <f>IFERROR(__xludf.DUMMYFUNCTION("""COMPUTED_VALUE"""),"In Progress")</f>
        <v>In Progress</v>
      </c>
      <c r="N846" t="str">
        <f>IFERROR(__xludf.DUMMYFUNCTION("""COMPUTED_VALUE"""),"")</f>
        <v/>
      </c>
      <c r="O846" t="str">
        <f>IFERROR(__xludf.DUMMYFUNCTION("""COMPUTED_VALUE"""),"")</f>
        <v/>
      </c>
      <c r="P846" t="str">
        <f>IFERROR(__xludf.DUMMYFUNCTION("""COMPUTED_VALUE"""),"")</f>
        <v/>
      </c>
      <c r="Q846" t="str">
        <f>IFERROR(__xludf.DUMMYFUNCTION("""COMPUTED_VALUE"""),"")</f>
        <v/>
      </c>
      <c r="R846" t="str">
        <f>IFERROR(__xludf.DUMMYFUNCTION("""COMPUTED_VALUE"""),"")</f>
        <v/>
      </c>
      <c r="S846" t="str">
        <f>IFERROR(__xludf.DUMMYFUNCTION("""COMPUTED_VALUE"""),"")</f>
        <v/>
      </c>
      <c r="T846" t="str">
        <f>IFERROR(__xludf.DUMMYFUNCTION("""COMPUTED_VALUE"""),"")</f>
        <v/>
      </c>
      <c r="U846" t="str">
        <f>IFERROR(__xludf.DUMMYFUNCTION("""COMPUTED_VALUE"""),"")</f>
        <v/>
      </c>
      <c r="V846" t="str">
        <f>IFERROR(__xludf.DUMMYFUNCTION("""COMPUTED_VALUE"""),"")</f>
        <v/>
      </c>
      <c r="W846" t="str">
        <f>IFERROR(__xludf.DUMMYFUNCTION("""COMPUTED_VALUE"""),"")</f>
        <v/>
      </c>
      <c r="X846" t="str">
        <f>IFERROR(__xludf.DUMMYFUNCTION("""COMPUTED_VALUE"""),"")</f>
        <v/>
      </c>
      <c r="Y846" t="str">
        <f>IFERROR(__xludf.DUMMYFUNCTION("""COMPUTED_VALUE"""),"")</f>
        <v/>
      </c>
      <c r="Z846" t="str">
        <f>IFERROR(__xludf.DUMMYFUNCTION("""COMPUTED_VALUE"""),"")</f>
        <v/>
      </c>
    </row>
    <row r="847">
      <c r="A847" s="119">
        <f>IFERROR(__xludf.DUMMYFUNCTION("""COMPUTED_VALUE"""),14047.0)</f>
        <v>14047</v>
      </c>
      <c r="B847" s="119" t="str">
        <f>IFERROR(__xludf.DUMMYFUNCTION("""COMPUTED_VALUE"""),"R02")</f>
        <v>R02</v>
      </c>
      <c r="C847" t="str">
        <f>IFERROR(__xludf.DUMMYFUNCTION("""COMPUTED_VALUE"""),"Drogue Release Mount")</f>
        <v>Drogue Release Mount</v>
      </c>
      <c r="D847" t="str">
        <f>IFERROR(__xludf.DUMMYFUNCTION("""COMPUTED_VALUE"""),"Structures")</f>
        <v>Structures</v>
      </c>
      <c r="E847" t="str">
        <f>IFERROR(__xludf.DUMMYFUNCTION("""COMPUTED_VALUE"""),"Solidworks")</f>
        <v>Solidworks</v>
      </c>
      <c r="F847" t="str">
        <f>IFERROR(__xludf.DUMMYFUNCTION("""COMPUTED_VALUE"""),"Marginal Stability")</f>
        <v>Marginal Stability</v>
      </c>
      <c r="G847" t="str">
        <f>IFERROR(__xludf.DUMMYFUNCTION("""COMPUTED_VALUE"""),"Mount for drogue release cutter")</f>
        <v>Mount for drogue release cutter</v>
      </c>
      <c r="H847" t="str">
        <f>IFERROR(__xludf.DUMMYFUNCTION("""COMPUTED_VALUE"""),"6061 Aluminum")</f>
        <v>6061 Aluminum</v>
      </c>
      <c r="I847" t="str">
        <f>IFERROR(__xludf.DUMMYFUNCTION("""COMPUTED_VALUE"""),"Imperial")</f>
        <v>Imperial</v>
      </c>
      <c r="J847" t="str">
        <f>IFERROR(__xludf.DUMMYFUNCTION("""COMPUTED_VALUE"""),"Kyle Gore")</f>
        <v>Kyle Gore</v>
      </c>
      <c r="K847" s="49">
        <f>IFERROR(__xludf.DUMMYFUNCTION("""COMPUTED_VALUE"""),43515.0)</f>
        <v>43515</v>
      </c>
      <c r="L847" s="120" t="str">
        <f>IFERROR(__xludf.DUMMYFUNCTION("""COMPUTED_VALUE"""),"https://drive.google.com/open?id=1cE8YBG4wDMDCs2zqMb-fSo5vK32LZOsj")</f>
        <v>https://drive.google.com/open?id=1cE8YBG4wDMDCs2zqMb-fSo5vK32LZOsj</v>
      </c>
      <c r="M847" t="str">
        <f>IFERROR(__xludf.DUMMYFUNCTION("""COMPUTED_VALUE"""),"In Progress")</f>
        <v>In Progress</v>
      </c>
      <c r="N847" t="str">
        <f>IFERROR(__xludf.DUMMYFUNCTION("""COMPUTED_VALUE"""),"")</f>
        <v/>
      </c>
      <c r="O847" t="str">
        <f>IFERROR(__xludf.DUMMYFUNCTION("""COMPUTED_VALUE"""),"")</f>
        <v/>
      </c>
      <c r="P847" t="str">
        <f>IFERROR(__xludf.DUMMYFUNCTION("""COMPUTED_VALUE"""),"")</f>
        <v/>
      </c>
      <c r="Q847" t="str">
        <f>IFERROR(__xludf.DUMMYFUNCTION("""COMPUTED_VALUE"""),"")</f>
        <v/>
      </c>
      <c r="R847" t="str">
        <f>IFERROR(__xludf.DUMMYFUNCTION("""COMPUTED_VALUE"""),"")</f>
        <v/>
      </c>
      <c r="S847" t="str">
        <f>IFERROR(__xludf.DUMMYFUNCTION("""COMPUTED_VALUE"""),"")</f>
        <v/>
      </c>
      <c r="T847" t="str">
        <f>IFERROR(__xludf.DUMMYFUNCTION("""COMPUTED_VALUE"""),"")</f>
        <v/>
      </c>
      <c r="U847" t="str">
        <f>IFERROR(__xludf.DUMMYFUNCTION("""COMPUTED_VALUE"""),"")</f>
        <v/>
      </c>
      <c r="V847" t="str">
        <f>IFERROR(__xludf.DUMMYFUNCTION("""COMPUTED_VALUE"""),"")</f>
        <v/>
      </c>
      <c r="W847" t="str">
        <f>IFERROR(__xludf.DUMMYFUNCTION("""COMPUTED_VALUE"""),"")</f>
        <v/>
      </c>
      <c r="X847" t="str">
        <f>IFERROR(__xludf.DUMMYFUNCTION("""COMPUTED_VALUE"""),"")</f>
        <v/>
      </c>
      <c r="Y847" t="str">
        <f>IFERROR(__xludf.DUMMYFUNCTION("""COMPUTED_VALUE"""),"")</f>
        <v/>
      </c>
      <c r="Z847" t="str">
        <f>IFERROR(__xludf.DUMMYFUNCTION("""COMPUTED_VALUE"""),"")</f>
        <v/>
      </c>
    </row>
    <row r="848">
      <c r="A848" s="119">
        <f>IFERROR(__xludf.DUMMYFUNCTION("""COMPUTED_VALUE"""),14048.0)</f>
        <v>14048</v>
      </c>
      <c r="B848" s="119" t="str">
        <f>IFERROR(__xludf.DUMMYFUNCTION("""COMPUTED_VALUE"""),"R01")</f>
        <v>R01</v>
      </c>
      <c r="C848" t="str">
        <f>IFERROR(__xludf.DUMMYFUNCTION("""COMPUTED_VALUE"""),"Annular RP-1/LOX Wall")</f>
        <v>Annular RP-1/LOX Wall</v>
      </c>
      <c r="D848" t="str">
        <f>IFERROR(__xludf.DUMMYFUNCTION("""COMPUTED_VALUE"""),"Structures")</f>
        <v>Structures</v>
      </c>
      <c r="E848" t="str">
        <f>IFERROR(__xludf.DUMMYFUNCTION("""COMPUTED_VALUE"""),"Solidworks")</f>
        <v>Solidworks</v>
      </c>
      <c r="F848" t="str">
        <f>IFERROR(__xludf.DUMMYFUNCTION("""COMPUTED_VALUE"""),"Marginal Stability")</f>
        <v>Marginal Stability</v>
      </c>
      <c r="G848" t="str">
        <f>IFERROR(__xludf.DUMMYFUNCTION("""COMPUTED_VALUE"""),"Internal tank wall for isolating LOX passthrough and insulation from RP-1 tank contents")</f>
        <v>Internal tank wall for isolating LOX passthrough and insulation from RP-1 tank contents</v>
      </c>
      <c r="H848" t="str">
        <f>IFERROR(__xludf.DUMMYFUNCTION("""COMPUTED_VALUE"""),"6061-T6")</f>
        <v>6061-T6</v>
      </c>
      <c r="I848" t="str">
        <f>IFERROR(__xludf.DUMMYFUNCTION("""COMPUTED_VALUE"""),"Imperial")</f>
        <v>Imperial</v>
      </c>
      <c r="J848" t="str">
        <f>IFERROR(__xludf.DUMMYFUNCTION("""COMPUTED_VALUE"""),"Alexander Pallesco")</f>
        <v>Alexander Pallesco</v>
      </c>
      <c r="K848" s="49">
        <f>IFERROR(__xludf.DUMMYFUNCTION("""COMPUTED_VALUE"""),43497.0)</f>
        <v>43497</v>
      </c>
      <c r="L848" s="120" t="str">
        <f>IFERROR(__xludf.DUMMYFUNCTION("""COMPUTED_VALUE"""),"https://drive.google.com/open?id=1D2A7hkSoCoexP5Az5SYoZF8pVAgubLc3")</f>
        <v>https://drive.google.com/open?id=1D2A7hkSoCoexP5Az5SYoZF8pVAgubLc3</v>
      </c>
      <c r="M848" t="str">
        <f>IFERROR(__xludf.DUMMYFUNCTION("""COMPUTED_VALUE"""),"Completed")</f>
        <v>Completed</v>
      </c>
      <c r="N848" t="str">
        <f>IFERROR(__xludf.DUMMYFUNCTION("""COMPUTED_VALUE"""),"")</f>
        <v/>
      </c>
      <c r="O848" t="str">
        <f>IFERROR(__xludf.DUMMYFUNCTION("""COMPUTED_VALUE"""),"")</f>
        <v/>
      </c>
      <c r="P848" t="str">
        <f>IFERROR(__xludf.DUMMYFUNCTION("""COMPUTED_VALUE"""),"")</f>
        <v/>
      </c>
      <c r="Q848" t="str">
        <f>IFERROR(__xludf.DUMMYFUNCTION("""COMPUTED_VALUE"""),"")</f>
        <v/>
      </c>
      <c r="R848" t="str">
        <f>IFERROR(__xludf.DUMMYFUNCTION("""COMPUTED_VALUE"""),"")</f>
        <v/>
      </c>
      <c r="S848" t="str">
        <f>IFERROR(__xludf.DUMMYFUNCTION("""COMPUTED_VALUE"""),"")</f>
        <v/>
      </c>
      <c r="T848" t="str">
        <f>IFERROR(__xludf.DUMMYFUNCTION("""COMPUTED_VALUE"""),"")</f>
        <v/>
      </c>
      <c r="U848" t="str">
        <f>IFERROR(__xludf.DUMMYFUNCTION("""COMPUTED_VALUE"""),"")</f>
        <v/>
      </c>
      <c r="V848" t="str">
        <f>IFERROR(__xludf.DUMMYFUNCTION("""COMPUTED_VALUE"""),"")</f>
        <v/>
      </c>
      <c r="W848" t="str">
        <f>IFERROR(__xludf.DUMMYFUNCTION("""COMPUTED_VALUE"""),"")</f>
        <v/>
      </c>
      <c r="X848" t="str">
        <f>IFERROR(__xludf.DUMMYFUNCTION("""COMPUTED_VALUE"""),"")</f>
        <v/>
      </c>
      <c r="Y848" t="str">
        <f>IFERROR(__xludf.DUMMYFUNCTION("""COMPUTED_VALUE"""),"")</f>
        <v/>
      </c>
      <c r="Z848" t="str">
        <f>IFERROR(__xludf.DUMMYFUNCTION("""COMPUTED_VALUE"""),"")</f>
        <v/>
      </c>
    </row>
    <row r="849">
      <c r="A849" s="119">
        <f>IFERROR(__xludf.DUMMYFUNCTION("""COMPUTED_VALUE"""),14049.0)</f>
        <v>14049</v>
      </c>
      <c r="B849" s="119" t="str">
        <f>IFERROR(__xludf.DUMMYFUNCTION("""COMPUTED_VALUE"""),"R01")</f>
        <v>R01</v>
      </c>
      <c r="C849" t="str">
        <f>IFERROR(__xludf.DUMMYFUNCTION("""COMPUTED_VALUE"""),"LOX Pass-through")</f>
        <v>LOX Pass-through</v>
      </c>
      <c r="D849" t="str">
        <f>IFERROR(__xludf.DUMMYFUNCTION("""COMPUTED_VALUE"""),"Structures")</f>
        <v>Structures</v>
      </c>
      <c r="E849" t="str">
        <f>IFERROR(__xludf.DUMMYFUNCTION("""COMPUTED_VALUE"""),"Solidworks")</f>
        <v>Solidworks</v>
      </c>
      <c r="F849" t="str">
        <f>IFERROR(__xludf.DUMMYFUNCTION("""COMPUTED_VALUE"""),"Marginal Stability")</f>
        <v>Marginal Stability</v>
      </c>
      <c r="G849" t="str">
        <f>IFERROR(__xludf.DUMMYFUNCTION("""COMPUTED_VALUE"""),"LOX plumbing from common bulkhead through RP-1 tank, to RP-1 bulkhead. ")</f>
        <v>LOX plumbing from common bulkhead through RP-1 tank, to RP-1 bulkhead. </v>
      </c>
      <c r="H849" t="str">
        <f>IFERROR(__xludf.DUMMYFUNCTION("""COMPUTED_VALUE"""),"6061-T6")</f>
        <v>6061-T6</v>
      </c>
      <c r="I849" t="str">
        <f>IFERROR(__xludf.DUMMYFUNCTION("""COMPUTED_VALUE"""),"Imperial")</f>
        <v>Imperial</v>
      </c>
      <c r="J849" t="str">
        <f>IFERROR(__xludf.DUMMYFUNCTION("""COMPUTED_VALUE"""),"Alexander Pallesco")</f>
        <v>Alexander Pallesco</v>
      </c>
      <c r="K849" s="49">
        <f>IFERROR(__xludf.DUMMYFUNCTION("""COMPUTED_VALUE"""),43497.0)</f>
        <v>43497</v>
      </c>
      <c r="L849" s="120" t="str">
        <f>IFERROR(__xludf.DUMMYFUNCTION("""COMPUTED_VALUE"""),"https://drive.google.com/open?id=1skyeXrpwGuMjWgwwdAPSmkrsirkCmVjd")</f>
        <v>https://drive.google.com/open?id=1skyeXrpwGuMjWgwwdAPSmkrsirkCmVjd</v>
      </c>
      <c r="M849" t="str">
        <f>IFERROR(__xludf.DUMMYFUNCTION("""COMPUTED_VALUE"""),"Completed")</f>
        <v>Completed</v>
      </c>
      <c r="N849" t="str">
        <f>IFERROR(__xludf.DUMMYFUNCTION("""COMPUTED_VALUE"""),"")</f>
        <v/>
      </c>
      <c r="O849" t="str">
        <f>IFERROR(__xludf.DUMMYFUNCTION("""COMPUTED_VALUE"""),"")</f>
        <v/>
      </c>
      <c r="P849" t="str">
        <f>IFERROR(__xludf.DUMMYFUNCTION("""COMPUTED_VALUE"""),"")</f>
        <v/>
      </c>
      <c r="Q849" t="str">
        <f>IFERROR(__xludf.DUMMYFUNCTION("""COMPUTED_VALUE"""),"")</f>
        <v/>
      </c>
      <c r="R849" t="str">
        <f>IFERROR(__xludf.DUMMYFUNCTION("""COMPUTED_VALUE"""),"")</f>
        <v/>
      </c>
      <c r="S849" t="str">
        <f>IFERROR(__xludf.DUMMYFUNCTION("""COMPUTED_VALUE"""),"")</f>
        <v/>
      </c>
      <c r="T849" t="str">
        <f>IFERROR(__xludf.DUMMYFUNCTION("""COMPUTED_VALUE"""),"")</f>
        <v/>
      </c>
      <c r="U849" t="str">
        <f>IFERROR(__xludf.DUMMYFUNCTION("""COMPUTED_VALUE"""),"")</f>
        <v/>
      </c>
      <c r="V849" t="str">
        <f>IFERROR(__xludf.DUMMYFUNCTION("""COMPUTED_VALUE"""),"")</f>
        <v/>
      </c>
      <c r="W849" t="str">
        <f>IFERROR(__xludf.DUMMYFUNCTION("""COMPUTED_VALUE"""),"")</f>
        <v/>
      </c>
      <c r="X849" t="str">
        <f>IFERROR(__xludf.DUMMYFUNCTION("""COMPUTED_VALUE"""),"")</f>
        <v/>
      </c>
      <c r="Y849" t="str">
        <f>IFERROR(__xludf.DUMMYFUNCTION("""COMPUTED_VALUE"""),"")</f>
        <v/>
      </c>
      <c r="Z849" t="str">
        <f>IFERROR(__xludf.DUMMYFUNCTION("""COMPUTED_VALUE"""),"")</f>
        <v/>
      </c>
    </row>
    <row r="850">
      <c r="A850" s="119">
        <f>IFERROR(__xludf.DUMMYFUNCTION("""COMPUTED_VALUE"""),14050.0)</f>
        <v>14050</v>
      </c>
      <c r="B850" s="119" t="str">
        <f>IFERROR(__xludf.DUMMYFUNCTION("""COMPUTED_VALUE"""),"R01")</f>
        <v>R01</v>
      </c>
      <c r="C850" t="str">
        <f>IFERROR(__xludf.DUMMYFUNCTION("""COMPUTED_VALUE"""),"He Engine Purge")</f>
        <v>He Engine Purge</v>
      </c>
      <c r="D850" t="str">
        <f>IFERROR(__xludf.DUMMYFUNCTION("""COMPUTED_VALUE"""),"Structures")</f>
        <v>Structures</v>
      </c>
      <c r="E850" t="str">
        <f>IFERROR(__xludf.DUMMYFUNCTION("""COMPUTED_VALUE"""),"Solidworks")</f>
        <v>Solidworks</v>
      </c>
      <c r="F850" t="str">
        <f>IFERROR(__xludf.DUMMYFUNCTION("""COMPUTED_VALUE"""),"Marginal Stability")</f>
        <v>Marginal Stability</v>
      </c>
      <c r="G850" t="str">
        <f>IFERROR(__xludf.DUMMYFUNCTION("""COMPUTED_VALUE"""),"He plumbing extending through length of propellant tanks. Used for purging out engine.")</f>
        <v>He plumbing extending through length of propellant tanks. Used for purging out engine.</v>
      </c>
      <c r="H850" t="str">
        <f>IFERROR(__xludf.DUMMYFUNCTION("""COMPUTED_VALUE"""),"6061-T6")</f>
        <v>6061-T6</v>
      </c>
      <c r="I850" t="str">
        <f>IFERROR(__xludf.DUMMYFUNCTION("""COMPUTED_VALUE"""),"Imperial")</f>
        <v>Imperial</v>
      </c>
      <c r="J850" t="str">
        <f>IFERROR(__xludf.DUMMYFUNCTION("""COMPUTED_VALUE"""),"Joshua Elmer")</f>
        <v>Joshua Elmer</v>
      </c>
      <c r="K850" s="49">
        <f>IFERROR(__xludf.DUMMYFUNCTION("""COMPUTED_VALUE"""),43497.0)</f>
        <v>43497</v>
      </c>
      <c r="L850" s="120" t="str">
        <f>IFERROR(__xludf.DUMMYFUNCTION("""COMPUTED_VALUE"""),"https://drive.google.com/open?id=1Yft2rf4xQEN7RIsf2WD4FcXWjomWjTup")</f>
        <v>https://drive.google.com/open?id=1Yft2rf4xQEN7RIsf2WD4FcXWjomWjTup</v>
      </c>
      <c r="M850" t="str">
        <f>IFERROR(__xludf.DUMMYFUNCTION("""COMPUTED_VALUE"""),"Completed")</f>
        <v>Completed</v>
      </c>
      <c r="N850" t="str">
        <f>IFERROR(__xludf.DUMMYFUNCTION("""COMPUTED_VALUE"""),"")</f>
        <v/>
      </c>
      <c r="O850" t="str">
        <f>IFERROR(__xludf.DUMMYFUNCTION("""COMPUTED_VALUE"""),"")</f>
        <v/>
      </c>
      <c r="P850" t="str">
        <f>IFERROR(__xludf.DUMMYFUNCTION("""COMPUTED_VALUE"""),"")</f>
        <v/>
      </c>
      <c r="Q850" t="str">
        <f>IFERROR(__xludf.DUMMYFUNCTION("""COMPUTED_VALUE"""),"")</f>
        <v/>
      </c>
      <c r="R850" t="str">
        <f>IFERROR(__xludf.DUMMYFUNCTION("""COMPUTED_VALUE"""),"")</f>
        <v/>
      </c>
      <c r="S850" t="str">
        <f>IFERROR(__xludf.DUMMYFUNCTION("""COMPUTED_VALUE"""),"")</f>
        <v/>
      </c>
      <c r="T850" t="str">
        <f>IFERROR(__xludf.DUMMYFUNCTION("""COMPUTED_VALUE"""),"")</f>
        <v/>
      </c>
      <c r="U850" t="str">
        <f>IFERROR(__xludf.DUMMYFUNCTION("""COMPUTED_VALUE"""),"")</f>
        <v/>
      </c>
      <c r="V850" t="str">
        <f>IFERROR(__xludf.DUMMYFUNCTION("""COMPUTED_VALUE"""),"")</f>
        <v/>
      </c>
      <c r="W850" t="str">
        <f>IFERROR(__xludf.DUMMYFUNCTION("""COMPUTED_VALUE"""),"")</f>
        <v/>
      </c>
      <c r="X850" t="str">
        <f>IFERROR(__xludf.DUMMYFUNCTION("""COMPUTED_VALUE"""),"")</f>
        <v/>
      </c>
      <c r="Y850" t="str">
        <f>IFERROR(__xludf.DUMMYFUNCTION("""COMPUTED_VALUE"""),"")</f>
        <v/>
      </c>
      <c r="Z850" t="str">
        <f>IFERROR(__xludf.DUMMYFUNCTION("""COMPUTED_VALUE"""),"")</f>
        <v/>
      </c>
    </row>
    <row r="851">
      <c r="A851" s="119">
        <f>IFERROR(__xludf.DUMMYFUNCTION("""COMPUTED_VALUE"""),14051.0)</f>
        <v>14051</v>
      </c>
      <c r="B851" s="119" t="str">
        <f>IFERROR(__xludf.DUMMYFUNCTION("""COMPUTED_VALUE"""),"R01")</f>
        <v>R01</v>
      </c>
      <c r="C851" t="str">
        <f>IFERROR(__xludf.DUMMYFUNCTION("""COMPUTED_VALUE"""),"RP-1 Pressurization He Plumbing")</f>
        <v>RP-1 Pressurization He Plumbing</v>
      </c>
      <c r="D851" t="str">
        <f>IFERROR(__xludf.DUMMYFUNCTION("""COMPUTED_VALUE"""),"Structures")</f>
        <v>Structures</v>
      </c>
      <c r="E851" t="str">
        <f>IFERROR(__xludf.DUMMYFUNCTION("""COMPUTED_VALUE"""),"Solidworks")</f>
        <v>Solidworks</v>
      </c>
      <c r="F851" t="str">
        <f>IFERROR(__xludf.DUMMYFUNCTION("""COMPUTED_VALUE"""),"Marginal Stability")</f>
        <v>Marginal Stability</v>
      </c>
      <c r="G851" t="str">
        <f>IFERROR(__xludf.DUMMYFUNCTION("""COMPUTED_VALUE"""),"He plumbing from LOX bulkhead through LOX tank to common bulkhead. Used for pressurization of RP-1 tank. ")</f>
        <v>He plumbing from LOX bulkhead through LOX tank to common bulkhead. Used for pressurization of RP-1 tank. </v>
      </c>
      <c r="H851" t="str">
        <f>IFERROR(__xludf.DUMMYFUNCTION("""COMPUTED_VALUE"""),"6061-T6")</f>
        <v>6061-T6</v>
      </c>
      <c r="I851" t="str">
        <f>IFERROR(__xludf.DUMMYFUNCTION("""COMPUTED_VALUE"""),"Imperial")</f>
        <v>Imperial</v>
      </c>
      <c r="J851" t="str">
        <f>IFERROR(__xludf.DUMMYFUNCTION("""COMPUTED_VALUE"""),"Alexander Pallesco")</f>
        <v>Alexander Pallesco</v>
      </c>
      <c r="K851" s="49">
        <f>IFERROR(__xludf.DUMMYFUNCTION("""COMPUTED_VALUE"""),43497.0)</f>
        <v>43497</v>
      </c>
      <c r="L851" s="120" t="str">
        <f>IFERROR(__xludf.DUMMYFUNCTION("""COMPUTED_VALUE"""),"https://drive.google.com/open?id=1ZK9eIHxp6rRyuLEjPatx6aGunVLGN3tg")</f>
        <v>https://drive.google.com/open?id=1ZK9eIHxp6rRyuLEjPatx6aGunVLGN3tg</v>
      </c>
      <c r="M851" t="str">
        <f>IFERROR(__xludf.DUMMYFUNCTION("""COMPUTED_VALUE"""),"Completed")</f>
        <v>Completed</v>
      </c>
      <c r="N851" t="str">
        <f>IFERROR(__xludf.DUMMYFUNCTION("""COMPUTED_VALUE"""),"")</f>
        <v/>
      </c>
      <c r="O851" t="str">
        <f>IFERROR(__xludf.DUMMYFUNCTION("""COMPUTED_VALUE"""),"")</f>
        <v/>
      </c>
      <c r="P851" t="str">
        <f>IFERROR(__xludf.DUMMYFUNCTION("""COMPUTED_VALUE"""),"")</f>
        <v/>
      </c>
      <c r="Q851" t="str">
        <f>IFERROR(__xludf.DUMMYFUNCTION("""COMPUTED_VALUE"""),"")</f>
        <v/>
      </c>
      <c r="R851" t="str">
        <f>IFERROR(__xludf.DUMMYFUNCTION("""COMPUTED_VALUE"""),"")</f>
        <v/>
      </c>
      <c r="S851" t="str">
        <f>IFERROR(__xludf.DUMMYFUNCTION("""COMPUTED_VALUE"""),"")</f>
        <v/>
      </c>
      <c r="T851" t="str">
        <f>IFERROR(__xludf.DUMMYFUNCTION("""COMPUTED_VALUE"""),"")</f>
        <v/>
      </c>
      <c r="U851" t="str">
        <f>IFERROR(__xludf.DUMMYFUNCTION("""COMPUTED_VALUE"""),"")</f>
        <v/>
      </c>
      <c r="V851" t="str">
        <f>IFERROR(__xludf.DUMMYFUNCTION("""COMPUTED_VALUE"""),"")</f>
        <v/>
      </c>
      <c r="W851" t="str">
        <f>IFERROR(__xludf.DUMMYFUNCTION("""COMPUTED_VALUE"""),"")</f>
        <v/>
      </c>
      <c r="X851" t="str">
        <f>IFERROR(__xludf.DUMMYFUNCTION("""COMPUTED_VALUE"""),"")</f>
        <v/>
      </c>
      <c r="Y851" t="str">
        <f>IFERROR(__xludf.DUMMYFUNCTION("""COMPUTED_VALUE"""),"")</f>
        <v/>
      </c>
      <c r="Z851" t="str">
        <f>IFERROR(__xludf.DUMMYFUNCTION("""COMPUTED_VALUE"""),"")</f>
        <v/>
      </c>
    </row>
    <row r="852">
      <c r="A852" s="119">
        <f>IFERROR(__xludf.DUMMYFUNCTION("""COMPUTED_VALUE"""),14052.0)</f>
        <v>14052</v>
      </c>
      <c r="B852" s="119" t="str">
        <f>IFERROR(__xludf.DUMMYFUNCTION("""COMPUTED_VALUE"""),"R01")</f>
        <v>R01</v>
      </c>
      <c r="C852" t="str">
        <f>IFERROR(__xludf.DUMMYFUNCTION("""COMPUTED_VALUE"""),"RP-1 Fill Plumbing")</f>
        <v>RP-1 Fill Plumbing</v>
      </c>
      <c r="D852" t="str">
        <f>IFERROR(__xludf.DUMMYFUNCTION("""COMPUTED_VALUE"""),"Structures")</f>
        <v>Structures</v>
      </c>
      <c r="E852" t="str">
        <f>IFERROR(__xludf.DUMMYFUNCTION("""COMPUTED_VALUE"""),"Solidworks")</f>
        <v>Solidworks</v>
      </c>
      <c r="F852" t="str">
        <f>IFERROR(__xludf.DUMMYFUNCTION("""COMPUTED_VALUE"""),"Marginal Stability")</f>
        <v>Marginal Stability</v>
      </c>
      <c r="G852" t="str">
        <f>IFERROR(__xludf.DUMMYFUNCTION("""COMPUTED_VALUE"""),"Plumbing from LOX bulkhead through LOX tank to common bulkhead. Used to fill RP-1 tank with RP-1.")</f>
        <v>Plumbing from LOX bulkhead through LOX tank to common bulkhead. Used to fill RP-1 tank with RP-1.</v>
      </c>
      <c r="H852" t="str">
        <f>IFERROR(__xludf.DUMMYFUNCTION("""COMPUTED_VALUE"""),"6061-T6")</f>
        <v>6061-T6</v>
      </c>
      <c r="I852" t="str">
        <f>IFERROR(__xludf.DUMMYFUNCTION("""COMPUTED_VALUE"""),"Imperial")</f>
        <v>Imperial</v>
      </c>
      <c r="J852" t="str">
        <f>IFERROR(__xludf.DUMMYFUNCTION("""COMPUTED_VALUE"""),"Joshua Elmer")</f>
        <v>Joshua Elmer</v>
      </c>
      <c r="K852" s="124">
        <f>IFERROR(__xludf.DUMMYFUNCTION("""COMPUTED_VALUE"""),43497.0)</f>
        <v>43497</v>
      </c>
      <c r="L852" s="120" t="str">
        <f>IFERROR(__xludf.DUMMYFUNCTION("""COMPUTED_VALUE"""),"https://drive.google.com/open?id=1nAXawmVfOH65yJJ4qlp_0ixmck91Sj6V")</f>
        <v>https://drive.google.com/open?id=1nAXawmVfOH65yJJ4qlp_0ixmck91Sj6V</v>
      </c>
      <c r="M852" t="str">
        <f>IFERROR(__xludf.DUMMYFUNCTION("""COMPUTED_VALUE"""),"Completed")</f>
        <v>Completed</v>
      </c>
      <c r="N852" t="str">
        <f>IFERROR(__xludf.DUMMYFUNCTION("""COMPUTED_VALUE"""),"")</f>
        <v/>
      </c>
      <c r="O852" t="str">
        <f>IFERROR(__xludf.DUMMYFUNCTION("""COMPUTED_VALUE"""),"")</f>
        <v/>
      </c>
      <c r="P852" t="str">
        <f>IFERROR(__xludf.DUMMYFUNCTION("""COMPUTED_VALUE"""),"")</f>
        <v/>
      </c>
      <c r="Q852" t="str">
        <f>IFERROR(__xludf.DUMMYFUNCTION("""COMPUTED_VALUE"""),"")</f>
        <v/>
      </c>
      <c r="R852" t="str">
        <f>IFERROR(__xludf.DUMMYFUNCTION("""COMPUTED_VALUE"""),"")</f>
        <v/>
      </c>
      <c r="S852" t="str">
        <f>IFERROR(__xludf.DUMMYFUNCTION("""COMPUTED_VALUE"""),"")</f>
        <v/>
      </c>
      <c r="T852" t="str">
        <f>IFERROR(__xludf.DUMMYFUNCTION("""COMPUTED_VALUE"""),"")</f>
        <v/>
      </c>
      <c r="U852" t="str">
        <f>IFERROR(__xludf.DUMMYFUNCTION("""COMPUTED_VALUE"""),"")</f>
        <v/>
      </c>
      <c r="V852" t="str">
        <f>IFERROR(__xludf.DUMMYFUNCTION("""COMPUTED_VALUE"""),"")</f>
        <v/>
      </c>
      <c r="W852" t="str">
        <f>IFERROR(__xludf.DUMMYFUNCTION("""COMPUTED_VALUE"""),"")</f>
        <v/>
      </c>
      <c r="X852" t="str">
        <f>IFERROR(__xludf.DUMMYFUNCTION("""COMPUTED_VALUE"""),"")</f>
        <v/>
      </c>
      <c r="Y852" t="str">
        <f>IFERROR(__xludf.DUMMYFUNCTION("""COMPUTED_VALUE"""),"")</f>
        <v/>
      </c>
      <c r="Z852" t="str">
        <f>IFERROR(__xludf.DUMMYFUNCTION("""COMPUTED_VALUE"""),"")</f>
        <v/>
      </c>
    </row>
    <row r="853">
      <c r="A853" s="119">
        <f>IFERROR(__xludf.DUMMYFUNCTION("""COMPUTED_VALUE"""),14053.0)</f>
        <v>14053</v>
      </c>
      <c r="B853" s="119" t="str">
        <f>IFERROR(__xludf.DUMMYFUNCTION("""COMPUTED_VALUE"""),"R01")</f>
        <v>R01</v>
      </c>
      <c r="C853" t="str">
        <f>IFERROR(__xludf.DUMMYFUNCTION("""COMPUTED_VALUE"""),"Anullar Plumbing End Cap")</f>
        <v>Anullar Plumbing End Cap</v>
      </c>
      <c r="D853" t="str">
        <f>IFERROR(__xludf.DUMMYFUNCTION("""COMPUTED_VALUE"""),"Structures")</f>
        <v>Structures</v>
      </c>
      <c r="E853" t="str">
        <f>IFERROR(__xludf.DUMMYFUNCTION("""COMPUTED_VALUE"""),"Solidworks")</f>
        <v>Solidworks</v>
      </c>
      <c r="F853" t="str">
        <f>IFERROR(__xludf.DUMMYFUNCTION("""COMPUTED_VALUE"""),"Marginal Stability")</f>
        <v>Marginal Stability</v>
      </c>
      <c r="G853" t="str">
        <f>IFERROR(__xludf.DUMMYFUNCTION("""COMPUTED_VALUE"""),"Anullar Plumbing End Cap")</f>
        <v>Anullar Plumbing End Cap</v>
      </c>
      <c r="H853" t="str">
        <f>IFERROR(__xludf.DUMMYFUNCTION("""COMPUTED_VALUE"""),"6061-T6")</f>
        <v>6061-T6</v>
      </c>
      <c r="I853" t="str">
        <f>IFERROR(__xludf.DUMMYFUNCTION("""COMPUTED_VALUE"""),"Imperial")</f>
        <v>Imperial</v>
      </c>
      <c r="J853" t="str">
        <f>IFERROR(__xludf.DUMMYFUNCTION("""COMPUTED_VALUE"""),"Alexander Pallesco")</f>
        <v>Alexander Pallesco</v>
      </c>
      <c r="K853" s="124">
        <f>IFERROR(__xludf.DUMMYFUNCTION("""COMPUTED_VALUE"""),43497.0)</f>
        <v>43497</v>
      </c>
      <c r="L853" s="120" t="str">
        <f>IFERROR(__xludf.DUMMYFUNCTION("""COMPUTED_VALUE"""),"https://drive.google.com/open?id=1ZXm_kdsS9dA8Ytr5xoM5u2WuCoqxHMGK")</f>
        <v>https://drive.google.com/open?id=1ZXm_kdsS9dA8Ytr5xoM5u2WuCoqxHMGK</v>
      </c>
      <c r="M853" t="str">
        <f>IFERROR(__xludf.DUMMYFUNCTION("""COMPUTED_VALUE"""),"Completed")</f>
        <v>Completed</v>
      </c>
      <c r="N853" t="str">
        <f>IFERROR(__xludf.DUMMYFUNCTION("""COMPUTED_VALUE"""),"")</f>
        <v/>
      </c>
      <c r="O853" t="str">
        <f>IFERROR(__xludf.DUMMYFUNCTION("""COMPUTED_VALUE"""),"")</f>
        <v/>
      </c>
      <c r="P853" t="str">
        <f>IFERROR(__xludf.DUMMYFUNCTION("""COMPUTED_VALUE"""),"")</f>
        <v/>
      </c>
      <c r="Q853" t="str">
        <f>IFERROR(__xludf.DUMMYFUNCTION("""COMPUTED_VALUE"""),"")</f>
        <v/>
      </c>
      <c r="R853" t="str">
        <f>IFERROR(__xludf.DUMMYFUNCTION("""COMPUTED_VALUE"""),"")</f>
        <v/>
      </c>
      <c r="S853" t="str">
        <f>IFERROR(__xludf.DUMMYFUNCTION("""COMPUTED_VALUE"""),"")</f>
        <v/>
      </c>
      <c r="T853" t="str">
        <f>IFERROR(__xludf.DUMMYFUNCTION("""COMPUTED_VALUE"""),"")</f>
        <v/>
      </c>
      <c r="U853" t="str">
        <f>IFERROR(__xludf.DUMMYFUNCTION("""COMPUTED_VALUE"""),"")</f>
        <v/>
      </c>
      <c r="V853" t="str">
        <f>IFERROR(__xludf.DUMMYFUNCTION("""COMPUTED_VALUE"""),"")</f>
        <v/>
      </c>
      <c r="W853" t="str">
        <f>IFERROR(__xludf.DUMMYFUNCTION("""COMPUTED_VALUE"""),"")</f>
        <v/>
      </c>
      <c r="X853" t="str">
        <f>IFERROR(__xludf.DUMMYFUNCTION("""COMPUTED_VALUE"""),"")</f>
        <v/>
      </c>
      <c r="Y853" t="str">
        <f>IFERROR(__xludf.DUMMYFUNCTION("""COMPUTED_VALUE"""),"")</f>
        <v/>
      </c>
      <c r="Z853" t="str">
        <f>IFERROR(__xludf.DUMMYFUNCTION("""COMPUTED_VALUE"""),"")</f>
        <v/>
      </c>
    </row>
    <row r="854">
      <c r="A854" s="119">
        <f>IFERROR(__xludf.DUMMYFUNCTION("""COMPUTED_VALUE"""),14054.0)</f>
        <v>14054</v>
      </c>
      <c r="B854" s="119" t="str">
        <f>IFERROR(__xludf.DUMMYFUNCTION("""COMPUTED_VALUE"""),"R01")</f>
        <v>R01</v>
      </c>
      <c r="C854" t="str">
        <f>IFERROR(__xludf.DUMMYFUNCTION("""COMPUTED_VALUE"""),"Drogue Release Upper Mount")</f>
        <v>Drogue Release Upper Mount</v>
      </c>
      <c r="D854" t="str">
        <f>IFERROR(__xludf.DUMMYFUNCTION("""COMPUTED_VALUE"""),"Structures")</f>
        <v>Structures</v>
      </c>
      <c r="E854" t="str">
        <f>IFERROR(__xludf.DUMMYFUNCTION("""COMPUTED_VALUE"""),"Solidworks")</f>
        <v>Solidworks</v>
      </c>
      <c r="F854" t="str">
        <f>IFERROR(__xludf.DUMMYFUNCTION("""COMPUTED_VALUE"""),"Marginal Stability")</f>
        <v>Marginal Stability</v>
      </c>
      <c r="G854" t="str">
        <f>IFERROR(__xludf.DUMMYFUNCTION("""COMPUTED_VALUE"""),"Upper mount for drogue release system")</f>
        <v>Upper mount for drogue release system</v>
      </c>
      <c r="H854" t="str">
        <f>IFERROR(__xludf.DUMMYFUNCTION("""COMPUTED_VALUE"""),"6061-T6")</f>
        <v>6061-T6</v>
      </c>
      <c r="I854" t="str">
        <f>IFERROR(__xludf.DUMMYFUNCTION("""COMPUTED_VALUE"""),"Imperial")</f>
        <v>Imperial</v>
      </c>
      <c r="J854" t="str">
        <f>IFERROR(__xludf.DUMMYFUNCTION("""COMPUTED_VALUE"""),"Kyle Gore")</f>
        <v>Kyle Gore</v>
      </c>
      <c r="K854" s="49">
        <f>IFERROR(__xludf.DUMMYFUNCTION("""COMPUTED_VALUE"""),43522.0)</f>
        <v>43522</v>
      </c>
      <c r="L854" s="120" t="str">
        <f>IFERROR(__xludf.DUMMYFUNCTION("""COMPUTED_VALUE"""),"https://drive.google.com/open?id=1ldDgzm3Ia5VoYTBaC3hh5QAssfw5WuXg")</f>
        <v>https://drive.google.com/open?id=1ldDgzm3Ia5VoYTBaC3hh5QAssfw5WuXg</v>
      </c>
      <c r="M854" t="str">
        <f>IFERROR(__xludf.DUMMYFUNCTION("""COMPUTED_VALUE"""),"In Progress")</f>
        <v>In Progress</v>
      </c>
      <c r="N854" t="str">
        <f>IFERROR(__xludf.DUMMYFUNCTION("""COMPUTED_VALUE"""),"")</f>
        <v/>
      </c>
      <c r="O854" t="str">
        <f>IFERROR(__xludf.DUMMYFUNCTION("""COMPUTED_VALUE"""),"")</f>
        <v/>
      </c>
      <c r="P854" t="str">
        <f>IFERROR(__xludf.DUMMYFUNCTION("""COMPUTED_VALUE"""),"")</f>
        <v/>
      </c>
      <c r="Q854" t="str">
        <f>IFERROR(__xludf.DUMMYFUNCTION("""COMPUTED_VALUE"""),"")</f>
        <v/>
      </c>
      <c r="R854" t="str">
        <f>IFERROR(__xludf.DUMMYFUNCTION("""COMPUTED_VALUE"""),"")</f>
        <v/>
      </c>
      <c r="S854" t="str">
        <f>IFERROR(__xludf.DUMMYFUNCTION("""COMPUTED_VALUE"""),"")</f>
        <v/>
      </c>
      <c r="T854" t="str">
        <f>IFERROR(__xludf.DUMMYFUNCTION("""COMPUTED_VALUE"""),"")</f>
        <v/>
      </c>
      <c r="U854" t="str">
        <f>IFERROR(__xludf.DUMMYFUNCTION("""COMPUTED_VALUE"""),"")</f>
        <v/>
      </c>
      <c r="V854" t="str">
        <f>IFERROR(__xludf.DUMMYFUNCTION("""COMPUTED_VALUE"""),"")</f>
        <v/>
      </c>
      <c r="W854" t="str">
        <f>IFERROR(__xludf.DUMMYFUNCTION("""COMPUTED_VALUE"""),"")</f>
        <v/>
      </c>
      <c r="X854" t="str">
        <f>IFERROR(__xludf.DUMMYFUNCTION("""COMPUTED_VALUE"""),"")</f>
        <v/>
      </c>
      <c r="Y854" t="str">
        <f>IFERROR(__xludf.DUMMYFUNCTION("""COMPUTED_VALUE"""),"")</f>
        <v/>
      </c>
      <c r="Z854" t="str">
        <f>IFERROR(__xludf.DUMMYFUNCTION("""COMPUTED_VALUE"""),"")</f>
        <v/>
      </c>
    </row>
    <row r="855">
      <c r="A855" s="119">
        <f>IFERROR(__xludf.DUMMYFUNCTION("""COMPUTED_VALUE"""),14055.0)</f>
        <v>14055</v>
      </c>
      <c r="B855" s="119" t="str">
        <f>IFERROR(__xludf.DUMMYFUNCTION("""COMPUTED_VALUE"""),"R01")</f>
        <v>R01</v>
      </c>
      <c r="C855" t="str">
        <f>IFERROR(__xludf.DUMMYFUNCTION("""COMPUTED_VALUE"""),"Drogue Release Lower Saddle")</f>
        <v>Drogue Release Lower Saddle</v>
      </c>
      <c r="D855" t="str">
        <f>IFERROR(__xludf.DUMMYFUNCTION("""COMPUTED_VALUE"""),"Structures")</f>
        <v>Structures</v>
      </c>
      <c r="E855" t="str">
        <f>IFERROR(__xludf.DUMMYFUNCTION("""COMPUTED_VALUE"""),"Solidworks")</f>
        <v>Solidworks</v>
      </c>
      <c r="F855" t="str">
        <f>IFERROR(__xludf.DUMMYFUNCTION("""COMPUTED_VALUE"""),"Marginal Stability")</f>
        <v>Marginal Stability</v>
      </c>
      <c r="G855" t="str">
        <f>IFERROR(__xludf.DUMMYFUNCTION("""COMPUTED_VALUE"""),"Holds pins in cutter")</f>
        <v>Holds pins in cutter</v>
      </c>
      <c r="H855" t="str">
        <f>IFERROR(__xludf.DUMMYFUNCTION("""COMPUTED_VALUE"""),"6061-T6")</f>
        <v>6061-T6</v>
      </c>
      <c r="I855" t="str">
        <f>IFERROR(__xludf.DUMMYFUNCTION("""COMPUTED_VALUE"""),"Imperial")</f>
        <v>Imperial</v>
      </c>
      <c r="J855" t="str">
        <f>IFERROR(__xludf.DUMMYFUNCTION("""COMPUTED_VALUE"""),"Kyle Gore")</f>
        <v>Kyle Gore</v>
      </c>
      <c r="K855" s="49">
        <f>IFERROR(__xludf.DUMMYFUNCTION("""COMPUTED_VALUE"""),43522.0)</f>
        <v>43522</v>
      </c>
      <c r="L855" s="120" t="str">
        <f>IFERROR(__xludf.DUMMYFUNCTION("""COMPUTED_VALUE"""),"https://drive.google.com/open?id=1BmDLdiBl-Mf_niiGL_JTUYG8CC4aqm67")</f>
        <v>https://drive.google.com/open?id=1BmDLdiBl-Mf_niiGL_JTUYG8CC4aqm67</v>
      </c>
      <c r="M855" t="str">
        <f>IFERROR(__xludf.DUMMYFUNCTION("""COMPUTED_VALUE"""),"In Progress")</f>
        <v>In Progress</v>
      </c>
      <c r="N855" t="str">
        <f>IFERROR(__xludf.DUMMYFUNCTION("""COMPUTED_VALUE"""),"")</f>
        <v/>
      </c>
      <c r="O855" t="str">
        <f>IFERROR(__xludf.DUMMYFUNCTION("""COMPUTED_VALUE"""),"")</f>
        <v/>
      </c>
      <c r="P855" t="str">
        <f>IFERROR(__xludf.DUMMYFUNCTION("""COMPUTED_VALUE"""),"")</f>
        <v/>
      </c>
      <c r="Q855" t="str">
        <f>IFERROR(__xludf.DUMMYFUNCTION("""COMPUTED_VALUE"""),"")</f>
        <v/>
      </c>
      <c r="R855" t="str">
        <f>IFERROR(__xludf.DUMMYFUNCTION("""COMPUTED_VALUE"""),"")</f>
        <v/>
      </c>
      <c r="S855" t="str">
        <f>IFERROR(__xludf.DUMMYFUNCTION("""COMPUTED_VALUE"""),"")</f>
        <v/>
      </c>
      <c r="T855" t="str">
        <f>IFERROR(__xludf.DUMMYFUNCTION("""COMPUTED_VALUE"""),"")</f>
        <v/>
      </c>
      <c r="U855" t="str">
        <f>IFERROR(__xludf.DUMMYFUNCTION("""COMPUTED_VALUE"""),"")</f>
        <v/>
      </c>
      <c r="V855" t="str">
        <f>IFERROR(__xludf.DUMMYFUNCTION("""COMPUTED_VALUE"""),"")</f>
        <v/>
      </c>
      <c r="W855" t="str">
        <f>IFERROR(__xludf.DUMMYFUNCTION("""COMPUTED_VALUE"""),"")</f>
        <v/>
      </c>
      <c r="X855" t="str">
        <f>IFERROR(__xludf.DUMMYFUNCTION("""COMPUTED_VALUE"""),"")</f>
        <v/>
      </c>
      <c r="Y855" t="str">
        <f>IFERROR(__xludf.DUMMYFUNCTION("""COMPUTED_VALUE"""),"")</f>
        <v/>
      </c>
      <c r="Z855" t="str">
        <f>IFERROR(__xludf.DUMMYFUNCTION("""COMPUTED_VALUE"""),"")</f>
        <v/>
      </c>
    </row>
    <row r="856">
      <c r="A856" s="119">
        <f>IFERROR(__xludf.DUMMYFUNCTION("""COMPUTED_VALUE"""),14056.0)</f>
        <v>14056</v>
      </c>
      <c r="B856" s="119" t="str">
        <f>IFERROR(__xludf.DUMMYFUNCTION("""COMPUTED_VALUE"""),"R02")</f>
        <v>R02</v>
      </c>
      <c r="C856" t="str">
        <f>IFERROR(__xludf.DUMMYFUNCTION("""COMPUTED_VALUE"""),"Drogue Release Upper Saddle")</f>
        <v>Drogue Release Upper Saddle</v>
      </c>
      <c r="D856" t="str">
        <f>IFERROR(__xludf.DUMMYFUNCTION("""COMPUTED_VALUE"""),"Structures")</f>
        <v>Structures</v>
      </c>
      <c r="E856" t="str">
        <f>IFERROR(__xludf.DUMMYFUNCTION("""COMPUTED_VALUE"""),"Solidworks")</f>
        <v>Solidworks</v>
      </c>
      <c r="F856" t="str">
        <f>IFERROR(__xludf.DUMMYFUNCTION("""COMPUTED_VALUE"""),"Marginal Stability")</f>
        <v>Marginal Stability</v>
      </c>
      <c r="G856" t="str">
        <f>IFERROR(__xludf.DUMMYFUNCTION("""COMPUTED_VALUE"""),"Holds pins in cutter")</f>
        <v>Holds pins in cutter</v>
      </c>
      <c r="H856" t="str">
        <f>IFERROR(__xludf.DUMMYFUNCTION("""COMPUTED_VALUE"""),"6061-T6")</f>
        <v>6061-T6</v>
      </c>
      <c r="I856" t="str">
        <f>IFERROR(__xludf.DUMMYFUNCTION("""COMPUTED_VALUE"""),"Imperial")</f>
        <v>Imperial</v>
      </c>
      <c r="J856" t="str">
        <f>IFERROR(__xludf.DUMMYFUNCTION("""COMPUTED_VALUE"""),"Kyle Gore")</f>
        <v>Kyle Gore</v>
      </c>
      <c r="K856" s="49">
        <f>IFERROR(__xludf.DUMMYFUNCTION("""COMPUTED_VALUE"""),43522.0)</f>
        <v>43522</v>
      </c>
      <c r="L856" s="120" t="str">
        <f>IFERROR(__xludf.DUMMYFUNCTION("""COMPUTED_VALUE"""),"https://drive.google.com/open?id=1rHOMWHSBCMrWoFDgI5eZ8TtWKP2x-YB-")</f>
        <v>https://drive.google.com/open?id=1rHOMWHSBCMrWoFDgI5eZ8TtWKP2x-YB-</v>
      </c>
      <c r="M856" t="str">
        <f>IFERROR(__xludf.DUMMYFUNCTION("""COMPUTED_VALUE"""),"In Progress")</f>
        <v>In Progress</v>
      </c>
      <c r="N856" t="str">
        <f>IFERROR(__xludf.DUMMYFUNCTION("""COMPUTED_VALUE"""),"")</f>
        <v/>
      </c>
      <c r="O856" t="str">
        <f>IFERROR(__xludf.DUMMYFUNCTION("""COMPUTED_VALUE"""),"")</f>
        <v/>
      </c>
      <c r="P856" t="str">
        <f>IFERROR(__xludf.DUMMYFUNCTION("""COMPUTED_VALUE"""),"")</f>
        <v/>
      </c>
      <c r="Q856" t="str">
        <f>IFERROR(__xludf.DUMMYFUNCTION("""COMPUTED_VALUE"""),"")</f>
        <v/>
      </c>
      <c r="R856" t="str">
        <f>IFERROR(__xludf.DUMMYFUNCTION("""COMPUTED_VALUE"""),"")</f>
        <v/>
      </c>
      <c r="S856" t="str">
        <f>IFERROR(__xludf.DUMMYFUNCTION("""COMPUTED_VALUE"""),"")</f>
        <v/>
      </c>
      <c r="T856" t="str">
        <f>IFERROR(__xludf.DUMMYFUNCTION("""COMPUTED_VALUE"""),"")</f>
        <v/>
      </c>
      <c r="U856" t="str">
        <f>IFERROR(__xludf.DUMMYFUNCTION("""COMPUTED_VALUE"""),"")</f>
        <v/>
      </c>
      <c r="V856" t="str">
        <f>IFERROR(__xludf.DUMMYFUNCTION("""COMPUTED_VALUE"""),"")</f>
        <v/>
      </c>
      <c r="W856" t="str">
        <f>IFERROR(__xludf.DUMMYFUNCTION("""COMPUTED_VALUE"""),"")</f>
        <v/>
      </c>
      <c r="X856" t="str">
        <f>IFERROR(__xludf.DUMMYFUNCTION("""COMPUTED_VALUE"""),"")</f>
        <v/>
      </c>
      <c r="Y856" t="str">
        <f>IFERROR(__xludf.DUMMYFUNCTION("""COMPUTED_VALUE"""),"")</f>
        <v/>
      </c>
      <c r="Z856" t="str">
        <f>IFERROR(__xludf.DUMMYFUNCTION("""COMPUTED_VALUE"""),"")</f>
        <v/>
      </c>
    </row>
    <row r="857">
      <c r="A857" s="119">
        <f>IFERROR(__xludf.DUMMYFUNCTION("""COMPUTED_VALUE"""),14057.0)</f>
        <v>14057</v>
      </c>
      <c r="B857" s="119" t="str">
        <f>IFERROR(__xludf.DUMMYFUNCTION("""COMPUTED_VALUE"""),"R01")</f>
        <v>R01</v>
      </c>
      <c r="C857" t="str">
        <f>IFERROR(__xludf.DUMMYFUNCTION("""COMPUTED_VALUE"""),"Drogue Release Pin")</f>
        <v>Drogue Release Pin</v>
      </c>
      <c r="D857" t="str">
        <f>IFERROR(__xludf.DUMMYFUNCTION("""COMPUTED_VALUE"""),"Structures")</f>
        <v>Structures</v>
      </c>
      <c r="E857" t="str">
        <f>IFERROR(__xludf.DUMMYFUNCTION("""COMPUTED_VALUE"""),"Solidworks")</f>
        <v>Solidworks</v>
      </c>
      <c r="F857" t="str">
        <f>IFERROR(__xludf.DUMMYFUNCTION("""COMPUTED_VALUE"""),"Marginal Stability")</f>
        <v>Marginal Stability</v>
      </c>
      <c r="G857" t="str">
        <f>IFERROR(__xludf.DUMMYFUNCTION("""COMPUTED_VALUE"""),"Holds nichrome cutting line against vectran line")</f>
        <v>Holds nichrome cutting line against vectran line</v>
      </c>
      <c r="H857" t="str">
        <f>IFERROR(__xludf.DUMMYFUNCTION("""COMPUTED_VALUE"""),"18-8 Stainless")</f>
        <v>18-8 Stainless</v>
      </c>
      <c r="I857" t="str">
        <f>IFERROR(__xludf.DUMMYFUNCTION("""COMPUTED_VALUE"""),"Imperial")</f>
        <v>Imperial</v>
      </c>
      <c r="J857" t="str">
        <f>IFERROR(__xludf.DUMMYFUNCTION("""COMPUTED_VALUE"""),"Kyle Gore")</f>
        <v>Kyle Gore</v>
      </c>
      <c r="K857" s="49">
        <f>IFERROR(__xludf.DUMMYFUNCTION("""COMPUTED_VALUE"""),43522.0)</f>
        <v>43522</v>
      </c>
      <c r="L857" s="120" t="str">
        <f>IFERROR(__xludf.DUMMYFUNCTION("""COMPUTED_VALUE"""),"https://drive.google.com/open?id=1MXPy_H_8nb0gZgMKvIbv58IVEqk79OC5")</f>
        <v>https://drive.google.com/open?id=1MXPy_H_8nb0gZgMKvIbv58IVEqk79OC5</v>
      </c>
      <c r="M857" t="str">
        <f>IFERROR(__xludf.DUMMYFUNCTION("""COMPUTED_VALUE"""),"In Progress")</f>
        <v>In Progress</v>
      </c>
      <c r="N857" t="str">
        <f>IFERROR(__xludf.DUMMYFUNCTION("""COMPUTED_VALUE"""),"")</f>
        <v/>
      </c>
      <c r="O857" t="str">
        <f>IFERROR(__xludf.DUMMYFUNCTION("""COMPUTED_VALUE"""),"")</f>
        <v/>
      </c>
      <c r="P857" t="str">
        <f>IFERROR(__xludf.DUMMYFUNCTION("""COMPUTED_VALUE"""),"")</f>
        <v/>
      </c>
      <c r="Q857" t="str">
        <f>IFERROR(__xludf.DUMMYFUNCTION("""COMPUTED_VALUE"""),"")</f>
        <v/>
      </c>
      <c r="R857" t="str">
        <f>IFERROR(__xludf.DUMMYFUNCTION("""COMPUTED_VALUE"""),"")</f>
        <v/>
      </c>
      <c r="S857" t="str">
        <f>IFERROR(__xludf.DUMMYFUNCTION("""COMPUTED_VALUE"""),"")</f>
        <v/>
      </c>
      <c r="T857" t="str">
        <f>IFERROR(__xludf.DUMMYFUNCTION("""COMPUTED_VALUE"""),"")</f>
        <v/>
      </c>
      <c r="U857" t="str">
        <f>IFERROR(__xludf.DUMMYFUNCTION("""COMPUTED_VALUE"""),"")</f>
        <v/>
      </c>
      <c r="V857" t="str">
        <f>IFERROR(__xludf.DUMMYFUNCTION("""COMPUTED_VALUE"""),"")</f>
        <v/>
      </c>
      <c r="W857" t="str">
        <f>IFERROR(__xludf.DUMMYFUNCTION("""COMPUTED_VALUE"""),"")</f>
        <v/>
      </c>
      <c r="X857" t="str">
        <f>IFERROR(__xludf.DUMMYFUNCTION("""COMPUTED_VALUE"""),"")</f>
        <v/>
      </c>
      <c r="Y857" t="str">
        <f>IFERROR(__xludf.DUMMYFUNCTION("""COMPUTED_VALUE"""),"")</f>
        <v/>
      </c>
      <c r="Z857" t="str">
        <f>IFERROR(__xludf.DUMMYFUNCTION("""COMPUTED_VALUE"""),"")</f>
        <v/>
      </c>
    </row>
    <row r="858">
      <c r="A858" s="119">
        <f>IFERROR(__xludf.DUMMYFUNCTION("""COMPUTED_VALUE"""),14058.0)</f>
        <v>14058</v>
      </c>
      <c r="B858" s="119" t="str">
        <f>IFERROR(__xludf.DUMMYFUNCTION("""COMPUTED_VALUE"""),"R01")</f>
        <v>R01</v>
      </c>
      <c r="C858" t="str">
        <f>IFERROR(__xludf.DUMMYFUNCTION("""COMPUTED_VALUE"""),"Annular Insulation")</f>
        <v>Annular Insulation</v>
      </c>
      <c r="D858" t="str">
        <f>IFERROR(__xludf.DUMMYFUNCTION("""COMPUTED_VALUE"""),"Structures")</f>
        <v>Structures</v>
      </c>
      <c r="E858" t="str">
        <f>IFERROR(__xludf.DUMMYFUNCTION("""COMPUTED_VALUE"""),"Solidworks")</f>
        <v>Solidworks</v>
      </c>
      <c r="F858" t="str">
        <f>IFERROR(__xludf.DUMMYFUNCTION("""COMPUTED_VALUE"""),"Marginal Stability")</f>
        <v>Marginal Stability</v>
      </c>
      <c r="G858" t="str">
        <f>IFERROR(__xludf.DUMMYFUNCTION("""COMPUTED_VALUE"""),"Insulates the RP-1 tanks from the LOX passing through the tank.")</f>
        <v>Insulates the RP-1 tanks from the LOX passing through the tank.</v>
      </c>
      <c r="H858" t="str">
        <f>IFERROR(__xludf.DUMMYFUNCTION("""COMPUTED_VALUE"""),"6061-T6")</f>
        <v>6061-T6</v>
      </c>
      <c r="I858" t="str">
        <f>IFERROR(__xludf.DUMMYFUNCTION("""COMPUTED_VALUE"""),"Imperial")</f>
        <v>Imperial</v>
      </c>
      <c r="J858" t="str">
        <f>IFERROR(__xludf.DUMMYFUNCTION("""COMPUTED_VALUE"""),"Alexander Pallesco")</f>
        <v>Alexander Pallesco</v>
      </c>
      <c r="K858" s="126">
        <f>IFERROR(__xludf.DUMMYFUNCTION("""COMPUTED_VALUE"""),43533.0)</f>
        <v>43533</v>
      </c>
      <c r="L858" t="str">
        <f>IFERROR(__xludf.DUMMYFUNCTION("""COMPUTED_VALUE"""),"")</f>
        <v/>
      </c>
      <c r="M858" t="str">
        <f>IFERROR(__xludf.DUMMYFUNCTION("""COMPUTED_VALUE"""),"In Progress")</f>
        <v>In Progress</v>
      </c>
      <c r="N858" t="str">
        <f>IFERROR(__xludf.DUMMYFUNCTION("""COMPUTED_VALUE"""),"")</f>
        <v/>
      </c>
      <c r="O858" t="str">
        <f>IFERROR(__xludf.DUMMYFUNCTION("""COMPUTED_VALUE"""),"")</f>
        <v/>
      </c>
      <c r="P858" t="str">
        <f>IFERROR(__xludf.DUMMYFUNCTION("""COMPUTED_VALUE"""),"")</f>
        <v/>
      </c>
      <c r="Q858" t="str">
        <f>IFERROR(__xludf.DUMMYFUNCTION("""COMPUTED_VALUE"""),"")</f>
        <v/>
      </c>
      <c r="R858" t="str">
        <f>IFERROR(__xludf.DUMMYFUNCTION("""COMPUTED_VALUE"""),"")</f>
        <v/>
      </c>
      <c r="S858" t="str">
        <f>IFERROR(__xludf.DUMMYFUNCTION("""COMPUTED_VALUE"""),"")</f>
        <v/>
      </c>
      <c r="T858" t="str">
        <f>IFERROR(__xludf.DUMMYFUNCTION("""COMPUTED_VALUE"""),"")</f>
        <v/>
      </c>
      <c r="U858" t="str">
        <f>IFERROR(__xludf.DUMMYFUNCTION("""COMPUTED_VALUE"""),"")</f>
        <v/>
      </c>
      <c r="V858" t="str">
        <f>IFERROR(__xludf.DUMMYFUNCTION("""COMPUTED_VALUE"""),"")</f>
        <v/>
      </c>
      <c r="W858" t="str">
        <f>IFERROR(__xludf.DUMMYFUNCTION("""COMPUTED_VALUE"""),"")</f>
        <v/>
      </c>
      <c r="X858" t="str">
        <f>IFERROR(__xludf.DUMMYFUNCTION("""COMPUTED_VALUE"""),"")</f>
        <v/>
      </c>
      <c r="Y858" t="str">
        <f>IFERROR(__xludf.DUMMYFUNCTION("""COMPUTED_VALUE"""),"")</f>
        <v/>
      </c>
      <c r="Z858" t="str">
        <f>IFERROR(__xludf.DUMMYFUNCTION("""COMPUTED_VALUE"""),"")</f>
        <v/>
      </c>
    </row>
    <row r="859">
      <c r="A859" s="119">
        <f>IFERROR(__xludf.DUMMYFUNCTION("""COMPUTED_VALUE"""),14059.0)</f>
        <v>14059</v>
      </c>
      <c r="B859" s="119" t="str">
        <f>IFERROR(__xludf.DUMMYFUNCTION("""COMPUTED_VALUE"""),"R01")</f>
        <v>R01</v>
      </c>
      <c r="C859" t="str">
        <f>IFERROR(__xludf.DUMMYFUNCTION("""COMPUTED_VALUE"""),"Annular Conduit")</f>
        <v>Annular Conduit</v>
      </c>
      <c r="D859" t="str">
        <f>IFERROR(__xludf.DUMMYFUNCTION("""COMPUTED_VALUE"""),"Structures")</f>
        <v>Structures</v>
      </c>
      <c r="E859" t="str">
        <f>IFERROR(__xludf.DUMMYFUNCTION("""COMPUTED_VALUE"""),"Solidworks")</f>
        <v>Solidworks</v>
      </c>
      <c r="F859" t="str">
        <f>IFERROR(__xludf.DUMMYFUNCTION("""COMPUTED_VALUE"""),"Marginal Stability")</f>
        <v>Marginal Stability</v>
      </c>
      <c r="G859" t="str">
        <f>IFERROR(__xludf.DUMMYFUNCTION("""COMPUTED_VALUE"""),"Allows for wiring to run through propellant tanks")</f>
        <v>Allows for wiring to run through propellant tanks</v>
      </c>
      <c r="H859" t="str">
        <f>IFERROR(__xludf.DUMMYFUNCTION("""COMPUTED_VALUE"""),"6061-T6")</f>
        <v>6061-T6</v>
      </c>
      <c r="I859" t="str">
        <f>IFERROR(__xludf.DUMMYFUNCTION("""COMPUTED_VALUE"""),"Imperial")</f>
        <v>Imperial</v>
      </c>
      <c r="J859" t="str">
        <f>IFERROR(__xludf.DUMMYFUNCTION("""COMPUTED_VALUE"""),"Joshua Elmer")</f>
        <v>Joshua Elmer</v>
      </c>
      <c r="K859" s="49">
        <f>IFERROR(__xludf.DUMMYFUNCTION("""COMPUTED_VALUE"""),43561.0)</f>
        <v>43561</v>
      </c>
      <c r="L859" t="str">
        <f>IFERROR(__xludf.DUMMYFUNCTION("""COMPUTED_VALUE"""),"")</f>
        <v/>
      </c>
      <c r="M859" t="str">
        <f>IFERROR(__xludf.DUMMYFUNCTION("""COMPUTED_VALUE"""),"In Progress")</f>
        <v>In Progress</v>
      </c>
      <c r="N859" t="str">
        <f>IFERROR(__xludf.DUMMYFUNCTION("""COMPUTED_VALUE"""),"")</f>
        <v/>
      </c>
      <c r="O859" t="str">
        <f>IFERROR(__xludf.DUMMYFUNCTION("""COMPUTED_VALUE"""),"")</f>
        <v/>
      </c>
      <c r="P859" t="str">
        <f>IFERROR(__xludf.DUMMYFUNCTION("""COMPUTED_VALUE"""),"")</f>
        <v/>
      </c>
      <c r="Q859" t="str">
        <f>IFERROR(__xludf.DUMMYFUNCTION("""COMPUTED_VALUE"""),"")</f>
        <v/>
      </c>
      <c r="R859" t="str">
        <f>IFERROR(__xludf.DUMMYFUNCTION("""COMPUTED_VALUE"""),"")</f>
        <v/>
      </c>
      <c r="S859" t="str">
        <f>IFERROR(__xludf.DUMMYFUNCTION("""COMPUTED_VALUE"""),"")</f>
        <v/>
      </c>
      <c r="T859" t="str">
        <f>IFERROR(__xludf.DUMMYFUNCTION("""COMPUTED_VALUE"""),"")</f>
        <v/>
      </c>
      <c r="U859" t="str">
        <f>IFERROR(__xludf.DUMMYFUNCTION("""COMPUTED_VALUE"""),"")</f>
        <v/>
      </c>
      <c r="V859" t="str">
        <f>IFERROR(__xludf.DUMMYFUNCTION("""COMPUTED_VALUE"""),"")</f>
        <v/>
      </c>
      <c r="W859" t="str">
        <f>IFERROR(__xludf.DUMMYFUNCTION("""COMPUTED_VALUE"""),"")</f>
        <v/>
      </c>
      <c r="X859" t="str">
        <f>IFERROR(__xludf.DUMMYFUNCTION("""COMPUTED_VALUE"""),"")</f>
        <v/>
      </c>
      <c r="Y859" t="str">
        <f>IFERROR(__xludf.DUMMYFUNCTION("""COMPUTED_VALUE"""),"")</f>
        <v/>
      </c>
      <c r="Z859" t="str">
        <f>IFERROR(__xludf.DUMMYFUNCTION("""COMPUTED_VALUE"""),"")</f>
        <v/>
      </c>
    </row>
    <row r="860">
      <c r="A860" s="119">
        <f>IFERROR(__xludf.DUMMYFUNCTION("""COMPUTED_VALUE"""),14060.0)</f>
        <v>14060</v>
      </c>
      <c r="B860" s="119" t="str">
        <f>IFERROR(__xludf.DUMMYFUNCTION("""COMPUTED_VALUE"""),"R01")</f>
        <v>R01</v>
      </c>
      <c r="C860" t="str">
        <f>IFERROR(__xludf.DUMMYFUNCTION("""COMPUTED_VALUE"""),"Pin Snap Rings")</f>
        <v>Pin Snap Rings</v>
      </c>
      <c r="D860" t="str">
        <f>IFERROR(__xludf.DUMMYFUNCTION("""COMPUTED_VALUE"""),"Structures")</f>
        <v>Structures</v>
      </c>
      <c r="E860" t="str">
        <f>IFERROR(__xludf.DUMMYFUNCTION("""COMPUTED_VALUE"""),"Solidworks")</f>
        <v>Solidworks</v>
      </c>
      <c r="F860" t="str">
        <f>IFERROR(__xludf.DUMMYFUNCTION("""COMPUTED_VALUE"""),"Marginal Stability")</f>
        <v>Marginal Stability</v>
      </c>
      <c r="G860" t="str">
        <f>IFERROR(__xludf.DUMMYFUNCTION("""COMPUTED_VALUE"""),"Holds drogue chute release parts on sliding pins")</f>
        <v>Holds drogue chute release parts on sliding pins</v>
      </c>
      <c r="H860" t="str">
        <f>IFERROR(__xludf.DUMMYFUNCTION("""COMPUTED_VALUE"""),"Beryllium Copper")</f>
        <v>Beryllium Copper</v>
      </c>
      <c r="I860" t="str">
        <f>IFERROR(__xludf.DUMMYFUNCTION("""COMPUTED_VALUE"""),"Imperial")</f>
        <v>Imperial</v>
      </c>
      <c r="J860" t="str">
        <f>IFERROR(__xludf.DUMMYFUNCTION("""COMPUTED_VALUE"""),"Kyle Gore")</f>
        <v>Kyle Gore</v>
      </c>
      <c r="K860" s="49">
        <f>IFERROR(__xludf.DUMMYFUNCTION("""COMPUTED_VALUE"""),43561.0)</f>
        <v>43561</v>
      </c>
      <c r="L860" s="120" t="str">
        <f>IFERROR(__xludf.DUMMYFUNCTION("""COMPUTED_VALUE"""),"https://www.mcmaster.com/98410a635")</f>
        <v>https://www.mcmaster.com/98410a635</v>
      </c>
      <c r="M860" t="str">
        <f>IFERROR(__xludf.DUMMYFUNCTION("""COMPUTED_VALUE"""),"In Progress")</f>
        <v>In Progress</v>
      </c>
      <c r="N860" t="str">
        <f>IFERROR(__xludf.DUMMYFUNCTION("""COMPUTED_VALUE"""),"")</f>
        <v/>
      </c>
      <c r="O860" t="str">
        <f>IFERROR(__xludf.DUMMYFUNCTION("""COMPUTED_VALUE"""),"")</f>
        <v/>
      </c>
      <c r="P860" t="str">
        <f>IFERROR(__xludf.DUMMYFUNCTION("""COMPUTED_VALUE"""),"")</f>
        <v/>
      </c>
      <c r="Q860" t="str">
        <f>IFERROR(__xludf.DUMMYFUNCTION("""COMPUTED_VALUE"""),"")</f>
        <v/>
      </c>
      <c r="R860" t="str">
        <f>IFERROR(__xludf.DUMMYFUNCTION("""COMPUTED_VALUE"""),"")</f>
        <v/>
      </c>
      <c r="S860" t="str">
        <f>IFERROR(__xludf.DUMMYFUNCTION("""COMPUTED_VALUE"""),"")</f>
        <v/>
      </c>
      <c r="T860" t="str">
        <f>IFERROR(__xludf.DUMMYFUNCTION("""COMPUTED_VALUE"""),"")</f>
        <v/>
      </c>
      <c r="U860" t="str">
        <f>IFERROR(__xludf.DUMMYFUNCTION("""COMPUTED_VALUE"""),"")</f>
        <v/>
      </c>
      <c r="V860" t="str">
        <f>IFERROR(__xludf.DUMMYFUNCTION("""COMPUTED_VALUE"""),"")</f>
        <v/>
      </c>
      <c r="W860" t="str">
        <f>IFERROR(__xludf.DUMMYFUNCTION("""COMPUTED_VALUE"""),"")</f>
        <v/>
      </c>
      <c r="X860" t="str">
        <f>IFERROR(__xludf.DUMMYFUNCTION("""COMPUTED_VALUE"""),"")</f>
        <v/>
      </c>
      <c r="Y860" t="str">
        <f>IFERROR(__xludf.DUMMYFUNCTION("""COMPUTED_VALUE"""),"")</f>
        <v/>
      </c>
      <c r="Z860" t="str">
        <f>IFERROR(__xludf.DUMMYFUNCTION("""COMPUTED_VALUE"""),"")</f>
        <v/>
      </c>
    </row>
    <row r="861">
      <c r="A861" s="119">
        <f>IFERROR(__xludf.DUMMYFUNCTION("""COMPUTED_VALUE"""),14061.0)</f>
        <v>14061</v>
      </c>
      <c r="B861" s="119" t="str">
        <f>IFERROR(__xludf.DUMMYFUNCTION("""COMPUTED_VALUE"""),"R01")</f>
        <v>R01</v>
      </c>
      <c r="C861" t="str">
        <f>IFERROR(__xludf.DUMMYFUNCTION("""COMPUTED_VALUE"""),"Nosecone Tether Mount")</f>
        <v>Nosecone Tether Mount</v>
      </c>
      <c r="D861" t="str">
        <f>IFERROR(__xludf.DUMMYFUNCTION("""COMPUTED_VALUE"""),"Structures")</f>
        <v>Structures</v>
      </c>
      <c r="E861" t="str">
        <f>IFERROR(__xludf.DUMMYFUNCTION("""COMPUTED_VALUE"""),"Solidworks")</f>
        <v>Solidworks</v>
      </c>
      <c r="F861" t="str">
        <f>IFERROR(__xludf.DUMMYFUNCTION("""COMPUTED_VALUE"""),"Marginal Stability")</f>
        <v>Marginal Stability</v>
      </c>
      <c r="G861" t="str">
        <f>IFERROR(__xludf.DUMMYFUNCTION("""COMPUTED_VALUE"""),"Mounting point to attach tether to nosecone")</f>
        <v>Mounting point to attach tether to nosecone</v>
      </c>
      <c r="H861" t="str">
        <f>IFERROR(__xludf.DUMMYFUNCTION("""COMPUTED_VALUE"""),"Onyx")</f>
        <v>Onyx</v>
      </c>
      <c r="I861" t="str">
        <f>IFERROR(__xludf.DUMMYFUNCTION("""COMPUTED_VALUE"""),"Imperial")</f>
        <v>Imperial</v>
      </c>
      <c r="J861" t="str">
        <f>IFERROR(__xludf.DUMMYFUNCTION("""COMPUTED_VALUE"""),"Kyle Gore")</f>
        <v>Kyle Gore</v>
      </c>
      <c r="K861" s="49">
        <f>IFERROR(__xludf.DUMMYFUNCTION("""COMPUTED_VALUE"""),43567.0)</f>
        <v>43567</v>
      </c>
      <c r="L861" s="120" t="str">
        <f>IFERROR(__xludf.DUMMYFUNCTION("""COMPUTED_VALUE"""),"https://drive.google.com/open?id=1ID7lxaHNJaGuOC4xqdOu7FTZRE0WjWlj")</f>
        <v>https://drive.google.com/open?id=1ID7lxaHNJaGuOC4xqdOu7FTZRE0WjWlj</v>
      </c>
      <c r="M861" t="str">
        <f>IFERROR(__xludf.DUMMYFUNCTION("""COMPUTED_VALUE"""),"In Progress")</f>
        <v>In Progress</v>
      </c>
      <c r="N861" t="str">
        <f>IFERROR(__xludf.DUMMYFUNCTION("""COMPUTED_VALUE"""),"")</f>
        <v/>
      </c>
      <c r="O861" t="str">
        <f>IFERROR(__xludf.DUMMYFUNCTION("""COMPUTED_VALUE"""),"")</f>
        <v/>
      </c>
      <c r="P861" t="str">
        <f>IFERROR(__xludf.DUMMYFUNCTION("""COMPUTED_VALUE"""),"")</f>
        <v/>
      </c>
      <c r="Q861" t="str">
        <f>IFERROR(__xludf.DUMMYFUNCTION("""COMPUTED_VALUE"""),"")</f>
        <v/>
      </c>
      <c r="R861" t="str">
        <f>IFERROR(__xludf.DUMMYFUNCTION("""COMPUTED_VALUE"""),"")</f>
        <v/>
      </c>
      <c r="S861" t="str">
        <f>IFERROR(__xludf.DUMMYFUNCTION("""COMPUTED_VALUE"""),"")</f>
        <v/>
      </c>
      <c r="T861" t="str">
        <f>IFERROR(__xludf.DUMMYFUNCTION("""COMPUTED_VALUE"""),"")</f>
        <v/>
      </c>
      <c r="U861" t="str">
        <f>IFERROR(__xludf.DUMMYFUNCTION("""COMPUTED_VALUE"""),"")</f>
        <v/>
      </c>
      <c r="V861" t="str">
        <f>IFERROR(__xludf.DUMMYFUNCTION("""COMPUTED_VALUE"""),"")</f>
        <v/>
      </c>
      <c r="W861" t="str">
        <f>IFERROR(__xludf.DUMMYFUNCTION("""COMPUTED_VALUE"""),"")</f>
        <v/>
      </c>
      <c r="X861" t="str">
        <f>IFERROR(__xludf.DUMMYFUNCTION("""COMPUTED_VALUE"""),"")</f>
        <v/>
      </c>
      <c r="Y861" t="str">
        <f>IFERROR(__xludf.DUMMYFUNCTION("""COMPUTED_VALUE"""),"")</f>
        <v/>
      </c>
      <c r="Z861" t="str">
        <f>IFERROR(__xludf.DUMMYFUNCTION("""COMPUTED_VALUE"""),"")</f>
        <v/>
      </c>
    </row>
    <row r="862">
      <c r="A862" s="119">
        <f>IFERROR(__xludf.DUMMYFUNCTION("""COMPUTED_VALUE"""),14062.0)</f>
        <v>14062</v>
      </c>
      <c r="B862" s="119" t="str">
        <f>IFERROR(__xludf.DUMMYFUNCTION("""COMPUTED_VALUE"""),"R01")</f>
        <v>R01</v>
      </c>
      <c r="C862" t="str">
        <f>IFERROR(__xludf.DUMMYFUNCTION("""COMPUTED_VALUE"""),"Curved Bolt Mate")</f>
        <v>Curved Bolt Mate</v>
      </c>
      <c r="D862" t="str">
        <f>IFERROR(__xludf.DUMMYFUNCTION("""COMPUTED_VALUE"""),"Structures")</f>
        <v>Structures</v>
      </c>
      <c r="E862" t="str">
        <f>IFERROR(__xludf.DUMMYFUNCTION("""COMPUTED_VALUE"""),"Solidworks")</f>
        <v>Solidworks</v>
      </c>
      <c r="F862" t="str">
        <f>IFERROR(__xludf.DUMMYFUNCTION("""COMPUTED_VALUE"""),"Marginal Stability")</f>
        <v>Marginal Stability</v>
      </c>
      <c r="G862" t="str">
        <f>IFERROR(__xludf.DUMMYFUNCTION("""COMPUTED_VALUE"""),"Small insert for mating flat bolt heads to curved vehicle surface")</f>
        <v>Small insert for mating flat bolt heads to curved vehicle surface</v>
      </c>
      <c r="H862" t="str">
        <f>IFERROR(__xludf.DUMMYFUNCTION("""COMPUTED_VALUE"""),"PLA")</f>
        <v>PLA</v>
      </c>
      <c r="I862" t="str">
        <f>IFERROR(__xludf.DUMMYFUNCTION("""COMPUTED_VALUE"""),"Imperial")</f>
        <v>Imperial</v>
      </c>
      <c r="J862" t="str">
        <f>IFERROR(__xludf.DUMMYFUNCTION("""COMPUTED_VALUE"""),"Joshua Hedgpeth")</f>
        <v>Joshua Hedgpeth</v>
      </c>
      <c r="K862" s="49">
        <f>IFERROR(__xludf.DUMMYFUNCTION("""COMPUTED_VALUE"""),43568.0)</f>
        <v>43568</v>
      </c>
      <c r="L862" s="120" t="str">
        <f>IFERROR(__xludf.DUMMYFUNCTION("""COMPUTED_VALUE"""),"https://drive.google.com/a/ucsd.edu/file/d/1Vr3II1KqXhF-xAiMwPCvfRcz0H-Kb3Pr/view?usp=sharing")</f>
        <v>https://drive.google.com/a/ucsd.edu/file/d/1Vr3II1KqXhF-xAiMwPCvfRcz0H-Kb3Pr/view?usp=sharing</v>
      </c>
      <c r="M862" t="str">
        <f>IFERROR(__xludf.DUMMYFUNCTION("""COMPUTED_VALUE"""),"In Progress")</f>
        <v>In Progress</v>
      </c>
      <c r="N862" t="str">
        <f>IFERROR(__xludf.DUMMYFUNCTION("""COMPUTED_VALUE"""),"")</f>
        <v/>
      </c>
      <c r="O862" t="str">
        <f>IFERROR(__xludf.DUMMYFUNCTION("""COMPUTED_VALUE"""),"")</f>
        <v/>
      </c>
      <c r="P862" t="str">
        <f>IFERROR(__xludf.DUMMYFUNCTION("""COMPUTED_VALUE"""),"")</f>
        <v/>
      </c>
      <c r="Q862" t="str">
        <f>IFERROR(__xludf.DUMMYFUNCTION("""COMPUTED_VALUE"""),"")</f>
        <v/>
      </c>
      <c r="R862" t="str">
        <f>IFERROR(__xludf.DUMMYFUNCTION("""COMPUTED_VALUE"""),"")</f>
        <v/>
      </c>
      <c r="S862" t="str">
        <f>IFERROR(__xludf.DUMMYFUNCTION("""COMPUTED_VALUE"""),"")</f>
        <v/>
      </c>
      <c r="T862" t="str">
        <f>IFERROR(__xludf.DUMMYFUNCTION("""COMPUTED_VALUE"""),"")</f>
        <v/>
      </c>
      <c r="U862" t="str">
        <f>IFERROR(__xludf.DUMMYFUNCTION("""COMPUTED_VALUE"""),"")</f>
        <v/>
      </c>
      <c r="V862" t="str">
        <f>IFERROR(__xludf.DUMMYFUNCTION("""COMPUTED_VALUE"""),"")</f>
        <v/>
      </c>
      <c r="W862" t="str">
        <f>IFERROR(__xludf.DUMMYFUNCTION("""COMPUTED_VALUE"""),"")</f>
        <v/>
      </c>
      <c r="X862" t="str">
        <f>IFERROR(__xludf.DUMMYFUNCTION("""COMPUTED_VALUE"""),"")</f>
        <v/>
      </c>
      <c r="Y862" t="str">
        <f>IFERROR(__xludf.DUMMYFUNCTION("""COMPUTED_VALUE"""),"")</f>
        <v/>
      </c>
      <c r="Z862" t="str">
        <f>IFERROR(__xludf.DUMMYFUNCTION("""COMPUTED_VALUE"""),"")</f>
        <v/>
      </c>
    </row>
    <row r="863">
      <c r="A863" s="119">
        <f>IFERROR(__xludf.DUMMYFUNCTION("""COMPUTED_VALUE"""),14063.0)</f>
        <v>14063</v>
      </c>
      <c r="B863" s="119" t="str">
        <f>IFERROR(__xludf.DUMMYFUNCTION("""COMPUTED_VALUE"""),"R01")</f>
        <v>R01</v>
      </c>
      <c r="C863" t="str">
        <f>IFERROR(__xludf.DUMMYFUNCTION("""COMPUTED_VALUE"""),"Intertank Airframe")</f>
        <v>Intertank Airframe</v>
      </c>
      <c r="D863" t="str">
        <f>IFERROR(__xludf.DUMMYFUNCTION("""COMPUTED_VALUE"""),"Structures")</f>
        <v>Structures</v>
      </c>
      <c r="E863" t="str">
        <f>IFERROR(__xludf.DUMMYFUNCTION("""COMPUTED_VALUE"""),"Solidworks")</f>
        <v>Solidworks</v>
      </c>
      <c r="F863" t="str">
        <f>IFERROR(__xludf.DUMMYFUNCTION("""COMPUTED_VALUE"""),"Marginal Stability")</f>
        <v>Marginal Stability</v>
      </c>
      <c r="G863" t="str">
        <f>IFERROR(__xludf.DUMMYFUNCTION("""COMPUTED_VALUE"""),"Airframe joining the two propellant tanks/parts of the rocket")</f>
        <v>Airframe joining the two propellant tanks/parts of the rocket</v>
      </c>
      <c r="H863" t="str">
        <f>IFERROR(__xludf.DUMMYFUNCTION("""COMPUTED_VALUE"""),"6061-T6")</f>
        <v>6061-T6</v>
      </c>
      <c r="I863" t="str">
        <f>IFERROR(__xludf.DUMMYFUNCTION("""COMPUTED_VALUE"""),"Imperial")</f>
        <v>Imperial</v>
      </c>
      <c r="J863" t="str">
        <f>IFERROR(__xludf.DUMMYFUNCTION("""COMPUTED_VALUE"""),"Joshua Elmer")</f>
        <v>Joshua Elmer</v>
      </c>
      <c r="K863" s="49">
        <f>IFERROR(__xludf.DUMMYFUNCTION("""COMPUTED_VALUE"""),43574.0)</f>
        <v>43574</v>
      </c>
      <c r="L863" s="120" t="str">
        <f>IFERROR(__xludf.DUMMYFUNCTION("""COMPUTED_VALUE"""),"https://drive.google.com/open?id=1a1cG9qhm7BfZv-TaTQbMpXKwkqz_Npgz")</f>
        <v>https://drive.google.com/open?id=1a1cG9qhm7BfZv-TaTQbMpXKwkqz_Npgz</v>
      </c>
      <c r="M863" t="str">
        <f>IFERROR(__xludf.DUMMYFUNCTION("""COMPUTED_VALUE"""),"In Progress")</f>
        <v>In Progress</v>
      </c>
      <c r="N863" t="str">
        <f>IFERROR(__xludf.DUMMYFUNCTION("""COMPUTED_VALUE"""),"")</f>
        <v/>
      </c>
      <c r="O863" t="str">
        <f>IFERROR(__xludf.DUMMYFUNCTION("""COMPUTED_VALUE"""),"")</f>
        <v/>
      </c>
      <c r="P863" t="str">
        <f>IFERROR(__xludf.DUMMYFUNCTION("""COMPUTED_VALUE"""),"")</f>
        <v/>
      </c>
      <c r="Q863" t="str">
        <f>IFERROR(__xludf.DUMMYFUNCTION("""COMPUTED_VALUE"""),"")</f>
        <v/>
      </c>
      <c r="R863" t="str">
        <f>IFERROR(__xludf.DUMMYFUNCTION("""COMPUTED_VALUE"""),"")</f>
        <v/>
      </c>
      <c r="S863" t="str">
        <f>IFERROR(__xludf.DUMMYFUNCTION("""COMPUTED_VALUE"""),"")</f>
        <v/>
      </c>
      <c r="T863" t="str">
        <f>IFERROR(__xludf.DUMMYFUNCTION("""COMPUTED_VALUE"""),"")</f>
        <v/>
      </c>
      <c r="U863" t="str">
        <f>IFERROR(__xludf.DUMMYFUNCTION("""COMPUTED_VALUE"""),"")</f>
        <v/>
      </c>
      <c r="V863" t="str">
        <f>IFERROR(__xludf.DUMMYFUNCTION("""COMPUTED_VALUE"""),"")</f>
        <v/>
      </c>
      <c r="W863" t="str">
        <f>IFERROR(__xludf.DUMMYFUNCTION("""COMPUTED_VALUE"""),"")</f>
        <v/>
      </c>
      <c r="X863" t="str">
        <f>IFERROR(__xludf.DUMMYFUNCTION("""COMPUTED_VALUE"""),"")</f>
        <v/>
      </c>
      <c r="Y863" t="str">
        <f>IFERROR(__xludf.DUMMYFUNCTION("""COMPUTED_VALUE"""),"")</f>
        <v/>
      </c>
      <c r="Z863" t="str">
        <f>IFERROR(__xludf.DUMMYFUNCTION("""COMPUTED_VALUE"""),"")</f>
        <v/>
      </c>
    </row>
    <row r="864">
      <c r="A864" s="119">
        <f>IFERROR(__xludf.DUMMYFUNCTION("""COMPUTED_VALUE"""),14064.0)</f>
        <v>14064</v>
      </c>
      <c r="B864" s="119" t="str">
        <f>IFERROR(__xludf.DUMMYFUNCTION("""COMPUTED_VALUE"""),"R01")</f>
        <v>R01</v>
      </c>
      <c r="C864" t="str">
        <f>IFERROR(__xludf.DUMMYFUNCTION("""COMPUTED_VALUE"""),"Redundancy Support")</f>
        <v>Redundancy Support</v>
      </c>
      <c r="D864" t="str">
        <f>IFERROR(__xludf.DUMMYFUNCTION("""COMPUTED_VALUE"""),"Structures")</f>
        <v>Structures</v>
      </c>
      <c r="E864" t="str">
        <f>IFERROR(__xludf.DUMMYFUNCTION("""COMPUTED_VALUE"""),"Solidworks")</f>
        <v>Solidworks</v>
      </c>
      <c r="F864" t="str">
        <f>IFERROR(__xludf.DUMMYFUNCTION("""COMPUTED_VALUE"""),"Marginal Stability")</f>
        <v>Marginal Stability</v>
      </c>
      <c r="G864" t="str">
        <f>IFERROR(__xludf.DUMMYFUNCTION("""COMPUTED_VALUE"""),"Supports the Redundancy DC motor by attaching it to the airfram to keep it in a fixed position during launch and actuation")</f>
        <v>Supports the Redundancy DC motor by attaching it to the airfram to keep it in a fixed position during launch and actuation</v>
      </c>
      <c r="H864" t="str">
        <f>IFERROR(__xludf.DUMMYFUNCTION("""COMPUTED_VALUE"""),"Onyx")</f>
        <v>Onyx</v>
      </c>
      <c r="I864" t="str">
        <f>IFERROR(__xludf.DUMMYFUNCTION("""COMPUTED_VALUE"""),"Imperial")</f>
        <v>Imperial</v>
      </c>
      <c r="J864" t="str">
        <f>IFERROR(__xludf.DUMMYFUNCTION("""COMPUTED_VALUE"""),"Bryce Borders")</f>
        <v>Bryce Borders</v>
      </c>
      <c r="K864" s="49">
        <f>IFERROR(__xludf.DUMMYFUNCTION("""COMPUTED_VALUE"""),43582.0)</f>
        <v>43582</v>
      </c>
      <c r="L864" t="str">
        <f>IFERROR(__xludf.DUMMYFUNCTION("""COMPUTED_VALUE"""),"")</f>
        <v/>
      </c>
      <c r="M864" t="str">
        <f>IFERROR(__xludf.DUMMYFUNCTION("""COMPUTED_VALUE"""),"In Progress")</f>
        <v>In Progress</v>
      </c>
      <c r="N864" t="str">
        <f>IFERROR(__xludf.DUMMYFUNCTION("""COMPUTED_VALUE"""),"")</f>
        <v/>
      </c>
      <c r="O864" t="str">
        <f>IFERROR(__xludf.DUMMYFUNCTION("""COMPUTED_VALUE"""),"")</f>
        <v/>
      </c>
      <c r="P864" t="str">
        <f>IFERROR(__xludf.DUMMYFUNCTION("""COMPUTED_VALUE"""),"")</f>
        <v/>
      </c>
      <c r="Q864" t="str">
        <f>IFERROR(__xludf.DUMMYFUNCTION("""COMPUTED_VALUE"""),"")</f>
        <v/>
      </c>
      <c r="R864" t="str">
        <f>IFERROR(__xludf.DUMMYFUNCTION("""COMPUTED_VALUE"""),"")</f>
        <v/>
      </c>
      <c r="S864" t="str">
        <f>IFERROR(__xludf.DUMMYFUNCTION("""COMPUTED_VALUE"""),"")</f>
        <v/>
      </c>
      <c r="T864" t="str">
        <f>IFERROR(__xludf.DUMMYFUNCTION("""COMPUTED_VALUE"""),"")</f>
        <v/>
      </c>
      <c r="U864" t="str">
        <f>IFERROR(__xludf.DUMMYFUNCTION("""COMPUTED_VALUE"""),"")</f>
        <v/>
      </c>
      <c r="V864" t="str">
        <f>IFERROR(__xludf.DUMMYFUNCTION("""COMPUTED_VALUE"""),"")</f>
        <v/>
      </c>
      <c r="W864" t="str">
        <f>IFERROR(__xludf.DUMMYFUNCTION("""COMPUTED_VALUE"""),"")</f>
        <v/>
      </c>
      <c r="X864" t="str">
        <f>IFERROR(__xludf.DUMMYFUNCTION("""COMPUTED_VALUE"""),"")</f>
        <v/>
      </c>
      <c r="Y864" t="str">
        <f>IFERROR(__xludf.DUMMYFUNCTION("""COMPUTED_VALUE"""),"")</f>
        <v/>
      </c>
      <c r="Z864" t="str">
        <f>IFERROR(__xludf.DUMMYFUNCTION("""COMPUTED_VALUE"""),"")</f>
        <v/>
      </c>
    </row>
    <row r="865">
      <c r="A865" s="119">
        <f>IFERROR(__xludf.DUMMYFUNCTION("""COMPUTED_VALUE"""),14065.0)</f>
        <v>14065</v>
      </c>
      <c r="B865" s="119" t="str">
        <f>IFERROR(__xludf.DUMMYFUNCTION("""COMPUTED_VALUE"""),"R01")</f>
        <v>R01</v>
      </c>
      <c r="C865" t="str">
        <f>IFERROR(__xludf.DUMMYFUNCTION("""COMPUTED_VALUE"""),"Redundancy Connector")</f>
        <v>Redundancy Connector</v>
      </c>
      <c r="D865" t="str">
        <f>IFERROR(__xludf.DUMMYFUNCTION("""COMPUTED_VALUE"""),"Structures")</f>
        <v>Structures</v>
      </c>
      <c r="E865" t="str">
        <f>IFERROR(__xludf.DUMMYFUNCTION("""COMPUTED_VALUE"""),"Solidworks")</f>
        <v>Solidworks</v>
      </c>
      <c r="F865" t="str">
        <f>IFERROR(__xludf.DUMMYFUNCTION("""COMPUTED_VALUE"""),"Marginal Stability")</f>
        <v>Marginal Stability</v>
      </c>
      <c r="G865" t="str">
        <f>IFERROR(__xludf.DUMMYFUNCTION("""COMPUTED_VALUE"""),"Connects the Redundancy Support to the Mounting Plate")</f>
        <v>Connects the Redundancy Support to the Mounting Plate</v>
      </c>
      <c r="H865" t="str">
        <f>IFERROR(__xludf.DUMMYFUNCTION("""COMPUTED_VALUE"""),"Onyx")</f>
        <v>Onyx</v>
      </c>
      <c r="I865" t="str">
        <f>IFERROR(__xludf.DUMMYFUNCTION("""COMPUTED_VALUE"""),"Imperial")</f>
        <v>Imperial</v>
      </c>
      <c r="J865" t="str">
        <f>IFERROR(__xludf.DUMMYFUNCTION("""COMPUTED_VALUE"""),"Bryce Borders")</f>
        <v>Bryce Borders</v>
      </c>
      <c r="K865" s="49">
        <f>IFERROR(__xludf.DUMMYFUNCTION("""COMPUTED_VALUE"""),43582.0)</f>
        <v>43582</v>
      </c>
      <c r="L865" t="str">
        <f>IFERROR(__xludf.DUMMYFUNCTION("""COMPUTED_VALUE"""),"")</f>
        <v/>
      </c>
      <c r="M865" t="str">
        <f>IFERROR(__xludf.DUMMYFUNCTION("""COMPUTED_VALUE"""),"In Progress")</f>
        <v>In Progress</v>
      </c>
      <c r="N865" t="str">
        <f>IFERROR(__xludf.DUMMYFUNCTION("""COMPUTED_VALUE"""),"")</f>
        <v/>
      </c>
      <c r="O865" t="str">
        <f>IFERROR(__xludf.DUMMYFUNCTION("""COMPUTED_VALUE"""),"")</f>
        <v/>
      </c>
      <c r="P865" t="str">
        <f>IFERROR(__xludf.DUMMYFUNCTION("""COMPUTED_VALUE"""),"")</f>
        <v/>
      </c>
      <c r="Q865" t="str">
        <f>IFERROR(__xludf.DUMMYFUNCTION("""COMPUTED_VALUE"""),"")</f>
        <v/>
      </c>
      <c r="R865" t="str">
        <f>IFERROR(__xludf.DUMMYFUNCTION("""COMPUTED_VALUE"""),"")</f>
        <v/>
      </c>
      <c r="S865" t="str">
        <f>IFERROR(__xludf.DUMMYFUNCTION("""COMPUTED_VALUE"""),"")</f>
        <v/>
      </c>
      <c r="T865" t="str">
        <f>IFERROR(__xludf.DUMMYFUNCTION("""COMPUTED_VALUE"""),"")</f>
        <v/>
      </c>
      <c r="U865" t="str">
        <f>IFERROR(__xludf.DUMMYFUNCTION("""COMPUTED_VALUE"""),"")</f>
        <v/>
      </c>
      <c r="V865" t="str">
        <f>IFERROR(__xludf.DUMMYFUNCTION("""COMPUTED_VALUE"""),"")</f>
        <v/>
      </c>
      <c r="W865" t="str">
        <f>IFERROR(__xludf.DUMMYFUNCTION("""COMPUTED_VALUE"""),"")</f>
        <v/>
      </c>
      <c r="X865" t="str">
        <f>IFERROR(__xludf.DUMMYFUNCTION("""COMPUTED_VALUE"""),"")</f>
        <v/>
      </c>
      <c r="Y865" t="str">
        <f>IFERROR(__xludf.DUMMYFUNCTION("""COMPUTED_VALUE"""),"")</f>
        <v/>
      </c>
      <c r="Z865" t="str">
        <f>IFERROR(__xludf.DUMMYFUNCTION("""COMPUTED_VALUE"""),"")</f>
        <v/>
      </c>
    </row>
    <row r="866">
      <c r="A866" s="119">
        <f>IFERROR(__xludf.DUMMYFUNCTION("""COMPUTED_VALUE"""),14066.0)</f>
        <v>14066</v>
      </c>
      <c r="B866" s="119" t="str">
        <f>IFERROR(__xludf.DUMMYFUNCTION("""COMPUTED_VALUE"""),"R01")</f>
        <v>R01</v>
      </c>
      <c r="C866" t="str">
        <f>IFERROR(__xludf.DUMMYFUNCTION("""COMPUTED_VALUE"""),"Redundancy Connector Reflected")</f>
        <v>Redundancy Connector Reflected</v>
      </c>
      <c r="D866" t="str">
        <f>IFERROR(__xludf.DUMMYFUNCTION("""COMPUTED_VALUE"""),"Structures")</f>
        <v>Structures</v>
      </c>
      <c r="E866" t="str">
        <f>IFERROR(__xludf.DUMMYFUNCTION("""COMPUTED_VALUE"""),"Solidworks")</f>
        <v>Solidworks</v>
      </c>
      <c r="F866" t="str">
        <f>IFERROR(__xludf.DUMMYFUNCTION("""COMPUTED_VALUE"""),"Marginal Stability")</f>
        <v>Marginal Stability</v>
      </c>
      <c r="G866" t="str">
        <f>IFERROR(__xludf.DUMMYFUNCTION("""COMPUTED_VALUE"""),"Mirror Image of Redundancy Conenctor, connects to other side of arm")</f>
        <v>Mirror Image of Redundancy Conenctor, connects to other side of arm</v>
      </c>
      <c r="H866" t="str">
        <f>IFERROR(__xludf.DUMMYFUNCTION("""COMPUTED_VALUE"""),"Onyx")</f>
        <v>Onyx</v>
      </c>
      <c r="I866" t="str">
        <f>IFERROR(__xludf.DUMMYFUNCTION("""COMPUTED_VALUE"""),"Imperial")</f>
        <v>Imperial</v>
      </c>
      <c r="J866" t="str">
        <f>IFERROR(__xludf.DUMMYFUNCTION("""COMPUTED_VALUE"""),"Bryce Borders")</f>
        <v>Bryce Borders</v>
      </c>
      <c r="K866" s="49">
        <f>IFERROR(__xludf.DUMMYFUNCTION("""COMPUTED_VALUE"""),43582.0)</f>
        <v>43582</v>
      </c>
      <c r="L866" t="str">
        <f>IFERROR(__xludf.DUMMYFUNCTION("""COMPUTED_VALUE"""),"")</f>
        <v/>
      </c>
      <c r="M866" t="str">
        <f>IFERROR(__xludf.DUMMYFUNCTION("""COMPUTED_VALUE"""),"In Progress")</f>
        <v>In Progress</v>
      </c>
      <c r="N866" t="str">
        <f>IFERROR(__xludf.DUMMYFUNCTION("""COMPUTED_VALUE"""),"")</f>
        <v/>
      </c>
      <c r="O866" t="str">
        <f>IFERROR(__xludf.DUMMYFUNCTION("""COMPUTED_VALUE"""),"")</f>
        <v/>
      </c>
      <c r="P866" t="str">
        <f>IFERROR(__xludf.DUMMYFUNCTION("""COMPUTED_VALUE"""),"")</f>
        <v/>
      </c>
      <c r="Q866" t="str">
        <f>IFERROR(__xludf.DUMMYFUNCTION("""COMPUTED_VALUE"""),"")</f>
        <v/>
      </c>
      <c r="R866" t="str">
        <f>IFERROR(__xludf.DUMMYFUNCTION("""COMPUTED_VALUE"""),"")</f>
        <v/>
      </c>
      <c r="S866" t="str">
        <f>IFERROR(__xludf.DUMMYFUNCTION("""COMPUTED_VALUE"""),"")</f>
        <v/>
      </c>
      <c r="T866" t="str">
        <f>IFERROR(__xludf.DUMMYFUNCTION("""COMPUTED_VALUE"""),"")</f>
        <v/>
      </c>
      <c r="U866" t="str">
        <f>IFERROR(__xludf.DUMMYFUNCTION("""COMPUTED_VALUE"""),"")</f>
        <v/>
      </c>
      <c r="V866" t="str">
        <f>IFERROR(__xludf.DUMMYFUNCTION("""COMPUTED_VALUE"""),"")</f>
        <v/>
      </c>
      <c r="W866" t="str">
        <f>IFERROR(__xludf.DUMMYFUNCTION("""COMPUTED_VALUE"""),"")</f>
        <v/>
      </c>
      <c r="X866" t="str">
        <f>IFERROR(__xludf.DUMMYFUNCTION("""COMPUTED_VALUE"""),"")</f>
        <v/>
      </c>
      <c r="Y866" t="str">
        <f>IFERROR(__xludf.DUMMYFUNCTION("""COMPUTED_VALUE"""),"")</f>
        <v/>
      </c>
      <c r="Z866" t="str">
        <f>IFERROR(__xludf.DUMMYFUNCTION("""COMPUTED_VALUE"""),"")</f>
        <v/>
      </c>
    </row>
    <row r="867">
      <c r="A867" s="119">
        <f>IFERROR(__xludf.DUMMYFUNCTION("""COMPUTED_VALUE"""),14067.0)</f>
        <v>14067</v>
      </c>
      <c r="B867" s="119" t="str">
        <f>IFERROR(__xludf.DUMMYFUNCTION("""COMPUTED_VALUE"""),"R01")</f>
        <v>R01</v>
      </c>
      <c r="C867" t="str">
        <f>IFERROR(__xludf.DUMMYFUNCTION("""COMPUTED_VALUE"""),"Moment Bracket")</f>
        <v>Moment Bracket</v>
      </c>
      <c r="D867" t="str">
        <f>IFERROR(__xludf.DUMMYFUNCTION("""COMPUTED_VALUE"""),"Structures")</f>
        <v>Structures</v>
      </c>
      <c r="E867" t="str">
        <f>IFERROR(__xludf.DUMMYFUNCTION("""COMPUTED_VALUE"""),"Solidworks")</f>
        <v>Solidworks</v>
      </c>
      <c r="F867" t="str">
        <f>IFERROR(__xludf.DUMMYFUNCTION("""COMPUTED_VALUE"""),"Marginal Stability")</f>
        <v>Marginal Stability</v>
      </c>
      <c r="G867" t="str">
        <f>IFERROR(__xludf.DUMMYFUNCTION("""COMPUTED_VALUE"""),"Provides additional support to prevent  a moment and flexing of Redundancy Motor during launch")</f>
        <v>Provides additional support to prevent  a moment and flexing of Redundancy Motor during launch</v>
      </c>
      <c r="H867" t="str">
        <f>IFERROR(__xludf.DUMMYFUNCTION("""COMPUTED_VALUE"""),"Onyx")</f>
        <v>Onyx</v>
      </c>
      <c r="I867" t="str">
        <f>IFERROR(__xludf.DUMMYFUNCTION("""COMPUTED_VALUE"""),"Imperial")</f>
        <v>Imperial</v>
      </c>
      <c r="J867" t="str">
        <f>IFERROR(__xludf.DUMMYFUNCTION("""COMPUTED_VALUE"""),"Bryce Borders")</f>
        <v>Bryce Borders</v>
      </c>
      <c r="K867" s="49">
        <f>IFERROR(__xludf.DUMMYFUNCTION("""COMPUTED_VALUE"""),43582.0)</f>
        <v>43582</v>
      </c>
      <c r="L867" t="str">
        <f>IFERROR(__xludf.DUMMYFUNCTION("""COMPUTED_VALUE"""),"")</f>
        <v/>
      </c>
      <c r="M867" t="str">
        <f>IFERROR(__xludf.DUMMYFUNCTION("""COMPUTED_VALUE"""),"In Progress")</f>
        <v>In Progress</v>
      </c>
      <c r="N867" t="str">
        <f>IFERROR(__xludf.DUMMYFUNCTION("""COMPUTED_VALUE"""),"")</f>
        <v/>
      </c>
      <c r="O867" t="str">
        <f>IFERROR(__xludf.DUMMYFUNCTION("""COMPUTED_VALUE"""),"")</f>
        <v/>
      </c>
      <c r="P867" t="str">
        <f>IFERROR(__xludf.DUMMYFUNCTION("""COMPUTED_VALUE"""),"")</f>
        <v/>
      </c>
      <c r="Q867" t="str">
        <f>IFERROR(__xludf.DUMMYFUNCTION("""COMPUTED_VALUE"""),"")</f>
        <v/>
      </c>
      <c r="R867" t="str">
        <f>IFERROR(__xludf.DUMMYFUNCTION("""COMPUTED_VALUE"""),"")</f>
        <v/>
      </c>
      <c r="S867" t="str">
        <f>IFERROR(__xludf.DUMMYFUNCTION("""COMPUTED_VALUE"""),"")</f>
        <v/>
      </c>
      <c r="T867" t="str">
        <f>IFERROR(__xludf.DUMMYFUNCTION("""COMPUTED_VALUE"""),"")</f>
        <v/>
      </c>
      <c r="U867" t="str">
        <f>IFERROR(__xludf.DUMMYFUNCTION("""COMPUTED_VALUE"""),"")</f>
        <v/>
      </c>
      <c r="V867" t="str">
        <f>IFERROR(__xludf.DUMMYFUNCTION("""COMPUTED_VALUE"""),"")</f>
        <v/>
      </c>
      <c r="W867" t="str">
        <f>IFERROR(__xludf.DUMMYFUNCTION("""COMPUTED_VALUE"""),"")</f>
        <v/>
      </c>
      <c r="X867" t="str">
        <f>IFERROR(__xludf.DUMMYFUNCTION("""COMPUTED_VALUE"""),"")</f>
        <v/>
      </c>
      <c r="Y867" t="str">
        <f>IFERROR(__xludf.DUMMYFUNCTION("""COMPUTED_VALUE"""),"")</f>
        <v/>
      </c>
      <c r="Z867" t="str">
        <f>IFERROR(__xludf.DUMMYFUNCTION("""COMPUTED_VALUE"""),"")</f>
        <v/>
      </c>
    </row>
    <row r="868">
      <c r="A868" s="119">
        <f>IFERROR(__xludf.DUMMYFUNCTION("""COMPUTED_VALUE"""),14068.0)</f>
        <v>14068</v>
      </c>
      <c r="B868" s="119" t="str">
        <f>IFERROR(__xludf.DUMMYFUNCTION("""COMPUTED_VALUE"""),"R01")</f>
        <v>R01</v>
      </c>
      <c r="C868" t="str">
        <f>IFERROR(__xludf.DUMMYFUNCTION("""COMPUTED_VALUE"""),"Guide Rail")</f>
        <v>Guide Rail</v>
      </c>
      <c r="D868" t="str">
        <f>IFERROR(__xludf.DUMMYFUNCTION("""COMPUTED_VALUE"""),"Structures")</f>
        <v>Structures</v>
      </c>
      <c r="E868" t="str">
        <f>IFERROR(__xludf.DUMMYFUNCTION("""COMPUTED_VALUE"""),"Solidworks")</f>
        <v>Solidworks</v>
      </c>
      <c r="F868" t="str">
        <f>IFERROR(__xludf.DUMMYFUNCTION("""COMPUTED_VALUE"""),"Marginal Stability")</f>
        <v>Marginal Stability</v>
      </c>
      <c r="G868" t="str">
        <f>IFERROR(__xludf.DUMMYFUNCTION("""COMPUTED_VALUE"""),"Prevents the mounting plate from rotating during launch")</f>
        <v>Prevents the mounting plate from rotating during launch</v>
      </c>
      <c r="H868" t="str">
        <f>IFERROR(__xludf.DUMMYFUNCTION("""COMPUTED_VALUE"""),"Hexcel AS4C")</f>
        <v>Hexcel AS4C</v>
      </c>
      <c r="I868" t="str">
        <f>IFERROR(__xludf.DUMMYFUNCTION("""COMPUTED_VALUE"""),"Imperial")</f>
        <v>Imperial</v>
      </c>
      <c r="J868" t="str">
        <f>IFERROR(__xludf.DUMMYFUNCTION("""COMPUTED_VALUE"""),"Andrew Bilan")</f>
        <v>Andrew Bilan</v>
      </c>
      <c r="K868" s="49">
        <f>IFERROR(__xludf.DUMMYFUNCTION("""COMPUTED_VALUE"""),43582.0)</f>
        <v>43582</v>
      </c>
      <c r="L868" t="str">
        <f>IFERROR(__xludf.DUMMYFUNCTION("""COMPUTED_VALUE"""),"")</f>
        <v/>
      </c>
      <c r="M868" t="str">
        <f>IFERROR(__xludf.DUMMYFUNCTION("""COMPUTED_VALUE"""),"In Progress")</f>
        <v>In Progress</v>
      </c>
      <c r="N868" t="str">
        <f>IFERROR(__xludf.DUMMYFUNCTION("""COMPUTED_VALUE"""),"")</f>
        <v/>
      </c>
      <c r="O868" t="str">
        <f>IFERROR(__xludf.DUMMYFUNCTION("""COMPUTED_VALUE"""),"")</f>
        <v/>
      </c>
      <c r="P868" t="str">
        <f>IFERROR(__xludf.DUMMYFUNCTION("""COMPUTED_VALUE"""),"")</f>
        <v/>
      </c>
      <c r="Q868" t="str">
        <f>IFERROR(__xludf.DUMMYFUNCTION("""COMPUTED_VALUE"""),"")</f>
        <v/>
      </c>
      <c r="R868" t="str">
        <f>IFERROR(__xludf.DUMMYFUNCTION("""COMPUTED_VALUE"""),"")</f>
        <v/>
      </c>
      <c r="S868" t="str">
        <f>IFERROR(__xludf.DUMMYFUNCTION("""COMPUTED_VALUE"""),"")</f>
        <v/>
      </c>
      <c r="T868" t="str">
        <f>IFERROR(__xludf.DUMMYFUNCTION("""COMPUTED_VALUE"""),"")</f>
        <v/>
      </c>
      <c r="U868" t="str">
        <f>IFERROR(__xludf.DUMMYFUNCTION("""COMPUTED_VALUE"""),"")</f>
        <v/>
      </c>
      <c r="V868" t="str">
        <f>IFERROR(__xludf.DUMMYFUNCTION("""COMPUTED_VALUE"""),"")</f>
        <v/>
      </c>
      <c r="W868" t="str">
        <f>IFERROR(__xludf.DUMMYFUNCTION("""COMPUTED_VALUE"""),"")</f>
        <v/>
      </c>
      <c r="X868" t="str">
        <f>IFERROR(__xludf.DUMMYFUNCTION("""COMPUTED_VALUE"""),"")</f>
        <v/>
      </c>
      <c r="Y868" t="str">
        <f>IFERROR(__xludf.DUMMYFUNCTION("""COMPUTED_VALUE"""),"")</f>
        <v/>
      </c>
      <c r="Z868" t="str">
        <f>IFERROR(__xludf.DUMMYFUNCTION("""COMPUTED_VALUE"""),"")</f>
        <v/>
      </c>
    </row>
    <row r="869">
      <c r="A869" s="119">
        <f>IFERROR(__xludf.DUMMYFUNCTION("""COMPUTED_VALUE"""),14069.0)</f>
        <v>14069</v>
      </c>
      <c r="B869" s="119" t="str">
        <f>IFERROR(__xludf.DUMMYFUNCTION("""COMPUTED_VALUE"""),"R01")</f>
        <v>R01</v>
      </c>
      <c r="C869" t="str">
        <f>IFERROR(__xludf.DUMMYFUNCTION("""COMPUTED_VALUE"""),"Ejection Rod")</f>
        <v>Ejection Rod</v>
      </c>
      <c r="D869" t="str">
        <f>IFERROR(__xludf.DUMMYFUNCTION("""COMPUTED_VALUE"""),"Structures")</f>
        <v>Structures</v>
      </c>
      <c r="E869" t="str">
        <f>IFERROR(__xludf.DUMMYFUNCTION("""COMPUTED_VALUE"""),"Solidworks")</f>
        <v>Solidworks</v>
      </c>
      <c r="F869" t="str">
        <f>IFERROR(__xludf.DUMMYFUNCTION("""COMPUTED_VALUE"""),"Marginal Stability")</f>
        <v>Marginal Stability</v>
      </c>
      <c r="G869" t="str">
        <f>IFERROR(__xludf.DUMMYFUNCTION("""COMPUTED_VALUE"""),"Makes contact with the nose cone to break shear pins")</f>
        <v>Makes contact with the nose cone to break shear pins</v>
      </c>
      <c r="H869" t="str">
        <f>IFERROR(__xludf.DUMMYFUNCTION("""COMPUTED_VALUE"""),"6061-T6")</f>
        <v>6061-T6</v>
      </c>
      <c r="I869" t="str">
        <f>IFERROR(__xludf.DUMMYFUNCTION("""COMPUTED_VALUE"""),"Imperial")</f>
        <v>Imperial</v>
      </c>
      <c r="J869" t="str">
        <f>IFERROR(__xludf.DUMMYFUNCTION("""COMPUTED_VALUE"""),"Andrew Bilan")</f>
        <v>Andrew Bilan</v>
      </c>
      <c r="K869" s="49">
        <f>IFERROR(__xludf.DUMMYFUNCTION("""COMPUTED_VALUE"""),43582.0)</f>
        <v>43582</v>
      </c>
      <c r="L869" t="str">
        <f>IFERROR(__xludf.DUMMYFUNCTION("""COMPUTED_VALUE"""),"")</f>
        <v/>
      </c>
      <c r="M869" t="str">
        <f>IFERROR(__xludf.DUMMYFUNCTION("""COMPUTED_VALUE"""),"In Progress")</f>
        <v>In Progress</v>
      </c>
      <c r="N869" t="str">
        <f>IFERROR(__xludf.DUMMYFUNCTION("""COMPUTED_VALUE"""),"")</f>
        <v/>
      </c>
      <c r="O869" t="str">
        <f>IFERROR(__xludf.DUMMYFUNCTION("""COMPUTED_VALUE"""),"")</f>
        <v/>
      </c>
      <c r="P869" t="str">
        <f>IFERROR(__xludf.DUMMYFUNCTION("""COMPUTED_VALUE"""),"")</f>
        <v/>
      </c>
      <c r="Q869" t="str">
        <f>IFERROR(__xludf.DUMMYFUNCTION("""COMPUTED_VALUE"""),"")</f>
        <v/>
      </c>
      <c r="R869" t="str">
        <f>IFERROR(__xludf.DUMMYFUNCTION("""COMPUTED_VALUE"""),"")</f>
        <v/>
      </c>
      <c r="S869" t="str">
        <f>IFERROR(__xludf.DUMMYFUNCTION("""COMPUTED_VALUE"""),"")</f>
        <v/>
      </c>
      <c r="T869" t="str">
        <f>IFERROR(__xludf.DUMMYFUNCTION("""COMPUTED_VALUE"""),"")</f>
        <v/>
      </c>
      <c r="U869" t="str">
        <f>IFERROR(__xludf.DUMMYFUNCTION("""COMPUTED_VALUE"""),"")</f>
        <v/>
      </c>
      <c r="V869" t="str">
        <f>IFERROR(__xludf.DUMMYFUNCTION("""COMPUTED_VALUE"""),"")</f>
        <v/>
      </c>
      <c r="W869" t="str">
        <f>IFERROR(__xludf.DUMMYFUNCTION("""COMPUTED_VALUE"""),"")</f>
        <v/>
      </c>
      <c r="X869" t="str">
        <f>IFERROR(__xludf.DUMMYFUNCTION("""COMPUTED_VALUE"""),"")</f>
        <v/>
      </c>
      <c r="Y869" t="str">
        <f>IFERROR(__xludf.DUMMYFUNCTION("""COMPUTED_VALUE"""),"")</f>
        <v/>
      </c>
      <c r="Z869" t="str">
        <f>IFERROR(__xludf.DUMMYFUNCTION("""COMPUTED_VALUE"""),"")</f>
        <v/>
      </c>
    </row>
    <row r="1000">
      <c r="A1000" s="119">
        <f>IFERROR(__xludf.DUMMYFUNCTION("Filter('15_SYSTEMS'!C2:Z996,'15_SYSTEMS'!D2:D2000&gt;0)"),15001.0)</f>
        <v>15001</v>
      </c>
      <c r="B1000" s="119" t="str">
        <f>IFERROR(__xludf.DUMMYFUNCTION("""COMPUTED_VALUE"""),"R02")</f>
        <v>R02</v>
      </c>
      <c r="C1000" t="str">
        <f>IFERROR(__xludf.DUMMYFUNCTION("""COMPUTED_VALUE"""),"Pressurant Tank")</f>
        <v>Pressurant Tank</v>
      </c>
      <c r="D1000" t="str">
        <f>IFERROR(__xludf.DUMMYFUNCTION("""COMPUTED_VALUE"""),"Systems")</f>
        <v>Systems</v>
      </c>
      <c r="E1000" t="str">
        <f>IFERROR(__xludf.DUMMYFUNCTION("""COMPUTED_VALUE"""),"SolidWorks")</f>
        <v>SolidWorks</v>
      </c>
      <c r="F1000" t="str">
        <f>IFERROR(__xludf.DUMMYFUNCTION("""COMPUTED_VALUE"""),"Marginal Stability")</f>
        <v>Marginal Stability</v>
      </c>
      <c r="G1000" t="str">
        <f>IFERROR(__xludf.DUMMYFUNCTION("""COMPUTED_VALUE"""),"Composite high-pressure helium tank mockup for pressurizing propellant tanks")</f>
        <v>Composite high-pressure helium tank mockup for pressurizing propellant tanks</v>
      </c>
      <c r="H1000" t="str">
        <f>IFERROR(__xludf.DUMMYFUNCTION("""COMPUTED_VALUE"""),"Composite (?)")</f>
        <v>Composite (?)</v>
      </c>
      <c r="I1000" t="str">
        <f>IFERROR(__xludf.DUMMYFUNCTION("""COMPUTED_VALUE"""),"Imperial")</f>
        <v>Imperial</v>
      </c>
      <c r="J1000" t="str">
        <f>IFERROR(__xludf.DUMMYFUNCTION("""COMPUTED_VALUE"""),"Joshua Elmer")</f>
        <v>Joshua Elmer</v>
      </c>
      <c r="K1000" s="125">
        <f>IFERROR(__xludf.DUMMYFUNCTION("""COMPUTED_VALUE"""),43314.0)</f>
        <v>43314</v>
      </c>
      <c r="L1000" t="str">
        <f>IFERROR(__xludf.DUMMYFUNCTION("""COMPUTED_VALUE"""),"")</f>
        <v/>
      </c>
      <c r="M1000" t="str">
        <f>IFERROR(__xludf.DUMMYFUNCTION("""COMPUTED_VALUE"""),"In progress")</f>
        <v>In progress</v>
      </c>
      <c r="N1000" t="str">
        <f>IFERROR(__xludf.DUMMYFUNCTION("""COMPUTED_VALUE"""),"")</f>
        <v/>
      </c>
      <c r="O1000" t="str">
        <f>IFERROR(__xludf.DUMMYFUNCTION("""COMPUTED_VALUE"""),"")</f>
        <v/>
      </c>
      <c r="P1000" t="str">
        <f>IFERROR(__xludf.DUMMYFUNCTION("""COMPUTED_VALUE"""),"")</f>
        <v/>
      </c>
      <c r="Q1000" t="str">
        <f>IFERROR(__xludf.DUMMYFUNCTION("""COMPUTED_VALUE"""),"")</f>
        <v/>
      </c>
      <c r="R1000" t="str">
        <f>IFERROR(__xludf.DUMMYFUNCTION("""COMPUTED_VALUE"""),"")</f>
        <v/>
      </c>
      <c r="S1000" t="str">
        <f>IFERROR(__xludf.DUMMYFUNCTION("""COMPUTED_VALUE"""),"")</f>
        <v/>
      </c>
      <c r="T1000" t="str">
        <f>IFERROR(__xludf.DUMMYFUNCTION("""COMPUTED_VALUE"""),"")</f>
        <v/>
      </c>
      <c r="U1000" t="str">
        <f>IFERROR(__xludf.DUMMYFUNCTION("""COMPUTED_VALUE"""),"")</f>
        <v/>
      </c>
      <c r="V1000" t="str">
        <f>IFERROR(__xludf.DUMMYFUNCTION("""COMPUTED_VALUE"""),"")</f>
        <v/>
      </c>
      <c r="W1000" t="str">
        <f>IFERROR(__xludf.DUMMYFUNCTION("""COMPUTED_VALUE"""),"")</f>
        <v/>
      </c>
      <c r="X1000" t="str">
        <f>IFERROR(__xludf.DUMMYFUNCTION("""COMPUTED_VALUE"""),"")</f>
        <v/>
      </c>
      <c r="Y1000" t="str">
        <f>IFERROR(__xludf.DUMMYFUNCTION("""COMPUTED_VALUE"""),"")</f>
        <v/>
      </c>
      <c r="Z1000" t="str">
        <f>IFERROR(__xludf.DUMMYFUNCTION("""COMPUTED_VALUE"""),"")</f>
        <v/>
      </c>
    </row>
    <row r="1001">
      <c r="A1001" s="119">
        <f>IFERROR(__xludf.DUMMYFUNCTION("""COMPUTED_VALUE"""),15002.0)</f>
        <v>15002</v>
      </c>
      <c r="B1001" s="119" t="str">
        <f>IFERROR(__xludf.DUMMYFUNCTION("""COMPUTED_VALUE"""),"R01")</f>
        <v>R01</v>
      </c>
      <c r="C1001" t="str">
        <f>IFERROR(__xludf.DUMMYFUNCTION("""COMPUTED_VALUE"""),"Pressurant Tank Retainer")</f>
        <v>Pressurant Tank Retainer</v>
      </c>
      <c r="D1001" t="str">
        <f>IFERROR(__xludf.DUMMYFUNCTION("""COMPUTED_VALUE"""),"Systems")</f>
        <v>Systems</v>
      </c>
      <c r="E1001" t="str">
        <f>IFERROR(__xludf.DUMMYFUNCTION("""COMPUTED_VALUE"""),"SolidWorks")</f>
        <v>SolidWorks</v>
      </c>
      <c r="F1001" t="str">
        <f>IFERROR(__xludf.DUMMYFUNCTION("""COMPUTED_VALUE"""),"Marginal Stability")</f>
        <v>Marginal Stability</v>
      </c>
      <c r="G1001" t="str">
        <f>IFERROR(__xludf.DUMMYFUNCTION("""COMPUTED_VALUE"""),"Mockup of the retaining ring holding pressurant tank in place")</f>
        <v>Mockup of the retaining ring holding pressurant tank in place</v>
      </c>
      <c r="H1001" t="str">
        <f>IFERROR(__xludf.DUMMYFUNCTION("""COMPUTED_VALUE"""),"6061-T6")</f>
        <v>6061-T6</v>
      </c>
      <c r="I1001" t="str">
        <f>IFERROR(__xludf.DUMMYFUNCTION("""COMPUTED_VALUE"""),"Imperial")</f>
        <v>Imperial</v>
      </c>
      <c r="J1001" t="str">
        <f>IFERROR(__xludf.DUMMYFUNCTION("""COMPUTED_VALUE"""),"Joshua Elmer")</f>
        <v>Joshua Elmer</v>
      </c>
      <c r="K1001" s="125">
        <f>IFERROR(__xludf.DUMMYFUNCTION("""COMPUTED_VALUE"""),43315.0)</f>
        <v>43315</v>
      </c>
      <c r="L1001" s="120" t="str">
        <f>IFERROR(__xludf.DUMMYFUNCTION("""COMPUTED_VALUE"""),"https://drive.google.com/drive/folders/1pEUuzC4hwV5AJEftRQrDAZ70En_CcXPE")</f>
        <v>https://drive.google.com/drive/folders/1pEUuzC4hwV5AJEftRQrDAZ70En_CcXPE</v>
      </c>
      <c r="M1001" t="str">
        <f>IFERROR(__xludf.DUMMYFUNCTION("""COMPUTED_VALUE"""),"In progress")</f>
        <v>In progress</v>
      </c>
      <c r="N1001" t="str">
        <f>IFERROR(__xludf.DUMMYFUNCTION("""COMPUTED_VALUE"""),"")</f>
        <v/>
      </c>
      <c r="O1001" t="str">
        <f>IFERROR(__xludf.DUMMYFUNCTION("""COMPUTED_VALUE"""),"")</f>
        <v/>
      </c>
      <c r="P1001" t="str">
        <f>IFERROR(__xludf.DUMMYFUNCTION("""COMPUTED_VALUE"""),"")</f>
        <v/>
      </c>
      <c r="Q1001" t="str">
        <f>IFERROR(__xludf.DUMMYFUNCTION("""COMPUTED_VALUE"""),"")</f>
        <v/>
      </c>
      <c r="R1001" t="str">
        <f>IFERROR(__xludf.DUMMYFUNCTION("""COMPUTED_VALUE"""),"")</f>
        <v/>
      </c>
      <c r="S1001" t="str">
        <f>IFERROR(__xludf.DUMMYFUNCTION("""COMPUTED_VALUE"""),"")</f>
        <v/>
      </c>
      <c r="T1001" t="str">
        <f>IFERROR(__xludf.DUMMYFUNCTION("""COMPUTED_VALUE"""),"")</f>
        <v/>
      </c>
      <c r="U1001" t="str">
        <f>IFERROR(__xludf.DUMMYFUNCTION("""COMPUTED_VALUE"""),"")</f>
        <v/>
      </c>
      <c r="V1001" t="str">
        <f>IFERROR(__xludf.DUMMYFUNCTION("""COMPUTED_VALUE"""),"")</f>
        <v/>
      </c>
      <c r="W1001" t="str">
        <f>IFERROR(__xludf.DUMMYFUNCTION("""COMPUTED_VALUE"""),"")</f>
        <v/>
      </c>
      <c r="X1001" t="str">
        <f>IFERROR(__xludf.DUMMYFUNCTION("""COMPUTED_VALUE"""),"")</f>
        <v/>
      </c>
      <c r="Y1001" t="str">
        <f>IFERROR(__xludf.DUMMYFUNCTION("""COMPUTED_VALUE"""),"")</f>
        <v/>
      </c>
      <c r="Z1001" t="str">
        <f>IFERROR(__xludf.DUMMYFUNCTION("""COMPUTED_VALUE"""),"")</f>
        <v/>
      </c>
    </row>
    <row r="1002">
      <c r="A1002" s="119">
        <f>IFERROR(__xludf.DUMMYFUNCTION("""COMPUTED_VALUE"""),15003.0)</f>
        <v>15003</v>
      </c>
      <c r="B1002" s="119" t="str">
        <f>IFERROR(__xludf.DUMMYFUNCTION("""COMPUTED_VALUE"""),"R01")</f>
        <v>R01</v>
      </c>
      <c r="C1002" t="str">
        <f>IFERROR(__xludf.DUMMYFUNCTION("""COMPUTED_VALUE"""),"Upper Airframe Valve Setup")</f>
        <v>Upper Airframe Valve Setup</v>
      </c>
      <c r="D1002" t="str">
        <f>IFERROR(__xludf.DUMMYFUNCTION("""COMPUTED_VALUE"""),"Systems")</f>
        <v>Systems</v>
      </c>
      <c r="E1002" t="str">
        <f>IFERROR(__xludf.DUMMYFUNCTION("""COMPUTED_VALUE"""),"SolidWorks")</f>
        <v>SolidWorks</v>
      </c>
      <c r="F1002" t="str">
        <f>IFERROR(__xludf.DUMMYFUNCTION("""COMPUTED_VALUE"""),"Marginal Stability")</f>
        <v>Marginal Stability</v>
      </c>
      <c r="G1002" t="str">
        <f>IFERROR(__xludf.DUMMYFUNCTION("""COMPUTED_VALUE"""),"A block of approximately the same mass and size as the future valve setup, for mass and sizing purposes")</f>
        <v>A block of approximately the same mass and size as the future valve setup, for mass and sizing purposes</v>
      </c>
      <c r="H1002" t="str">
        <f>IFERROR(__xludf.DUMMYFUNCTION("""COMPUTED_VALUE"""),"N/A")</f>
        <v>N/A</v>
      </c>
      <c r="I1002" t="str">
        <f>IFERROR(__xludf.DUMMYFUNCTION("""COMPUTED_VALUE"""),"Imperial")</f>
        <v>Imperial</v>
      </c>
      <c r="J1002" t="str">
        <f>IFERROR(__xludf.DUMMYFUNCTION("""COMPUTED_VALUE"""),"Joshua Elmer")</f>
        <v>Joshua Elmer</v>
      </c>
      <c r="K1002" t="str">
        <f>IFERROR(__xludf.DUMMYFUNCTION("""COMPUTED_VALUE"""),"Sept/2018")</f>
        <v>Sept/2018</v>
      </c>
      <c r="L1002" t="str">
        <f>IFERROR(__xludf.DUMMYFUNCTION("""COMPUTED_VALUE"""),"")</f>
        <v/>
      </c>
      <c r="M1002" t="str">
        <f>IFERROR(__xludf.DUMMYFUNCTION("""COMPUTED_VALUE"""),"In Progress")</f>
        <v>In Progress</v>
      </c>
      <c r="N1002" t="str">
        <f>IFERROR(__xludf.DUMMYFUNCTION("""COMPUTED_VALUE"""),"")</f>
        <v/>
      </c>
      <c r="O1002" t="str">
        <f>IFERROR(__xludf.DUMMYFUNCTION("""COMPUTED_VALUE"""),"")</f>
        <v/>
      </c>
      <c r="P1002" t="str">
        <f>IFERROR(__xludf.DUMMYFUNCTION("""COMPUTED_VALUE"""),"")</f>
        <v/>
      </c>
      <c r="Q1002" t="str">
        <f>IFERROR(__xludf.DUMMYFUNCTION("""COMPUTED_VALUE"""),"")</f>
        <v/>
      </c>
      <c r="R1002" t="str">
        <f>IFERROR(__xludf.DUMMYFUNCTION("""COMPUTED_VALUE"""),"")</f>
        <v/>
      </c>
      <c r="S1002" t="str">
        <f>IFERROR(__xludf.DUMMYFUNCTION("""COMPUTED_VALUE"""),"")</f>
        <v/>
      </c>
      <c r="T1002" t="str">
        <f>IFERROR(__xludf.DUMMYFUNCTION("""COMPUTED_VALUE"""),"")</f>
        <v/>
      </c>
      <c r="U1002" t="str">
        <f>IFERROR(__xludf.DUMMYFUNCTION("""COMPUTED_VALUE"""),"")</f>
        <v/>
      </c>
      <c r="V1002" t="str">
        <f>IFERROR(__xludf.DUMMYFUNCTION("""COMPUTED_VALUE"""),"")</f>
        <v/>
      </c>
      <c r="W1002" t="str">
        <f>IFERROR(__xludf.DUMMYFUNCTION("""COMPUTED_VALUE"""),"")</f>
        <v/>
      </c>
      <c r="X1002" t="str">
        <f>IFERROR(__xludf.DUMMYFUNCTION("""COMPUTED_VALUE"""),"")</f>
        <v/>
      </c>
      <c r="Y1002" t="str">
        <f>IFERROR(__xludf.DUMMYFUNCTION("""COMPUTED_VALUE"""),"")</f>
        <v/>
      </c>
      <c r="Z1002" t="str">
        <f>IFERROR(__xludf.DUMMYFUNCTION("""COMPUTED_VALUE"""),"")</f>
        <v/>
      </c>
    </row>
    <row r="1003">
      <c r="A1003" s="119">
        <f>IFERROR(__xludf.DUMMYFUNCTION("""COMPUTED_VALUE"""),15004.0)</f>
        <v>15004</v>
      </c>
      <c r="B1003" s="119" t="str">
        <f>IFERROR(__xludf.DUMMYFUNCTION("""COMPUTED_VALUE"""),"R01")</f>
        <v>R01</v>
      </c>
      <c r="C1003" t="str">
        <f>IFERROR(__xludf.DUMMYFUNCTION("""COMPUTED_VALUE"""),"Lower Airframe Valve Setup")</f>
        <v>Lower Airframe Valve Setup</v>
      </c>
      <c r="D1003" t="str">
        <f>IFERROR(__xludf.DUMMYFUNCTION("""COMPUTED_VALUE"""),"Systems")</f>
        <v>Systems</v>
      </c>
      <c r="E1003" t="str">
        <f>IFERROR(__xludf.DUMMYFUNCTION("""COMPUTED_VALUE"""),"SolidWorks")</f>
        <v>SolidWorks</v>
      </c>
      <c r="F1003" t="str">
        <f>IFERROR(__xludf.DUMMYFUNCTION("""COMPUTED_VALUE"""),"Marginal Stability")</f>
        <v>Marginal Stability</v>
      </c>
      <c r="G1003" t="str">
        <f>IFERROR(__xludf.DUMMYFUNCTION("""COMPUTED_VALUE"""),"A block of approximately the same mass and size as the future valve setup, for mass and sizing purposes")</f>
        <v>A block of approximately the same mass and size as the future valve setup, for mass and sizing purposes</v>
      </c>
      <c r="H1003" t="str">
        <f>IFERROR(__xludf.DUMMYFUNCTION("""COMPUTED_VALUE"""),"N/A")</f>
        <v>N/A</v>
      </c>
      <c r="I1003" t="str">
        <f>IFERROR(__xludf.DUMMYFUNCTION("""COMPUTED_VALUE"""),"Imperial")</f>
        <v>Imperial</v>
      </c>
      <c r="J1003" t="str">
        <f>IFERROR(__xludf.DUMMYFUNCTION("""COMPUTED_VALUE"""),"Joshua Elmer")</f>
        <v>Joshua Elmer</v>
      </c>
      <c r="K1003" t="str">
        <f>IFERROR(__xludf.DUMMYFUNCTION("""COMPUTED_VALUE"""),"Sept/2018")</f>
        <v>Sept/2018</v>
      </c>
      <c r="L1003" t="str">
        <f>IFERROR(__xludf.DUMMYFUNCTION("""COMPUTED_VALUE"""),"")</f>
        <v/>
      </c>
      <c r="M1003" t="str">
        <f>IFERROR(__xludf.DUMMYFUNCTION("""COMPUTED_VALUE"""),"In Progress")</f>
        <v>In Progress</v>
      </c>
      <c r="N1003" t="str">
        <f>IFERROR(__xludf.DUMMYFUNCTION("""COMPUTED_VALUE"""),"")</f>
        <v/>
      </c>
      <c r="O1003" t="str">
        <f>IFERROR(__xludf.DUMMYFUNCTION("""COMPUTED_VALUE"""),"")</f>
        <v/>
      </c>
      <c r="P1003" t="str">
        <f>IFERROR(__xludf.DUMMYFUNCTION("""COMPUTED_VALUE"""),"")</f>
        <v/>
      </c>
      <c r="Q1003" t="str">
        <f>IFERROR(__xludf.DUMMYFUNCTION("""COMPUTED_VALUE"""),"")</f>
        <v/>
      </c>
      <c r="R1003" t="str">
        <f>IFERROR(__xludf.DUMMYFUNCTION("""COMPUTED_VALUE"""),"")</f>
        <v/>
      </c>
      <c r="S1003" t="str">
        <f>IFERROR(__xludf.DUMMYFUNCTION("""COMPUTED_VALUE"""),"")</f>
        <v/>
      </c>
      <c r="T1003" t="str">
        <f>IFERROR(__xludf.DUMMYFUNCTION("""COMPUTED_VALUE"""),"")</f>
        <v/>
      </c>
      <c r="U1003" t="str">
        <f>IFERROR(__xludf.DUMMYFUNCTION("""COMPUTED_VALUE"""),"")</f>
        <v/>
      </c>
      <c r="V1003" t="str">
        <f>IFERROR(__xludf.DUMMYFUNCTION("""COMPUTED_VALUE"""),"")</f>
        <v/>
      </c>
      <c r="W1003" t="str">
        <f>IFERROR(__xludf.DUMMYFUNCTION("""COMPUTED_VALUE"""),"")</f>
        <v/>
      </c>
      <c r="X1003" t="str">
        <f>IFERROR(__xludf.DUMMYFUNCTION("""COMPUTED_VALUE"""),"")</f>
        <v/>
      </c>
      <c r="Y1003" t="str">
        <f>IFERROR(__xludf.DUMMYFUNCTION("""COMPUTED_VALUE"""),"")</f>
        <v/>
      </c>
      <c r="Z1003" t="str">
        <f>IFERROR(__xludf.DUMMYFUNCTION("""COMPUTED_VALUE"""),"")</f>
        <v/>
      </c>
    </row>
    <row r="1004">
      <c r="A1004" s="119">
        <f>IFERROR(__xludf.DUMMYFUNCTION("""COMPUTED_VALUE"""),15005.0)</f>
        <v>15005</v>
      </c>
      <c r="B1004" s="119" t="str">
        <f>IFERROR(__xludf.DUMMYFUNCTION("""COMPUTED_VALUE"""),"R05")</f>
        <v>R05</v>
      </c>
      <c r="C1004" t="str">
        <f>IFERROR(__xludf.DUMMYFUNCTION("""COMPUTED_VALUE"""),"Pressurant Tank Top Bulkhead")</f>
        <v>Pressurant Tank Top Bulkhead</v>
      </c>
      <c r="D1004" t="str">
        <f>IFERROR(__xludf.DUMMYFUNCTION("""COMPUTED_VALUE"""),"Systems")</f>
        <v>Systems</v>
      </c>
      <c r="E1004" t="str">
        <f>IFERROR(__xludf.DUMMYFUNCTION("""COMPUTED_VALUE"""),"SolidWorks")</f>
        <v>SolidWorks</v>
      </c>
      <c r="F1004" t="str">
        <f>IFERROR(__xludf.DUMMYFUNCTION("""COMPUTED_VALUE"""),"Marginal Stability")</f>
        <v>Marginal Stability</v>
      </c>
      <c r="G1004" t="str">
        <f>IFERROR(__xludf.DUMMYFUNCTION("""COMPUTED_VALUE"""),"Bulkhead that attaches pressurant tank retainer to airframe")</f>
        <v>Bulkhead that attaches pressurant tank retainer to airframe</v>
      </c>
      <c r="H1004" t="str">
        <f>IFERROR(__xludf.DUMMYFUNCTION("""COMPUTED_VALUE"""),"6061-T6")</f>
        <v>6061-T6</v>
      </c>
      <c r="I1004" t="str">
        <f>IFERROR(__xludf.DUMMYFUNCTION("""COMPUTED_VALUE"""),"Imperial")</f>
        <v>Imperial</v>
      </c>
      <c r="J1004" t="str">
        <f>IFERROR(__xludf.DUMMYFUNCTION("""COMPUTED_VALUE"""),"Katie Freitag")</f>
        <v>Katie Freitag</v>
      </c>
      <c r="K1004" s="49">
        <f>IFERROR(__xludf.DUMMYFUNCTION("""COMPUTED_VALUE"""),43407.0)</f>
        <v>43407</v>
      </c>
      <c r="L1004" s="120" t="str">
        <f>IFERROR(__xludf.DUMMYFUNCTION("""COMPUTED_VALUE"""),"https://drive.google.com/open?id=1L_VDXrAO2k-YRY5Yj2vtx8Og3Xi5GBfG")</f>
        <v>https://drive.google.com/open?id=1L_VDXrAO2k-YRY5Yj2vtx8Og3Xi5GBfG</v>
      </c>
      <c r="M1004" t="str">
        <f>IFERROR(__xludf.DUMMYFUNCTION("""COMPUTED_VALUE"""),"In Progress")</f>
        <v>In Progress</v>
      </c>
      <c r="N1004" t="str">
        <f>IFERROR(__xludf.DUMMYFUNCTION("""COMPUTED_VALUE"""),"")</f>
        <v/>
      </c>
      <c r="O1004" t="str">
        <f>IFERROR(__xludf.DUMMYFUNCTION("""COMPUTED_VALUE"""),"")</f>
        <v/>
      </c>
      <c r="P1004" t="str">
        <f>IFERROR(__xludf.DUMMYFUNCTION("""COMPUTED_VALUE"""),"")</f>
        <v/>
      </c>
      <c r="Q1004" t="str">
        <f>IFERROR(__xludf.DUMMYFUNCTION("""COMPUTED_VALUE"""),"")</f>
        <v/>
      </c>
      <c r="R1004" t="str">
        <f>IFERROR(__xludf.DUMMYFUNCTION("""COMPUTED_VALUE"""),"")</f>
        <v/>
      </c>
      <c r="S1004" t="str">
        <f>IFERROR(__xludf.DUMMYFUNCTION("""COMPUTED_VALUE"""),"")</f>
        <v/>
      </c>
      <c r="T1004" t="str">
        <f>IFERROR(__xludf.DUMMYFUNCTION("""COMPUTED_VALUE"""),"")</f>
        <v/>
      </c>
      <c r="U1004" t="str">
        <f>IFERROR(__xludf.DUMMYFUNCTION("""COMPUTED_VALUE"""),"")</f>
        <v/>
      </c>
      <c r="V1004" t="str">
        <f>IFERROR(__xludf.DUMMYFUNCTION("""COMPUTED_VALUE"""),"")</f>
        <v/>
      </c>
      <c r="W1004" t="str">
        <f>IFERROR(__xludf.DUMMYFUNCTION("""COMPUTED_VALUE"""),"")</f>
        <v/>
      </c>
      <c r="X1004" t="str">
        <f>IFERROR(__xludf.DUMMYFUNCTION("""COMPUTED_VALUE"""),"")</f>
        <v/>
      </c>
      <c r="Y1004" t="str">
        <f>IFERROR(__xludf.DUMMYFUNCTION("""COMPUTED_VALUE"""),"")</f>
        <v/>
      </c>
      <c r="Z1004" t="str">
        <f>IFERROR(__xludf.DUMMYFUNCTION("""COMPUTED_VALUE"""),"")</f>
        <v/>
      </c>
    </row>
    <row r="1005">
      <c r="A1005" s="119">
        <f>IFERROR(__xludf.DUMMYFUNCTION("""COMPUTED_VALUE"""),15006.0)</f>
        <v>15006</v>
      </c>
      <c r="B1005" s="119" t="str">
        <f>IFERROR(__xludf.DUMMYFUNCTION("""COMPUTED_VALUE"""),"R03")</f>
        <v>R03</v>
      </c>
      <c r="C1005" t="str">
        <f>IFERROR(__xludf.DUMMYFUNCTION("""COMPUTED_VALUE"""),"Pressurant Tank Bottom Bulkhead")</f>
        <v>Pressurant Tank Bottom Bulkhead</v>
      </c>
      <c r="D1005" t="str">
        <f>IFERROR(__xludf.DUMMYFUNCTION("""COMPUTED_VALUE"""),"Systems")</f>
        <v>Systems</v>
      </c>
      <c r="E1005" t="str">
        <f>IFERROR(__xludf.DUMMYFUNCTION("""COMPUTED_VALUE"""),"SolidWorks")</f>
        <v>SolidWorks</v>
      </c>
      <c r="F1005" t="str">
        <f>IFERROR(__xludf.DUMMYFUNCTION("""COMPUTED_VALUE"""),"Marginal Stability")</f>
        <v>Marginal Stability</v>
      </c>
      <c r="G1005" t="str">
        <f>IFERROR(__xludf.DUMMYFUNCTION("""COMPUTED_VALUE"""),"Bulkhead retains pressurant tank from bottom by retaining the airframe from the outside")</f>
        <v>Bulkhead retains pressurant tank from bottom by retaining the airframe from the outside</v>
      </c>
      <c r="H1005" t="str">
        <f>IFERROR(__xludf.DUMMYFUNCTION("""COMPUTED_VALUE"""),"6061-T6")</f>
        <v>6061-T6</v>
      </c>
      <c r="I1005" t="str">
        <f>IFERROR(__xludf.DUMMYFUNCTION("""COMPUTED_VALUE"""),"Imperial")</f>
        <v>Imperial</v>
      </c>
      <c r="J1005" t="str">
        <f>IFERROR(__xludf.DUMMYFUNCTION("""COMPUTED_VALUE"""),"Katie Freitag")</f>
        <v>Katie Freitag</v>
      </c>
      <c r="K1005" s="49">
        <f>IFERROR(__xludf.DUMMYFUNCTION("""COMPUTED_VALUE"""),43407.0)</f>
        <v>43407</v>
      </c>
      <c r="L1005" s="120" t="str">
        <f>IFERROR(__xludf.DUMMYFUNCTION("""COMPUTED_VALUE"""),"https://drive.google.com/open?id=1iVDrLgyZJ0BuVDNMw3BzIVrhGUIKz1mM")</f>
        <v>https://drive.google.com/open?id=1iVDrLgyZJ0BuVDNMw3BzIVrhGUIKz1mM</v>
      </c>
      <c r="M1005" t="str">
        <f>IFERROR(__xludf.DUMMYFUNCTION("""COMPUTED_VALUE"""),"In Progress")</f>
        <v>In Progress</v>
      </c>
      <c r="N1005" t="str">
        <f>IFERROR(__xludf.DUMMYFUNCTION("""COMPUTED_VALUE"""),"")</f>
        <v/>
      </c>
      <c r="O1005" t="str">
        <f>IFERROR(__xludf.DUMMYFUNCTION("""COMPUTED_VALUE"""),"")</f>
        <v/>
      </c>
      <c r="P1005" t="str">
        <f>IFERROR(__xludf.DUMMYFUNCTION("""COMPUTED_VALUE"""),"")</f>
        <v/>
      </c>
      <c r="Q1005" t="str">
        <f>IFERROR(__xludf.DUMMYFUNCTION("""COMPUTED_VALUE"""),"")</f>
        <v/>
      </c>
      <c r="R1005" t="str">
        <f>IFERROR(__xludf.DUMMYFUNCTION("""COMPUTED_VALUE"""),"")</f>
        <v/>
      </c>
      <c r="S1005" t="str">
        <f>IFERROR(__xludf.DUMMYFUNCTION("""COMPUTED_VALUE"""),"")</f>
        <v/>
      </c>
      <c r="T1005" t="str">
        <f>IFERROR(__xludf.DUMMYFUNCTION("""COMPUTED_VALUE"""),"")</f>
        <v/>
      </c>
      <c r="U1005" t="str">
        <f>IFERROR(__xludf.DUMMYFUNCTION("""COMPUTED_VALUE"""),"")</f>
        <v/>
      </c>
      <c r="V1005" t="str">
        <f>IFERROR(__xludf.DUMMYFUNCTION("""COMPUTED_VALUE"""),"")</f>
        <v/>
      </c>
      <c r="W1005" t="str">
        <f>IFERROR(__xludf.DUMMYFUNCTION("""COMPUTED_VALUE"""),"")</f>
        <v/>
      </c>
      <c r="X1005" t="str">
        <f>IFERROR(__xludf.DUMMYFUNCTION("""COMPUTED_VALUE"""),"")</f>
        <v/>
      </c>
      <c r="Y1005" t="str">
        <f>IFERROR(__xludf.DUMMYFUNCTION("""COMPUTED_VALUE"""),"")</f>
        <v/>
      </c>
      <c r="Z1005" t="str">
        <f>IFERROR(__xludf.DUMMYFUNCTION("""COMPUTED_VALUE"""),"")</f>
        <v/>
      </c>
    </row>
    <row r="1006">
      <c r="A1006" s="119">
        <f>IFERROR(__xludf.DUMMYFUNCTION("""COMPUTED_VALUE"""),15007.0)</f>
        <v>15007</v>
      </c>
      <c r="B1006" s="119" t="str">
        <f>IFERROR(__xludf.DUMMYFUNCTION("""COMPUTED_VALUE"""),"R03")</f>
        <v>R03</v>
      </c>
      <c r="C1006" t="str">
        <f>IFERROR(__xludf.DUMMYFUNCTION("""COMPUTED_VALUE"""),"Upper Vibration Absorber")</f>
        <v>Upper Vibration Absorber</v>
      </c>
      <c r="D1006" t="str">
        <f>IFERROR(__xludf.DUMMYFUNCTION("""COMPUTED_VALUE"""),"Systems")</f>
        <v>Systems</v>
      </c>
      <c r="E1006" t="str">
        <f>IFERROR(__xludf.DUMMYFUNCTION("""COMPUTED_VALUE"""),"SolidWorks")</f>
        <v>SolidWorks</v>
      </c>
      <c r="F1006" t="str">
        <f>IFERROR(__xludf.DUMMYFUNCTION("""COMPUTED_VALUE"""),"Marginal Stability")</f>
        <v>Marginal Stability</v>
      </c>
      <c r="G1006" t="str">
        <f>IFERROR(__xludf.DUMMYFUNCTION("""COMPUTED_VALUE"""),"Used to dampen vibrations on the retaining ring attached to the pressurant tank")</f>
        <v>Used to dampen vibrations on the retaining ring attached to the pressurant tank</v>
      </c>
      <c r="H1006" t="str">
        <f>IFERROR(__xludf.DUMMYFUNCTION("""COMPUTED_VALUE"""),"Silicon Rubber")</f>
        <v>Silicon Rubber</v>
      </c>
      <c r="I1006" t="str">
        <f>IFERROR(__xludf.DUMMYFUNCTION("""COMPUTED_VALUE"""),"Imperial")</f>
        <v>Imperial</v>
      </c>
      <c r="J1006" t="str">
        <f>IFERROR(__xludf.DUMMYFUNCTION("""COMPUTED_VALUE"""),"Katie Freitag")</f>
        <v>Katie Freitag</v>
      </c>
      <c r="K1006" s="126">
        <f>IFERROR(__xludf.DUMMYFUNCTION("""COMPUTED_VALUE"""),43484.0)</f>
        <v>43484</v>
      </c>
      <c r="L1006" s="120" t="str">
        <f>IFERROR(__xludf.DUMMYFUNCTION("""COMPUTED_VALUE"""),"https://drive.google.com/drive/folders/1pEUuzC4hwV5AJEftRQrDAZ70En_CcXPE")</f>
        <v>https://drive.google.com/drive/folders/1pEUuzC4hwV5AJEftRQrDAZ70En_CcXPE</v>
      </c>
      <c r="M1006" t="str">
        <f>IFERROR(__xludf.DUMMYFUNCTION("""COMPUTED_VALUE"""),"In Progress")</f>
        <v>In Progress</v>
      </c>
      <c r="N1006" t="str">
        <f>IFERROR(__xludf.DUMMYFUNCTION("""COMPUTED_VALUE"""),"")</f>
        <v/>
      </c>
      <c r="O1006" t="str">
        <f>IFERROR(__xludf.DUMMYFUNCTION("""COMPUTED_VALUE"""),"")</f>
        <v/>
      </c>
      <c r="P1006" t="str">
        <f>IFERROR(__xludf.DUMMYFUNCTION("""COMPUTED_VALUE"""),"")</f>
        <v/>
      </c>
      <c r="Q1006" t="str">
        <f>IFERROR(__xludf.DUMMYFUNCTION("""COMPUTED_VALUE"""),"")</f>
        <v/>
      </c>
      <c r="R1006" t="str">
        <f>IFERROR(__xludf.DUMMYFUNCTION("""COMPUTED_VALUE"""),"")</f>
        <v/>
      </c>
      <c r="S1006" t="str">
        <f>IFERROR(__xludf.DUMMYFUNCTION("""COMPUTED_VALUE"""),"")</f>
        <v/>
      </c>
      <c r="T1006" t="str">
        <f>IFERROR(__xludf.DUMMYFUNCTION("""COMPUTED_VALUE"""),"")</f>
        <v/>
      </c>
      <c r="U1006" t="str">
        <f>IFERROR(__xludf.DUMMYFUNCTION("""COMPUTED_VALUE"""),"")</f>
        <v/>
      </c>
      <c r="V1006" t="str">
        <f>IFERROR(__xludf.DUMMYFUNCTION("""COMPUTED_VALUE"""),"")</f>
        <v/>
      </c>
      <c r="W1006" t="str">
        <f>IFERROR(__xludf.DUMMYFUNCTION("""COMPUTED_VALUE"""),"")</f>
        <v/>
      </c>
      <c r="X1006" t="str">
        <f>IFERROR(__xludf.DUMMYFUNCTION("""COMPUTED_VALUE"""),"")</f>
        <v/>
      </c>
      <c r="Y1006" t="str">
        <f>IFERROR(__xludf.DUMMYFUNCTION("""COMPUTED_VALUE"""),"")</f>
        <v/>
      </c>
      <c r="Z1006" t="str">
        <f>IFERROR(__xludf.DUMMYFUNCTION("""COMPUTED_VALUE"""),"")</f>
        <v/>
      </c>
    </row>
    <row r="1007">
      <c r="A1007" s="119">
        <f>IFERROR(__xludf.DUMMYFUNCTION("""COMPUTED_VALUE"""),15008.0)</f>
        <v>15008</v>
      </c>
      <c r="B1007" s="119" t="str">
        <f>IFERROR(__xludf.DUMMYFUNCTION("""COMPUTED_VALUE"""),"R02")</f>
        <v>R02</v>
      </c>
      <c r="C1007" t="str">
        <f>IFERROR(__xludf.DUMMYFUNCTION("""COMPUTED_VALUE"""),"Lower Vibration Absorber")</f>
        <v>Lower Vibration Absorber</v>
      </c>
      <c r="D1007" t="str">
        <f>IFERROR(__xludf.DUMMYFUNCTION("""COMPUTED_VALUE"""),"Systems")</f>
        <v>Systems</v>
      </c>
      <c r="E1007" t="str">
        <f>IFERROR(__xludf.DUMMYFUNCTION("""COMPUTED_VALUE"""),"SolidWorks")</f>
        <v>SolidWorks</v>
      </c>
      <c r="F1007" t="str">
        <f>IFERROR(__xludf.DUMMYFUNCTION("""COMPUTED_VALUE"""),"Marginal Stability")</f>
        <v>Marginal Stability</v>
      </c>
      <c r="G1007" t="str">
        <f>IFERROR(__xludf.DUMMYFUNCTION("""COMPUTED_VALUE"""),"Used to dampen vibrations on the lower bulkhead of the pressurant tanks retaining system")</f>
        <v>Used to dampen vibrations on the lower bulkhead of the pressurant tanks retaining system</v>
      </c>
      <c r="H1007" t="str">
        <f>IFERROR(__xludf.DUMMYFUNCTION("""COMPUTED_VALUE"""),"Silicon Rubber")</f>
        <v>Silicon Rubber</v>
      </c>
      <c r="I1007" t="str">
        <f>IFERROR(__xludf.DUMMYFUNCTION("""COMPUTED_VALUE"""),"Imperial")</f>
        <v>Imperial</v>
      </c>
      <c r="J1007" t="str">
        <f>IFERROR(__xludf.DUMMYFUNCTION("""COMPUTED_VALUE"""),"Katie Freitag")</f>
        <v>Katie Freitag</v>
      </c>
      <c r="K1007" s="126">
        <f>IFERROR(__xludf.DUMMYFUNCTION("""COMPUTED_VALUE"""),43484.0)</f>
        <v>43484</v>
      </c>
      <c r="L1007" s="120" t="str">
        <f>IFERROR(__xludf.DUMMYFUNCTION("""COMPUTED_VALUE"""),"https://drive.google.com/drive/folders/1pEUuzC4hwV5AJEftRQrDAZ70En_CcXPE")</f>
        <v>https://drive.google.com/drive/folders/1pEUuzC4hwV5AJEftRQrDAZ70En_CcXPE</v>
      </c>
      <c r="M1007" t="str">
        <f>IFERROR(__xludf.DUMMYFUNCTION("""COMPUTED_VALUE"""),"In Progress")</f>
        <v>In Progress</v>
      </c>
      <c r="N1007" t="str">
        <f>IFERROR(__xludf.DUMMYFUNCTION("""COMPUTED_VALUE"""),"")</f>
        <v/>
      </c>
      <c r="O1007" t="str">
        <f>IFERROR(__xludf.DUMMYFUNCTION("""COMPUTED_VALUE"""),"")</f>
        <v/>
      </c>
      <c r="P1007" t="str">
        <f>IFERROR(__xludf.DUMMYFUNCTION("""COMPUTED_VALUE"""),"")</f>
        <v/>
      </c>
      <c r="Q1007" t="str">
        <f>IFERROR(__xludf.DUMMYFUNCTION("""COMPUTED_VALUE"""),"")</f>
        <v/>
      </c>
      <c r="R1007" t="str">
        <f>IFERROR(__xludf.DUMMYFUNCTION("""COMPUTED_VALUE"""),"")</f>
        <v/>
      </c>
      <c r="S1007" t="str">
        <f>IFERROR(__xludf.DUMMYFUNCTION("""COMPUTED_VALUE"""),"")</f>
        <v/>
      </c>
      <c r="T1007" t="str">
        <f>IFERROR(__xludf.DUMMYFUNCTION("""COMPUTED_VALUE"""),"")</f>
        <v/>
      </c>
      <c r="U1007" t="str">
        <f>IFERROR(__xludf.DUMMYFUNCTION("""COMPUTED_VALUE"""),"")</f>
        <v/>
      </c>
      <c r="V1007" t="str">
        <f>IFERROR(__xludf.DUMMYFUNCTION("""COMPUTED_VALUE"""),"")</f>
        <v/>
      </c>
      <c r="W1007" t="str">
        <f>IFERROR(__xludf.DUMMYFUNCTION("""COMPUTED_VALUE"""),"")</f>
        <v/>
      </c>
      <c r="X1007" t="str">
        <f>IFERROR(__xludf.DUMMYFUNCTION("""COMPUTED_VALUE"""),"")</f>
        <v/>
      </c>
      <c r="Y1007" t="str">
        <f>IFERROR(__xludf.DUMMYFUNCTION("""COMPUTED_VALUE"""),"")</f>
        <v/>
      </c>
      <c r="Z1007" t="str">
        <f>IFERROR(__xludf.DUMMYFUNCTION("""COMPUTED_VALUE"""),"")</f>
        <v/>
      </c>
    </row>
    <row r="1008">
      <c r="A1008" s="119">
        <f>IFERROR(__xludf.DUMMYFUNCTION("""COMPUTED_VALUE"""),15009.0)</f>
        <v>15009</v>
      </c>
      <c r="B1008" s="119" t="str">
        <f>IFERROR(__xludf.DUMMYFUNCTION("""COMPUTED_VALUE"""),"R01")</f>
        <v>R01</v>
      </c>
      <c r="C1008" t="str">
        <f>IFERROR(__xludf.DUMMYFUNCTION("""COMPUTED_VALUE"""),"Launch Rail")</f>
        <v>Launch Rail</v>
      </c>
      <c r="D1008" t="str">
        <f>IFERROR(__xludf.DUMMYFUNCTION("""COMPUTED_VALUE"""),"Systems")</f>
        <v>Systems</v>
      </c>
      <c r="E1008" t="str">
        <f>IFERROR(__xludf.DUMMYFUNCTION("""COMPUTED_VALUE"""),"SolidWorks")</f>
        <v>SolidWorks</v>
      </c>
      <c r="F1008" t="str">
        <f>IFERROR(__xludf.DUMMYFUNCTION("""COMPUTED_VALUE"""),"Marginal Stability")</f>
        <v>Marginal Stability</v>
      </c>
      <c r="G1008" t="str">
        <f>IFERROR(__xludf.DUMMYFUNCTION("""COMPUTED_VALUE"""),"Used to guide rocket off of launch pad (provided)")</f>
        <v>Used to guide rocket off of launch pad (provided)</v>
      </c>
      <c r="H1008" t="str">
        <f>IFERROR(__xludf.DUMMYFUNCTION("""COMPUTED_VALUE"""),"Unknown")</f>
        <v>Unknown</v>
      </c>
      <c r="I1008" t="str">
        <f>IFERROR(__xludf.DUMMYFUNCTION("""COMPUTED_VALUE"""),"Imperial")</f>
        <v>Imperial</v>
      </c>
      <c r="J1008" t="str">
        <f>IFERROR(__xludf.DUMMYFUNCTION("""COMPUTED_VALUE"""),"Andre Shahinian")</f>
        <v>Andre Shahinian</v>
      </c>
      <c r="K1008" s="126">
        <f>IFERROR(__xludf.DUMMYFUNCTION("""COMPUTED_VALUE"""),43501.0)</f>
        <v>43501</v>
      </c>
      <c r="L1008" s="120" t="str">
        <f>IFERROR(__xludf.DUMMYFUNCTION("""COMPUTED_VALUE"""),"https://drive.google.com/open?id=1-8d2rEScTrcY30d6uPSrBlAx7ZYzCsaH")</f>
        <v>https://drive.google.com/open?id=1-8d2rEScTrcY30d6uPSrBlAx7ZYzCsaH</v>
      </c>
      <c r="M1008" t="str">
        <f>IFERROR(__xludf.DUMMYFUNCTION("""COMPUTED_VALUE"""),"In Progress")</f>
        <v>In Progress</v>
      </c>
      <c r="N1008" t="str">
        <f>IFERROR(__xludf.DUMMYFUNCTION("""COMPUTED_VALUE"""),"")</f>
        <v/>
      </c>
      <c r="O1008" t="str">
        <f>IFERROR(__xludf.DUMMYFUNCTION("""COMPUTED_VALUE"""),"")</f>
        <v/>
      </c>
      <c r="P1008" t="str">
        <f>IFERROR(__xludf.DUMMYFUNCTION("""COMPUTED_VALUE"""),"")</f>
        <v/>
      </c>
      <c r="Q1008" t="str">
        <f>IFERROR(__xludf.DUMMYFUNCTION("""COMPUTED_VALUE"""),"")</f>
        <v/>
      </c>
      <c r="R1008" t="str">
        <f>IFERROR(__xludf.DUMMYFUNCTION("""COMPUTED_VALUE"""),"")</f>
        <v/>
      </c>
      <c r="S1008" t="str">
        <f>IFERROR(__xludf.DUMMYFUNCTION("""COMPUTED_VALUE"""),"")</f>
        <v/>
      </c>
      <c r="T1008" t="str">
        <f>IFERROR(__xludf.DUMMYFUNCTION("""COMPUTED_VALUE"""),"")</f>
        <v/>
      </c>
      <c r="U1008" t="str">
        <f>IFERROR(__xludf.DUMMYFUNCTION("""COMPUTED_VALUE"""),"")</f>
        <v/>
      </c>
      <c r="V1008" t="str">
        <f>IFERROR(__xludf.DUMMYFUNCTION("""COMPUTED_VALUE"""),"")</f>
        <v/>
      </c>
      <c r="W1008" t="str">
        <f>IFERROR(__xludf.DUMMYFUNCTION("""COMPUTED_VALUE"""),"")</f>
        <v/>
      </c>
      <c r="X1008" t="str">
        <f>IFERROR(__xludf.DUMMYFUNCTION("""COMPUTED_VALUE"""),"")</f>
        <v/>
      </c>
      <c r="Y1008" t="str">
        <f>IFERROR(__xludf.DUMMYFUNCTION("""COMPUTED_VALUE"""),"")</f>
        <v/>
      </c>
      <c r="Z1008" t="str">
        <f>IFERROR(__xludf.DUMMYFUNCTION("""COMPUTED_VALUE"""),"")</f>
        <v/>
      </c>
    </row>
    <row r="1009">
      <c r="A1009" s="119">
        <f>IFERROR(__xludf.DUMMYFUNCTION("""COMPUTED_VALUE"""),15010.0)</f>
        <v>15010</v>
      </c>
      <c r="B1009" s="119" t="str">
        <f>IFERROR(__xludf.DUMMYFUNCTION("""COMPUTED_VALUE"""),"R01")</f>
        <v>R01</v>
      </c>
      <c r="C1009" t="str">
        <f>IFERROR(__xludf.DUMMYFUNCTION("""COMPUTED_VALUE"""),"EH-40")</f>
        <v>EH-40</v>
      </c>
      <c r="D1009" t="str">
        <f>IFERROR(__xludf.DUMMYFUNCTION("""COMPUTED_VALUE"""),"Systems")</f>
        <v>Systems</v>
      </c>
      <c r="E1009" t="str">
        <f>IFERROR(__xludf.DUMMYFUNCTION("""COMPUTED_VALUE"""),"SolidWorks")</f>
        <v>SolidWorks</v>
      </c>
      <c r="F1009" t="str">
        <f>IFERROR(__xludf.DUMMYFUNCTION("""COMPUTED_VALUE"""),"Marginal Stability")</f>
        <v>Marginal Stability</v>
      </c>
      <c r="G1009" t="str">
        <f>IFERROR(__xludf.DUMMYFUNCTION("""COMPUTED_VALUE"""),"High Pressure Solenoid Valve for Helium Line")</f>
        <v>High Pressure Solenoid Valve for Helium Line</v>
      </c>
      <c r="H1009" t="str">
        <f>IFERROR(__xludf.DUMMYFUNCTION("""COMPUTED_VALUE"""),"316 Stainless Steel")</f>
        <v>316 Stainless Steel</v>
      </c>
      <c r="I1009" t="str">
        <f>IFERROR(__xludf.DUMMYFUNCTION("""COMPUTED_VALUE"""),"Imperial")</f>
        <v>Imperial</v>
      </c>
      <c r="J1009" t="str">
        <f>IFERROR(__xludf.DUMMYFUNCTION("""COMPUTED_VALUE"""),"Oscar Estevez ")</f>
        <v>Oscar Estevez </v>
      </c>
      <c r="K1009" s="121">
        <f>IFERROR(__xludf.DUMMYFUNCTION("""COMPUTED_VALUE"""),43533.0)</f>
        <v>43533</v>
      </c>
      <c r="L1009" s="120" t="str">
        <f>IFERROR(__xludf.DUMMYFUNCTION("""COMPUTED_VALUE"""),"https://drive.google.com/open?id=1ErcT4ittw364iT_0V8NW0wNHYt2Jz913")</f>
        <v>https://drive.google.com/open?id=1ErcT4ittw364iT_0V8NW0wNHYt2Jz913</v>
      </c>
      <c r="M1009" t="str">
        <f>IFERROR(__xludf.DUMMYFUNCTION("""COMPUTED_VALUE"""),"In Progress")</f>
        <v>In Progress</v>
      </c>
      <c r="N1009" t="str">
        <f>IFERROR(__xludf.DUMMYFUNCTION("""COMPUTED_VALUE"""),"")</f>
        <v/>
      </c>
      <c r="O1009" t="str">
        <f>IFERROR(__xludf.DUMMYFUNCTION("""COMPUTED_VALUE"""),"")</f>
        <v/>
      </c>
      <c r="P1009" t="str">
        <f>IFERROR(__xludf.DUMMYFUNCTION("""COMPUTED_VALUE"""),"")</f>
        <v/>
      </c>
      <c r="Q1009" t="str">
        <f>IFERROR(__xludf.DUMMYFUNCTION("""COMPUTED_VALUE"""),"")</f>
        <v/>
      </c>
      <c r="R1009" t="str">
        <f>IFERROR(__xludf.DUMMYFUNCTION("""COMPUTED_VALUE"""),"")</f>
        <v/>
      </c>
      <c r="S1009" t="str">
        <f>IFERROR(__xludf.DUMMYFUNCTION("""COMPUTED_VALUE"""),"")</f>
        <v/>
      </c>
      <c r="T1009" t="str">
        <f>IFERROR(__xludf.DUMMYFUNCTION("""COMPUTED_VALUE"""),"")</f>
        <v/>
      </c>
      <c r="U1009" t="str">
        <f>IFERROR(__xludf.DUMMYFUNCTION("""COMPUTED_VALUE"""),"")</f>
        <v/>
      </c>
      <c r="V1009" t="str">
        <f>IFERROR(__xludf.DUMMYFUNCTION("""COMPUTED_VALUE"""),"")</f>
        <v/>
      </c>
      <c r="W1009" t="str">
        <f>IFERROR(__xludf.DUMMYFUNCTION("""COMPUTED_VALUE"""),"")</f>
        <v/>
      </c>
      <c r="X1009" t="str">
        <f>IFERROR(__xludf.DUMMYFUNCTION("""COMPUTED_VALUE"""),"")</f>
        <v/>
      </c>
      <c r="Y1009" t="str">
        <f>IFERROR(__xludf.DUMMYFUNCTION("""COMPUTED_VALUE"""),"")</f>
        <v/>
      </c>
      <c r="Z1009" t="str">
        <f>IFERROR(__xludf.DUMMYFUNCTION("""COMPUTED_VALUE"""),"")</f>
        <v/>
      </c>
    </row>
    <row r="1010">
      <c r="A1010" s="119">
        <f>IFERROR(__xludf.DUMMYFUNCTION("""COMPUTED_VALUE"""),15011.0)</f>
        <v>15011</v>
      </c>
      <c r="B1010" s="119" t="str">
        <f>IFERROR(__xludf.DUMMYFUNCTION("""COMPUTED_VALUE"""),"R01")</f>
        <v>R01</v>
      </c>
      <c r="C1010" t="str">
        <f>IFERROR(__xludf.DUMMYFUNCTION("""COMPUTED_VALUE"""),"-10 Fitting, 45 degree")</f>
        <v>-10 Fitting, 45 degree</v>
      </c>
      <c r="D1010" t="str">
        <f>IFERROR(__xludf.DUMMYFUNCTION("""COMPUTED_VALUE"""),"Systems")</f>
        <v>Systems</v>
      </c>
      <c r="E1010" t="str">
        <f>IFERROR(__xludf.DUMMYFUNCTION("""COMPUTED_VALUE"""),"SolidWorks")</f>
        <v>SolidWorks</v>
      </c>
      <c r="F1010" t="str">
        <f>IFERROR(__xludf.DUMMYFUNCTION("""COMPUTED_VALUE"""),"Marginal Stability")</f>
        <v>Marginal Stability</v>
      </c>
      <c r="G1010" t="str">
        <f>IFERROR(__xludf.DUMMYFUNCTION("""COMPUTED_VALUE"""),"Fitting between TCA and injector fuel line (Propulsion)")</f>
        <v>Fitting between TCA and injector fuel line (Propulsion)</v>
      </c>
      <c r="H1010" t="str">
        <f>IFERROR(__xludf.DUMMYFUNCTION("""COMPUTED_VALUE"""),"Stainless Steel")</f>
        <v>Stainless Steel</v>
      </c>
      <c r="I1010" t="str">
        <f>IFERROR(__xludf.DUMMYFUNCTION("""COMPUTED_VALUE"""),"Imperial")</f>
        <v>Imperial</v>
      </c>
      <c r="J1010" t="str">
        <f>IFERROR(__xludf.DUMMYFUNCTION("""COMPUTED_VALUE"""),"Nick Ahforth")</f>
        <v>Nick Ahforth</v>
      </c>
      <c r="K1010" s="119" t="str">
        <f>IFERROR(__xludf.DUMMYFUNCTION("""COMPUTED_VALUE"""),"3/20/2019")</f>
        <v>3/20/2019</v>
      </c>
      <c r="L1010" s="120" t="str">
        <f>IFERROR(__xludf.DUMMYFUNCTION("""COMPUTED_VALUE"""),"Link")</f>
        <v>Link</v>
      </c>
      <c r="M1010" t="str">
        <f>IFERROR(__xludf.DUMMYFUNCTION("""COMPUTED_VALUE"""),"Completed")</f>
        <v>Completed</v>
      </c>
      <c r="N1010" t="str">
        <f>IFERROR(__xludf.DUMMYFUNCTION("""COMPUTED_VALUE"""),"")</f>
        <v/>
      </c>
      <c r="O1010" t="str">
        <f>IFERROR(__xludf.DUMMYFUNCTION("""COMPUTED_VALUE"""),"")</f>
        <v/>
      </c>
      <c r="P1010" t="str">
        <f>IFERROR(__xludf.DUMMYFUNCTION("""COMPUTED_VALUE"""),"")</f>
        <v/>
      </c>
      <c r="Q1010" t="str">
        <f>IFERROR(__xludf.DUMMYFUNCTION("""COMPUTED_VALUE"""),"")</f>
        <v/>
      </c>
      <c r="R1010" t="str">
        <f>IFERROR(__xludf.DUMMYFUNCTION("""COMPUTED_VALUE"""),"")</f>
        <v/>
      </c>
      <c r="S1010" t="str">
        <f>IFERROR(__xludf.DUMMYFUNCTION("""COMPUTED_VALUE"""),"")</f>
        <v/>
      </c>
      <c r="T1010" t="str">
        <f>IFERROR(__xludf.DUMMYFUNCTION("""COMPUTED_VALUE"""),"")</f>
        <v/>
      </c>
      <c r="U1010" t="str">
        <f>IFERROR(__xludf.DUMMYFUNCTION("""COMPUTED_VALUE"""),"")</f>
        <v/>
      </c>
      <c r="V1010" t="str">
        <f>IFERROR(__xludf.DUMMYFUNCTION("""COMPUTED_VALUE"""),"")</f>
        <v/>
      </c>
      <c r="W1010" t="str">
        <f>IFERROR(__xludf.DUMMYFUNCTION("""COMPUTED_VALUE"""),"")</f>
        <v/>
      </c>
      <c r="X1010" t="str">
        <f>IFERROR(__xludf.DUMMYFUNCTION("""COMPUTED_VALUE"""),"")</f>
        <v/>
      </c>
      <c r="Y1010" t="str">
        <f>IFERROR(__xludf.DUMMYFUNCTION("""COMPUTED_VALUE"""),"")</f>
        <v/>
      </c>
      <c r="Z1010" t="str">
        <f>IFERROR(__xludf.DUMMYFUNCTION("""COMPUTED_VALUE"""),"")</f>
        <v/>
      </c>
    </row>
    <row r="1011">
      <c r="A1011" s="119">
        <f>IFERROR(__xludf.DUMMYFUNCTION("""COMPUTED_VALUE"""),15012.0)</f>
        <v>15012</v>
      </c>
      <c r="B1011" s="119" t="str">
        <f>IFERROR(__xludf.DUMMYFUNCTION("""COMPUTED_VALUE"""),"R01")</f>
        <v>R01</v>
      </c>
      <c r="C1011" t="str">
        <f>IFERROR(__xludf.DUMMYFUNCTION("""COMPUTED_VALUE"""),"-10 Fitting, 90 degree")</f>
        <v>-10 Fitting, 90 degree</v>
      </c>
      <c r="D1011" t="str">
        <f>IFERROR(__xludf.DUMMYFUNCTION("""COMPUTED_VALUE"""),"Systems")</f>
        <v>Systems</v>
      </c>
      <c r="E1011" t="str">
        <f>IFERROR(__xludf.DUMMYFUNCTION("""COMPUTED_VALUE"""),"SolidWorks")</f>
        <v>SolidWorks</v>
      </c>
      <c r="F1011" t="str">
        <f>IFERROR(__xludf.DUMMYFUNCTION("""COMPUTED_VALUE"""),"Marginal Stability")</f>
        <v>Marginal Stability</v>
      </c>
      <c r="G1011" t="str">
        <f>IFERROR(__xludf.DUMMYFUNCTION("""COMPUTED_VALUE"""),"Fitting between injector and TCA fuel line (Propulsion)")</f>
        <v>Fitting between injector and TCA fuel line (Propulsion)</v>
      </c>
      <c r="H1011" t="str">
        <f>IFERROR(__xludf.DUMMYFUNCTION("""COMPUTED_VALUE"""),"Stainless Steel")</f>
        <v>Stainless Steel</v>
      </c>
      <c r="I1011" t="str">
        <f>IFERROR(__xludf.DUMMYFUNCTION("""COMPUTED_VALUE"""),"Imperial")</f>
        <v>Imperial</v>
      </c>
      <c r="J1011" t="str">
        <f>IFERROR(__xludf.DUMMYFUNCTION("""COMPUTED_VALUE"""),"Nick Ahforth")</f>
        <v>Nick Ahforth</v>
      </c>
      <c r="K1011" s="119" t="str">
        <f>IFERROR(__xludf.DUMMYFUNCTION("""COMPUTED_VALUE"""),"3/20/2020")</f>
        <v>3/20/2020</v>
      </c>
      <c r="L1011" s="120" t="str">
        <f>IFERROR(__xludf.DUMMYFUNCTION("""COMPUTED_VALUE"""),"Link")</f>
        <v>Link</v>
      </c>
      <c r="M1011" t="str">
        <f>IFERROR(__xludf.DUMMYFUNCTION("""COMPUTED_VALUE"""),"Completed")</f>
        <v>Completed</v>
      </c>
      <c r="N1011" t="str">
        <f>IFERROR(__xludf.DUMMYFUNCTION("""COMPUTED_VALUE"""),"")</f>
        <v/>
      </c>
      <c r="O1011" t="str">
        <f>IFERROR(__xludf.DUMMYFUNCTION("""COMPUTED_VALUE"""),"")</f>
        <v/>
      </c>
      <c r="P1011" t="str">
        <f>IFERROR(__xludf.DUMMYFUNCTION("""COMPUTED_VALUE"""),"")</f>
        <v/>
      </c>
      <c r="Q1011" t="str">
        <f>IFERROR(__xludf.DUMMYFUNCTION("""COMPUTED_VALUE"""),"")</f>
        <v/>
      </c>
      <c r="R1011" t="str">
        <f>IFERROR(__xludf.DUMMYFUNCTION("""COMPUTED_VALUE"""),"")</f>
        <v/>
      </c>
      <c r="S1011" t="str">
        <f>IFERROR(__xludf.DUMMYFUNCTION("""COMPUTED_VALUE"""),"")</f>
        <v/>
      </c>
      <c r="T1011" t="str">
        <f>IFERROR(__xludf.DUMMYFUNCTION("""COMPUTED_VALUE"""),"")</f>
        <v/>
      </c>
      <c r="U1011" t="str">
        <f>IFERROR(__xludf.DUMMYFUNCTION("""COMPUTED_VALUE"""),"")</f>
        <v/>
      </c>
      <c r="V1011" t="str">
        <f>IFERROR(__xludf.DUMMYFUNCTION("""COMPUTED_VALUE"""),"")</f>
        <v/>
      </c>
      <c r="W1011" t="str">
        <f>IFERROR(__xludf.DUMMYFUNCTION("""COMPUTED_VALUE"""),"")</f>
        <v/>
      </c>
      <c r="X1011" t="str">
        <f>IFERROR(__xludf.DUMMYFUNCTION("""COMPUTED_VALUE"""),"")</f>
        <v/>
      </c>
      <c r="Y1011" t="str">
        <f>IFERROR(__xludf.DUMMYFUNCTION("""COMPUTED_VALUE"""),"")</f>
        <v/>
      </c>
      <c r="Z1011" t="str">
        <f>IFERROR(__xludf.DUMMYFUNCTION("""COMPUTED_VALUE"""),"")</f>
        <v/>
      </c>
    </row>
    <row r="1012">
      <c r="A1012" s="119">
        <f>IFERROR(__xludf.DUMMYFUNCTION("""COMPUTED_VALUE"""),15013.0)</f>
        <v>15013</v>
      </c>
      <c r="B1012" s="119" t="str">
        <f>IFERROR(__xludf.DUMMYFUNCTION("""COMPUTED_VALUE"""),"R01")</f>
        <v>R01</v>
      </c>
      <c r="C1012" t="str">
        <f>IFERROR(__xludf.DUMMYFUNCTION("""COMPUTED_VALUE"""),"-12 Fitting, Straight")</f>
        <v>-12 Fitting, Straight</v>
      </c>
      <c r="D1012" t="str">
        <f>IFERROR(__xludf.DUMMYFUNCTION("""COMPUTED_VALUE"""),"Systems")</f>
        <v>Systems</v>
      </c>
      <c r="E1012" t="str">
        <f>IFERROR(__xludf.DUMMYFUNCTION("""COMPUTED_VALUE"""),"SolidWorks")</f>
        <v>SolidWorks</v>
      </c>
      <c r="F1012" t="str">
        <f>IFERROR(__xludf.DUMMYFUNCTION("""COMPUTED_VALUE"""),"Marginal Stability")</f>
        <v>Marginal Stability</v>
      </c>
      <c r="G1012" t="str">
        <f>IFERROR(__xludf.DUMMYFUNCTION("""COMPUTED_VALUE"""),"Fitting between LOx line and injector (Propulsion)")</f>
        <v>Fitting between LOx line and injector (Propulsion)</v>
      </c>
      <c r="H1012" t="str">
        <f>IFERROR(__xludf.DUMMYFUNCTION("""COMPUTED_VALUE"""),"Stainless Steel")</f>
        <v>Stainless Steel</v>
      </c>
      <c r="I1012" t="str">
        <f>IFERROR(__xludf.DUMMYFUNCTION("""COMPUTED_VALUE"""),"Imperial")</f>
        <v>Imperial</v>
      </c>
      <c r="J1012" t="str">
        <f>IFERROR(__xludf.DUMMYFUNCTION("""COMPUTED_VALUE"""),"Nick Ahforth")</f>
        <v>Nick Ahforth</v>
      </c>
      <c r="K1012" s="119" t="str">
        <f>IFERROR(__xludf.DUMMYFUNCTION("""COMPUTED_VALUE"""),"3/20/2021")</f>
        <v>3/20/2021</v>
      </c>
      <c r="L1012" s="120" t="str">
        <f>IFERROR(__xludf.DUMMYFUNCTION("""COMPUTED_VALUE"""),"Link")</f>
        <v>Link</v>
      </c>
      <c r="M1012" t="str">
        <f>IFERROR(__xludf.DUMMYFUNCTION("""COMPUTED_VALUE"""),"Completed")</f>
        <v>Completed</v>
      </c>
      <c r="N1012" t="str">
        <f>IFERROR(__xludf.DUMMYFUNCTION("""COMPUTED_VALUE"""),"")</f>
        <v/>
      </c>
      <c r="O1012" t="str">
        <f>IFERROR(__xludf.DUMMYFUNCTION("""COMPUTED_VALUE"""),"")</f>
        <v/>
      </c>
      <c r="P1012" t="str">
        <f>IFERROR(__xludf.DUMMYFUNCTION("""COMPUTED_VALUE"""),"")</f>
        <v/>
      </c>
      <c r="Q1012" t="str">
        <f>IFERROR(__xludf.DUMMYFUNCTION("""COMPUTED_VALUE"""),"")</f>
        <v/>
      </c>
      <c r="R1012" t="str">
        <f>IFERROR(__xludf.DUMMYFUNCTION("""COMPUTED_VALUE"""),"")</f>
        <v/>
      </c>
      <c r="S1012" t="str">
        <f>IFERROR(__xludf.DUMMYFUNCTION("""COMPUTED_VALUE"""),"")</f>
        <v/>
      </c>
      <c r="T1012" t="str">
        <f>IFERROR(__xludf.DUMMYFUNCTION("""COMPUTED_VALUE"""),"")</f>
        <v/>
      </c>
      <c r="U1012" t="str">
        <f>IFERROR(__xludf.DUMMYFUNCTION("""COMPUTED_VALUE"""),"")</f>
        <v/>
      </c>
      <c r="V1012" t="str">
        <f>IFERROR(__xludf.DUMMYFUNCTION("""COMPUTED_VALUE"""),"")</f>
        <v/>
      </c>
      <c r="W1012" t="str">
        <f>IFERROR(__xludf.DUMMYFUNCTION("""COMPUTED_VALUE"""),"")</f>
        <v/>
      </c>
      <c r="X1012" t="str">
        <f>IFERROR(__xludf.DUMMYFUNCTION("""COMPUTED_VALUE"""),"")</f>
        <v/>
      </c>
      <c r="Y1012" t="str">
        <f>IFERROR(__xludf.DUMMYFUNCTION("""COMPUTED_VALUE"""),"")</f>
        <v/>
      </c>
      <c r="Z1012" t="str">
        <f>IFERROR(__xludf.DUMMYFUNCTION("""COMPUTED_VALUE"""),"")</f>
        <v/>
      </c>
    </row>
    <row r="1013">
      <c r="A1013" s="119">
        <f>IFERROR(__xludf.DUMMYFUNCTION("""COMPUTED_VALUE"""),15014.0)</f>
        <v>15014</v>
      </c>
      <c r="B1013" s="119" t="str">
        <f>IFERROR(__xludf.DUMMYFUNCTION("""COMPUTED_VALUE"""),"R01")</f>
        <v>R01</v>
      </c>
      <c r="C1013" t="str">
        <f>IFERROR(__xludf.DUMMYFUNCTION("""COMPUTED_VALUE"""),"-12 Fitting, 90 degree")</f>
        <v>-12 Fitting, 90 degree</v>
      </c>
      <c r="D1013" t="str">
        <f>IFERROR(__xludf.DUMMYFUNCTION("""COMPUTED_VALUE"""),"Systems")</f>
        <v>Systems</v>
      </c>
      <c r="E1013" t="str">
        <f>IFERROR(__xludf.DUMMYFUNCTION("""COMPUTED_VALUE"""),"SolidWorks")</f>
        <v>SolidWorks</v>
      </c>
      <c r="F1013" t="str">
        <f>IFERROR(__xludf.DUMMYFUNCTION("""COMPUTED_VALUE"""),"Marginal Stability")</f>
        <v>Marginal Stability</v>
      </c>
      <c r="G1013" t="str">
        <f>IFERROR(__xludf.DUMMYFUNCTION("""COMPUTED_VALUE"""),"Fitting between RP1 line and TCA (Propulsion)")</f>
        <v>Fitting between RP1 line and TCA (Propulsion)</v>
      </c>
      <c r="H1013" t="str">
        <f>IFERROR(__xludf.DUMMYFUNCTION("""COMPUTED_VALUE"""),"Stainless Steel")</f>
        <v>Stainless Steel</v>
      </c>
      <c r="I1013" t="str">
        <f>IFERROR(__xludf.DUMMYFUNCTION("""COMPUTED_VALUE"""),"Imperial")</f>
        <v>Imperial</v>
      </c>
      <c r="J1013" t="str">
        <f>IFERROR(__xludf.DUMMYFUNCTION("""COMPUTED_VALUE"""),"Nick Ahforth")</f>
        <v>Nick Ahforth</v>
      </c>
      <c r="K1013" s="119" t="str">
        <f>IFERROR(__xludf.DUMMYFUNCTION("""COMPUTED_VALUE"""),"3/20/2022")</f>
        <v>3/20/2022</v>
      </c>
      <c r="L1013" s="120" t="str">
        <f>IFERROR(__xludf.DUMMYFUNCTION("""COMPUTED_VALUE"""),"Link")</f>
        <v>Link</v>
      </c>
      <c r="M1013" t="str">
        <f>IFERROR(__xludf.DUMMYFUNCTION("""COMPUTED_VALUE"""),"Completed")</f>
        <v>Completed</v>
      </c>
      <c r="N1013" t="str">
        <f>IFERROR(__xludf.DUMMYFUNCTION("""COMPUTED_VALUE"""),"")</f>
        <v/>
      </c>
      <c r="O1013" t="str">
        <f>IFERROR(__xludf.DUMMYFUNCTION("""COMPUTED_VALUE"""),"")</f>
        <v/>
      </c>
      <c r="P1013" t="str">
        <f>IFERROR(__xludf.DUMMYFUNCTION("""COMPUTED_VALUE"""),"")</f>
        <v/>
      </c>
      <c r="Q1013" t="str">
        <f>IFERROR(__xludf.DUMMYFUNCTION("""COMPUTED_VALUE"""),"")</f>
        <v/>
      </c>
      <c r="R1013" t="str">
        <f>IFERROR(__xludf.DUMMYFUNCTION("""COMPUTED_VALUE"""),"")</f>
        <v/>
      </c>
      <c r="S1013" t="str">
        <f>IFERROR(__xludf.DUMMYFUNCTION("""COMPUTED_VALUE"""),"")</f>
        <v/>
      </c>
      <c r="T1013" t="str">
        <f>IFERROR(__xludf.DUMMYFUNCTION("""COMPUTED_VALUE"""),"")</f>
        <v/>
      </c>
      <c r="U1013" t="str">
        <f>IFERROR(__xludf.DUMMYFUNCTION("""COMPUTED_VALUE"""),"")</f>
        <v/>
      </c>
      <c r="V1013" t="str">
        <f>IFERROR(__xludf.DUMMYFUNCTION("""COMPUTED_VALUE"""),"")</f>
        <v/>
      </c>
      <c r="W1013" t="str">
        <f>IFERROR(__xludf.DUMMYFUNCTION("""COMPUTED_VALUE"""),"")</f>
        <v/>
      </c>
      <c r="X1013" t="str">
        <f>IFERROR(__xludf.DUMMYFUNCTION("""COMPUTED_VALUE"""),"")</f>
        <v/>
      </c>
      <c r="Y1013" t="str">
        <f>IFERROR(__xludf.DUMMYFUNCTION("""COMPUTED_VALUE"""),"")</f>
        <v/>
      </c>
      <c r="Z1013" t="str">
        <f>IFERROR(__xludf.DUMMYFUNCTION("""COMPUTED_VALUE"""),"")</f>
        <v/>
      </c>
    </row>
    <row r="1200">
      <c r="A1200" s="119">
        <f>IFERROR(__xludf.DUMMYFUNCTION("Filter('16_FASTENERS'!C2:Z996,'16_FASTENERS'!D2:D2000&gt;0)"),16001.0)</f>
        <v>16001</v>
      </c>
      <c r="B1200" s="119" t="str">
        <f>IFERROR(__xludf.DUMMYFUNCTION("""COMPUTED_VALUE"""),"R03")</f>
        <v>R03</v>
      </c>
      <c r="C1200" t="str">
        <f>IFERROR(__xludf.DUMMYFUNCTION("""COMPUTED_VALUE"""),"Threaded Rod")</f>
        <v>Threaded Rod</v>
      </c>
      <c r="D1200" t="str">
        <f>IFERROR(__xludf.DUMMYFUNCTION("""COMPUTED_VALUE"""),"Structures/Systems/Avionics")</f>
        <v>Structures/Systems/Avionics</v>
      </c>
      <c r="E1200" t="str">
        <f>IFERROR(__xludf.DUMMYFUNCTION("""COMPUTED_VALUE"""),"SolidWorks")</f>
        <v>SolidWorks</v>
      </c>
      <c r="F1200" t="str">
        <f>IFERROR(__xludf.DUMMYFUNCTION("""COMPUTED_VALUE"""),"Marginal Stability")</f>
        <v>Marginal Stability</v>
      </c>
      <c r="G1200" t="str">
        <f>IFERROR(__xludf.DUMMYFUNCTION("""COMPUTED_VALUE"""),"3/8"" Threaded rods for holding pressurant tank, avionics, recovery in place (currently not threaded due to processor limitations)")</f>
        <v>3/8" Threaded rods for holding pressurant tank, avionics, recovery in place (currently not threaded due to processor limitations)</v>
      </c>
      <c r="H1200" t="str">
        <f>IFERROR(__xludf.DUMMYFUNCTION("""COMPUTED_VALUE"""),"Steel (?)")</f>
        <v>Steel (?)</v>
      </c>
      <c r="I1200" t="str">
        <f>IFERROR(__xludf.DUMMYFUNCTION("""COMPUTED_VALUE"""),"Imperial")</f>
        <v>Imperial</v>
      </c>
      <c r="J1200" t="str">
        <f>IFERROR(__xludf.DUMMYFUNCTION("""COMPUTED_VALUE"""),"Joshua Elmer")</f>
        <v>Joshua Elmer</v>
      </c>
      <c r="K1200" s="122">
        <f>IFERROR(__xludf.DUMMYFUNCTION("""COMPUTED_VALUE"""),43313.0)</f>
        <v>43313</v>
      </c>
      <c r="L1200" s="120" t="str">
        <f>IFERROR(__xludf.DUMMYFUNCTION("""COMPUTED_VALUE"""),"https://drive.google.com/open?id=1Hio-FWNOEpgrsXQwVHdLrf_2fXxrw55I")</f>
        <v>https://drive.google.com/open?id=1Hio-FWNOEpgrsXQwVHdLrf_2fXxrw55I</v>
      </c>
      <c r="M1200" t="str">
        <f>IFERROR(__xludf.DUMMYFUNCTION("""COMPUTED_VALUE"""),"In Progress")</f>
        <v>In Progress</v>
      </c>
      <c r="N1200" t="str">
        <f>IFERROR(__xludf.DUMMYFUNCTION("""COMPUTED_VALUE"""),"")</f>
        <v/>
      </c>
      <c r="O1200" t="str">
        <f>IFERROR(__xludf.DUMMYFUNCTION("""COMPUTED_VALUE"""),"")</f>
        <v/>
      </c>
      <c r="P1200" t="str">
        <f>IFERROR(__xludf.DUMMYFUNCTION("""COMPUTED_VALUE"""),"")</f>
        <v/>
      </c>
      <c r="Q1200" t="str">
        <f>IFERROR(__xludf.DUMMYFUNCTION("""COMPUTED_VALUE"""),"")</f>
        <v/>
      </c>
      <c r="R1200" t="str">
        <f>IFERROR(__xludf.DUMMYFUNCTION("""COMPUTED_VALUE"""),"")</f>
        <v/>
      </c>
      <c r="S1200" t="str">
        <f>IFERROR(__xludf.DUMMYFUNCTION("""COMPUTED_VALUE"""),"")</f>
        <v/>
      </c>
      <c r="T1200" t="str">
        <f>IFERROR(__xludf.DUMMYFUNCTION("""COMPUTED_VALUE"""),"")</f>
        <v/>
      </c>
      <c r="U1200" t="str">
        <f>IFERROR(__xludf.DUMMYFUNCTION("""COMPUTED_VALUE"""),"")</f>
        <v/>
      </c>
      <c r="V1200" t="str">
        <f>IFERROR(__xludf.DUMMYFUNCTION("""COMPUTED_VALUE"""),"")</f>
        <v/>
      </c>
      <c r="W1200" t="str">
        <f>IFERROR(__xludf.DUMMYFUNCTION("""COMPUTED_VALUE"""),"")</f>
        <v/>
      </c>
      <c r="X1200" t="str">
        <f>IFERROR(__xludf.DUMMYFUNCTION("""COMPUTED_VALUE"""),"")</f>
        <v/>
      </c>
      <c r="Y1200" t="str">
        <f>IFERROR(__xludf.DUMMYFUNCTION("""COMPUTED_VALUE"""),"")</f>
        <v/>
      </c>
      <c r="Z1200" t="str">
        <f>IFERROR(__xludf.DUMMYFUNCTION("""COMPUTED_VALUE"""),"")</f>
        <v/>
      </c>
    </row>
    <row r="1201">
      <c r="A1201" s="119">
        <f>IFERROR(__xludf.DUMMYFUNCTION("""COMPUTED_VALUE"""),16002.0)</f>
        <v>16002</v>
      </c>
      <c r="B1201" s="119" t="str">
        <f>IFERROR(__xludf.DUMMYFUNCTION("""COMPUTED_VALUE"""),"R01")</f>
        <v>R01</v>
      </c>
      <c r="C1201" t="str">
        <f>IFERROR(__xludf.DUMMYFUNCTION("""COMPUTED_VALUE"""),"Brass Push-To-Connect 
Tube Fitting For Air")</f>
        <v>Brass Push-To-Connect 
Tube Fitting For Air</v>
      </c>
      <c r="D1201" t="str">
        <f>IFERROR(__xludf.DUMMYFUNCTION("""COMPUTED_VALUE"""),"Structures/Systems
/Avionics")</f>
        <v>Structures/Systems
/Avionics</v>
      </c>
      <c r="E1201" t="str">
        <f>IFERROR(__xludf.DUMMYFUNCTION("""COMPUTED_VALUE"""),"SolidWorks")</f>
        <v>SolidWorks</v>
      </c>
      <c r="F1201" t="str">
        <f>IFERROR(__xludf.DUMMYFUNCTION("""COMPUTED_VALUE"""),"Marginal Stability")</f>
        <v>Marginal Stability</v>
      </c>
      <c r="G1201" t="str">
        <f>IFERROR(__xludf.DUMMYFUNCTION("""COMPUTED_VALUE"""),"Tube fitting for 1/4"" OD tube to 1/8"" npt male connector, to connect air line to air cylinder for recovery actuator")</f>
        <v>Tube fitting for 1/4" OD tube to 1/8" npt male connector, to connect air line to air cylinder for recovery actuator</v>
      </c>
      <c r="H1201" t="str">
        <f>IFERROR(__xludf.DUMMYFUNCTION("""COMPUTED_VALUE"""),"Brass")</f>
        <v>Brass</v>
      </c>
      <c r="I1201" t="str">
        <f>IFERROR(__xludf.DUMMYFUNCTION("""COMPUTED_VALUE"""),"Imperial")</f>
        <v>Imperial</v>
      </c>
      <c r="J1201" t="str">
        <f>IFERROR(__xludf.DUMMYFUNCTION("""COMPUTED_VALUE"""),"Norman Chen-Liaw")</f>
        <v>Norman Chen-Liaw</v>
      </c>
      <c r="K1201" s="49">
        <f>IFERROR(__xludf.DUMMYFUNCTION("""COMPUTED_VALUE"""),43407.0)</f>
        <v>43407</v>
      </c>
      <c r="L1201" s="120" t="str">
        <f>IFERROR(__xludf.DUMMYFUNCTION("""COMPUTED_VALUE"""),"https://drive.google.com/open?id=199f_FtQt7u5K5mbmOvCVGABwWBuKKi4y")</f>
        <v>https://drive.google.com/open?id=199f_FtQt7u5K5mbmOvCVGABwWBuKKi4y</v>
      </c>
      <c r="M1201" t="str">
        <f>IFERROR(__xludf.DUMMYFUNCTION("""COMPUTED_VALUE"""),"Completed, 
Part imported from 
McMaster Carr")</f>
        <v>Completed, 
Part imported from 
McMaster Carr</v>
      </c>
      <c r="N1201" s="120" t="str">
        <f>IFERROR(__xludf.DUMMYFUNCTION("""COMPUTED_VALUE"""),"https://www.mcmaster.com/5779k108")</f>
        <v>https://www.mcmaster.com/5779k108</v>
      </c>
      <c r="O1201" t="str">
        <f>IFERROR(__xludf.DUMMYFUNCTION("""COMPUTED_VALUE"""),"")</f>
        <v/>
      </c>
      <c r="P1201" t="str">
        <f>IFERROR(__xludf.DUMMYFUNCTION("""COMPUTED_VALUE"""),"")</f>
        <v/>
      </c>
      <c r="Q1201" t="str">
        <f>IFERROR(__xludf.DUMMYFUNCTION("""COMPUTED_VALUE"""),"")</f>
        <v/>
      </c>
      <c r="R1201" t="str">
        <f>IFERROR(__xludf.DUMMYFUNCTION("""COMPUTED_VALUE"""),"")</f>
        <v/>
      </c>
      <c r="S1201" t="str">
        <f>IFERROR(__xludf.DUMMYFUNCTION("""COMPUTED_VALUE"""),"")</f>
        <v/>
      </c>
      <c r="T1201" t="str">
        <f>IFERROR(__xludf.DUMMYFUNCTION("""COMPUTED_VALUE"""),"")</f>
        <v/>
      </c>
      <c r="U1201" t="str">
        <f>IFERROR(__xludf.DUMMYFUNCTION("""COMPUTED_VALUE"""),"")</f>
        <v/>
      </c>
      <c r="V1201" t="str">
        <f>IFERROR(__xludf.DUMMYFUNCTION("""COMPUTED_VALUE"""),"")</f>
        <v/>
      </c>
      <c r="W1201" t="str">
        <f>IFERROR(__xludf.DUMMYFUNCTION("""COMPUTED_VALUE"""),"")</f>
        <v/>
      </c>
      <c r="X1201" t="str">
        <f>IFERROR(__xludf.DUMMYFUNCTION("""COMPUTED_VALUE"""),"")</f>
        <v/>
      </c>
      <c r="Y1201" t="str">
        <f>IFERROR(__xludf.DUMMYFUNCTION("""COMPUTED_VALUE"""),"")</f>
        <v/>
      </c>
      <c r="Z1201" t="str">
        <f>IFERROR(__xludf.DUMMYFUNCTION("""COMPUTED_VALUE"""),"")</f>
        <v/>
      </c>
    </row>
    <row r="1202">
      <c r="A1202" s="119">
        <f>IFERROR(__xludf.DUMMYFUNCTION("""COMPUTED_VALUE"""),16003.0)</f>
        <v>16003</v>
      </c>
      <c r="B1202" s="119" t="str">
        <f>IFERROR(__xludf.DUMMYFUNCTION("""COMPUTED_VALUE"""),"R01")</f>
        <v>R01</v>
      </c>
      <c r="C1202" t="str">
        <f>IFERROR(__xludf.DUMMYFUNCTION("""COMPUTED_VALUE"""),"Sure-Seal Stainless 
Steel Solenoid Valve")</f>
        <v>Sure-Seal Stainless 
Steel Solenoid Valve</v>
      </c>
      <c r="D1202" t="str">
        <f>IFERROR(__xludf.DUMMYFUNCTION("""COMPUTED_VALUE"""),"Structures/Systems/Avionics")</f>
        <v>Structures/Systems/Avionics</v>
      </c>
      <c r="E1202" t="str">
        <f>IFERROR(__xludf.DUMMYFUNCTION("""COMPUTED_VALUE"""),"SolidWorks")</f>
        <v>SolidWorks</v>
      </c>
      <c r="F1202" t="str">
        <f>IFERROR(__xludf.DUMMYFUNCTION("""COMPUTED_VALUE"""),"Marginal Stability")</f>
        <v>Marginal Stability</v>
      </c>
      <c r="G1202" t="str">
        <f>IFERROR(__xludf.DUMMYFUNCTION("""COMPUTED_VALUE"""),"Solenoid valve for recovery actuator, 24vDC")</f>
        <v>Solenoid valve for recovery actuator, 24vDC</v>
      </c>
      <c r="H1202" t="str">
        <f>IFERROR(__xludf.DUMMYFUNCTION("""COMPUTED_VALUE"""),"Stainless Steel")</f>
        <v>Stainless Steel</v>
      </c>
      <c r="I1202" t="str">
        <f>IFERROR(__xludf.DUMMYFUNCTION("""COMPUTED_VALUE"""),"Imperial")</f>
        <v>Imperial</v>
      </c>
      <c r="J1202" t="str">
        <f>IFERROR(__xludf.DUMMYFUNCTION("""COMPUTED_VALUE"""),"Norman Chen-Liaw")</f>
        <v>Norman Chen-Liaw</v>
      </c>
      <c r="K1202" s="49">
        <f>IFERROR(__xludf.DUMMYFUNCTION("""COMPUTED_VALUE"""),43407.0)</f>
        <v>43407</v>
      </c>
      <c r="L1202" s="120" t="str">
        <f>IFERROR(__xludf.DUMMYFUNCTION("""COMPUTED_VALUE"""),"https://drive.google.com/open?id=1Bn6tG0ubFy7fYhXO_6GBBQZDLKhqTVxI")</f>
        <v>https://drive.google.com/open?id=1Bn6tG0ubFy7fYhXO_6GBBQZDLKhqTVxI</v>
      </c>
      <c r="M1202" t="str">
        <f>IFERROR(__xludf.DUMMYFUNCTION("""COMPUTED_VALUE"""),"Completed, 
Part imported from 
McMaster Carr")</f>
        <v>Completed, 
Part imported from 
McMaster Carr</v>
      </c>
      <c r="N1202" s="120" t="str">
        <f>IFERROR(__xludf.DUMMYFUNCTION("""COMPUTED_VALUE"""),"https://www.mcmaster.com/4639k743
Search for part ""4639K743""")</f>
        <v>https://www.mcmaster.com/4639k743
Search for part "4639K743"</v>
      </c>
      <c r="O1202" t="str">
        <f>IFERROR(__xludf.DUMMYFUNCTION("""COMPUTED_VALUE"""),"")</f>
        <v/>
      </c>
      <c r="P1202" t="str">
        <f>IFERROR(__xludf.DUMMYFUNCTION("""COMPUTED_VALUE"""),"")</f>
        <v/>
      </c>
      <c r="Q1202" t="str">
        <f>IFERROR(__xludf.DUMMYFUNCTION("""COMPUTED_VALUE"""),"")</f>
        <v/>
      </c>
      <c r="R1202" t="str">
        <f>IFERROR(__xludf.DUMMYFUNCTION("""COMPUTED_VALUE"""),"")</f>
        <v/>
      </c>
      <c r="S1202" t="str">
        <f>IFERROR(__xludf.DUMMYFUNCTION("""COMPUTED_VALUE"""),"")</f>
        <v/>
      </c>
      <c r="T1202" t="str">
        <f>IFERROR(__xludf.DUMMYFUNCTION("""COMPUTED_VALUE"""),"")</f>
        <v/>
      </c>
      <c r="U1202" t="str">
        <f>IFERROR(__xludf.DUMMYFUNCTION("""COMPUTED_VALUE"""),"")</f>
        <v/>
      </c>
      <c r="V1202" t="str">
        <f>IFERROR(__xludf.DUMMYFUNCTION("""COMPUTED_VALUE"""),"")</f>
        <v/>
      </c>
      <c r="W1202" t="str">
        <f>IFERROR(__xludf.DUMMYFUNCTION("""COMPUTED_VALUE"""),"")</f>
        <v/>
      </c>
      <c r="X1202" t="str">
        <f>IFERROR(__xludf.DUMMYFUNCTION("""COMPUTED_VALUE"""),"")</f>
        <v/>
      </c>
      <c r="Y1202" t="str">
        <f>IFERROR(__xludf.DUMMYFUNCTION("""COMPUTED_VALUE"""),"")</f>
        <v/>
      </c>
      <c r="Z1202" t="str">
        <f>IFERROR(__xludf.DUMMYFUNCTION("""COMPUTED_VALUE"""),"")</f>
        <v/>
      </c>
    </row>
    <row r="1203">
      <c r="A1203" s="119">
        <f>IFERROR(__xludf.DUMMYFUNCTION("""COMPUTED_VALUE"""),16004.0)</f>
        <v>16004</v>
      </c>
      <c r="B1203" s="119" t="str">
        <f>IFERROR(__xludf.DUMMYFUNCTION("""COMPUTED_VALUE"""),"R01")</f>
        <v>R01</v>
      </c>
      <c r="C1203" t="str">
        <f>IFERROR(__xludf.DUMMYFUNCTION("""COMPUTED_VALUE"""),"Air Regulator with 
Built-In Pressure 
Gauge")</f>
        <v>Air Regulator with 
Built-In Pressure 
Gauge</v>
      </c>
      <c r="D1203" t="str">
        <f>IFERROR(__xludf.DUMMYFUNCTION("""COMPUTED_VALUE"""),"Structures/Systems
/Avionics")</f>
        <v>Structures/Systems
/Avionics</v>
      </c>
      <c r="E1203" t="str">
        <f>IFERROR(__xludf.DUMMYFUNCTION("""COMPUTED_VALUE"""),"SolidWorks")</f>
        <v>SolidWorks</v>
      </c>
      <c r="F1203" t="str">
        <f>IFERROR(__xludf.DUMMYFUNCTION("""COMPUTED_VALUE"""),"Marginal Stability")</f>
        <v>Marginal Stability</v>
      </c>
      <c r="G1203" t="str">
        <f>IFERROR(__xludf.DUMMYFUNCTION("""COMPUTED_VALUE"""),"1/8"" npt threaded air regulator with pressure relief valve")</f>
        <v>1/8" npt threaded air regulator with pressure relief valve</v>
      </c>
      <c r="H1203" t="str">
        <f>IFERROR(__xludf.DUMMYFUNCTION("""COMPUTED_VALUE"""),"Zinc")</f>
        <v>Zinc</v>
      </c>
      <c r="I1203" t="str">
        <f>IFERROR(__xludf.DUMMYFUNCTION("""COMPUTED_VALUE"""),"Imperial")</f>
        <v>Imperial</v>
      </c>
      <c r="J1203" t="str">
        <f>IFERROR(__xludf.DUMMYFUNCTION("""COMPUTED_VALUE"""),"Norman Chen-Liaw")</f>
        <v>Norman Chen-Liaw</v>
      </c>
      <c r="K1203" s="49">
        <f>IFERROR(__xludf.DUMMYFUNCTION("""COMPUTED_VALUE"""),43407.0)</f>
        <v>43407</v>
      </c>
      <c r="L1203" s="120" t="str">
        <f>IFERROR(__xludf.DUMMYFUNCTION("""COMPUTED_VALUE"""),"https://drive.google.com/open?id=1ihusJ-DiZreISb5vISAlrhDE_gQDHvD4")</f>
        <v>https://drive.google.com/open?id=1ihusJ-DiZreISb5vISAlrhDE_gQDHvD4</v>
      </c>
      <c r="M1203" t="str">
        <f>IFERROR(__xludf.DUMMYFUNCTION("""COMPUTED_VALUE"""),"Completed, 
Part imported from 
McMaster Carr")</f>
        <v>Completed, 
Part imported from 
McMaster Carr</v>
      </c>
      <c r="N1203" s="120" t="str">
        <f>IFERROR(__xludf.DUMMYFUNCTION("""COMPUTED_VALUE"""),"https://www.mcmaster.com/8812k51")</f>
        <v>https://www.mcmaster.com/8812k51</v>
      </c>
      <c r="O1203" t="str">
        <f>IFERROR(__xludf.DUMMYFUNCTION("""COMPUTED_VALUE"""),"")</f>
        <v/>
      </c>
      <c r="P1203" t="str">
        <f>IFERROR(__xludf.DUMMYFUNCTION("""COMPUTED_VALUE"""),"")</f>
        <v/>
      </c>
      <c r="Q1203" t="str">
        <f>IFERROR(__xludf.DUMMYFUNCTION("""COMPUTED_VALUE"""),"")</f>
        <v/>
      </c>
      <c r="R1203" t="str">
        <f>IFERROR(__xludf.DUMMYFUNCTION("""COMPUTED_VALUE"""),"")</f>
        <v/>
      </c>
      <c r="S1203" t="str">
        <f>IFERROR(__xludf.DUMMYFUNCTION("""COMPUTED_VALUE"""),"")</f>
        <v/>
      </c>
      <c r="T1203" t="str">
        <f>IFERROR(__xludf.DUMMYFUNCTION("""COMPUTED_VALUE"""),"")</f>
        <v/>
      </c>
      <c r="U1203" t="str">
        <f>IFERROR(__xludf.DUMMYFUNCTION("""COMPUTED_VALUE"""),"")</f>
        <v/>
      </c>
      <c r="V1203" t="str">
        <f>IFERROR(__xludf.DUMMYFUNCTION("""COMPUTED_VALUE"""),"")</f>
        <v/>
      </c>
      <c r="W1203" t="str">
        <f>IFERROR(__xludf.DUMMYFUNCTION("""COMPUTED_VALUE"""),"")</f>
        <v/>
      </c>
      <c r="X1203" t="str">
        <f>IFERROR(__xludf.DUMMYFUNCTION("""COMPUTED_VALUE"""),"")</f>
        <v/>
      </c>
      <c r="Y1203" t="str">
        <f>IFERROR(__xludf.DUMMYFUNCTION("""COMPUTED_VALUE"""),"")</f>
        <v/>
      </c>
      <c r="Z1203" t="str">
        <f>IFERROR(__xludf.DUMMYFUNCTION("""COMPUTED_VALUE"""),"")</f>
        <v/>
      </c>
    </row>
    <row r="1204">
      <c r="A1204" s="119">
        <f>IFERROR(__xludf.DUMMYFUNCTION("""COMPUTED_VALUE"""),16005.0)</f>
        <v>16005</v>
      </c>
      <c r="B1204" s="119" t="str">
        <f>IFERROR(__xludf.DUMMYFUNCTION("""COMPUTED_VALUE"""),"R01")</f>
        <v>R01</v>
      </c>
      <c r="C1204" t="str">
        <f>IFERROR(__xludf.DUMMYFUNCTION("""COMPUTED_VALUE"""),"Threaded Rod")</f>
        <v>Threaded Rod</v>
      </c>
      <c r="D1204" t="str">
        <f>IFERROR(__xludf.DUMMYFUNCTION("""COMPUTED_VALUE"""),"Structures/Systems
/Avionics")</f>
        <v>Structures/Systems
/Avionics</v>
      </c>
      <c r="E1204" t="str">
        <f>IFERROR(__xludf.DUMMYFUNCTION("""COMPUTED_VALUE"""),"SolidWorks")</f>
        <v>SolidWorks</v>
      </c>
      <c r="F1204" t="str">
        <f>IFERROR(__xludf.DUMMYFUNCTION("""COMPUTED_VALUE"""),"Marginal Stability")</f>
        <v>Marginal Stability</v>
      </c>
      <c r="G1204" t="str">
        <f>IFERROR(__xludf.DUMMYFUNCTION("""COMPUTED_VALUE"""),"1/4""-20 Thread Size, 2-1/2"" Long, for mounting Recovery Pressure Tank")</f>
        <v>1/4"-20 Thread Size, 2-1/2" Long, for mounting Recovery Pressure Tank</v>
      </c>
      <c r="H1204" t="str">
        <f>IFERROR(__xludf.DUMMYFUNCTION("""COMPUTED_VALUE"""),"Steel ")</f>
        <v>Steel </v>
      </c>
      <c r="I1204" t="str">
        <f>IFERROR(__xludf.DUMMYFUNCTION("""COMPUTED_VALUE"""),"Imperial")</f>
        <v>Imperial</v>
      </c>
      <c r="J1204" t="str">
        <f>IFERROR(__xludf.DUMMYFUNCTION("""COMPUTED_VALUE"""),"Andrew Bilan")</f>
        <v>Andrew Bilan</v>
      </c>
      <c r="K1204" s="49">
        <f>IFERROR(__xludf.DUMMYFUNCTION("""COMPUTED_VALUE"""),43414.0)</f>
        <v>43414</v>
      </c>
      <c r="L1204" t="str">
        <f>IFERROR(__xludf.DUMMYFUNCTION("""COMPUTED_VALUE"""),"")</f>
        <v/>
      </c>
      <c r="M1204" t="str">
        <f>IFERROR(__xludf.DUMMYFUNCTION("""COMPUTED_VALUE"""),"Completed, 
Part imported from 
McMaster Carr")</f>
        <v>Completed, 
Part imported from 
McMaster Carr</v>
      </c>
      <c r="N1204" s="120" t="str">
        <f>IFERROR(__xludf.DUMMYFUNCTION("""COMPUTED_VALUE"""),"https://www.mcmaster.com/98750a021")</f>
        <v>https://www.mcmaster.com/98750a021</v>
      </c>
      <c r="O1204" t="str">
        <f>IFERROR(__xludf.DUMMYFUNCTION("""COMPUTED_VALUE"""),"")</f>
        <v/>
      </c>
      <c r="P1204" t="str">
        <f>IFERROR(__xludf.DUMMYFUNCTION("""COMPUTED_VALUE"""),"")</f>
        <v/>
      </c>
      <c r="Q1204" t="str">
        <f>IFERROR(__xludf.DUMMYFUNCTION("""COMPUTED_VALUE"""),"")</f>
        <v/>
      </c>
      <c r="R1204" t="str">
        <f>IFERROR(__xludf.DUMMYFUNCTION("""COMPUTED_VALUE"""),"")</f>
        <v/>
      </c>
      <c r="S1204" t="str">
        <f>IFERROR(__xludf.DUMMYFUNCTION("""COMPUTED_VALUE"""),"")</f>
        <v/>
      </c>
      <c r="T1204" t="str">
        <f>IFERROR(__xludf.DUMMYFUNCTION("""COMPUTED_VALUE"""),"")</f>
        <v/>
      </c>
      <c r="U1204" t="str">
        <f>IFERROR(__xludf.DUMMYFUNCTION("""COMPUTED_VALUE"""),"")</f>
        <v/>
      </c>
      <c r="V1204" t="str">
        <f>IFERROR(__xludf.DUMMYFUNCTION("""COMPUTED_VALUE"""),"")</f>
        <v/>
      </c>
      <c r="W1204" t="str">
        <f>IFERROR(__xludf.DUMMYFUNCTION("""COMPUTED_VALUE"""),"")</f>
        <v/>
      </c>
      <c r="X1204" t="str">
        <f>IFERROR(__xludf.DUMMYFUNCTION("""COMPUTED_VALUE"""),"")</f>
        <v/>
      </c>
      <c r="Y1204" t="str">
        <f>IFERROR(__xludf.DUMMYFUNCTION("""COMPUTED_VALUE"""),"")</f>
        <v/>
      </c>
      <c r="Z1204" t="str">
        <f>IFERROR(__xludf.DUMMYFUNCTION("""COMPUTED_VALUE"""),"")</f>
        <v/>
      </c>
    </row>
    <row r="1205">
      <c r="A1205" s="119">
        <f>IFERROR(__xludf.DUMMYFUNCTION("""COMPUTED_VALUE"""),16006.0)</f>
        <v>16006</v>
      </c>
      <c r="B1205" s="119" t="str">
        <f>IFERROR(__xludf.DUMMYFUNCTION("""COMPUTED_VALUE"""),"R01")</f>
        <v>R01</v>
      </c>
      <c r="C1205" t="str">
        <f>IFERROR(__xludf.DUMMYFUNCTION("""COMPUTED_VALUE"""),"Nylon-Insert Locknut")</f>
        <v>Nylon-Insert Locknut</v>
      </c>
      <c r="D1205" t="str">
        <f>IFERROR(__xludf.DUMMYFUNCTION("""COMPUTED_VALUE"""),"Structures/Systems
/Avionics")</f>
        <v>Structures/Systems
/Avionics</v>
      </c>
      <c r="E1205" t="str">
        <f>IFERROR(__xludf.DUMMYFUNCTION("""COMPUTED_VALUE"""),"SolidWorks")</f>
        <v>SolidWorks</v>
      </c>
      <c r="F1205" t="str">
        <f>IFERROR(__xludf.DUMMYFUNCTION("""COMPUTED_VALUE"""),"Marginal Stability")</f>
        <v>Marginal Stability</v>
      </c>
      <c r="G1205" t="str">
        <f>IFERROR(__xludf.DUMMYFUNCTION("""COMPUTED_VALUE"""),"Grade 8, Zinc Yellow-Chromate Plated, 1/4""-20 Thread Size, for mounting Recovery Pressure Tank")</f>
        <v>Grade 8, Zinc Yellow-Chromate Plated, 1/4"-20 Thread Size, for mounting Recovery Pressure Tank</v>
      </c>
      <c r="H1205" t="str">
        <f>IFERROR(__xludf.DUMMYFUNCTION("""COMPUTED_VALUE"""),"Steel ")</f>
        <v>Steel </v>
      </c>
      <c r="I1205" t="str">
        <f>IFERROR(__xludf.DUMMYFUNCTION("""COMPUTED_VALUE"""),"Imperial")</f>
        <v>Imperial</v>
      </c>
      <c r="J1205" t="str">
        <f>IFERROR(__xludf.DUMMYFUNCTION("""COMPUTED_VALUE"""),"Andrew Bilan")</f>
        <v>Andrew Bilan</v>
      </c>
      <c r="K1205" s="49">
        <f>IFERROR(__xludf.DUMMYFUNCTION("""COMPUTED_VALUE"""),43414.0)</f>
        <v>43414</v>
      </c>
      <c r="L1205" t="str">
        <f>IFERROR(__xludf.DUMMYFUNCTION("""COMPUTED_VALUE"""),"")</f>
        <v/>
      </c>
      <c r="M1205" t="str">
        <f>IFERROR(__xludf.DUMMYFUNCTION("""COMPUTED_VALUE"""),"Completed, 
Part imported from 
McMaster Carr")</f>
        <v>Completed, 
Part imported from 
McMaster Carr</v>
      </c>
      <c r="N1205" s="120" t="str">
        <f>IFERROR(__xludf.DUMMYFUNCTION("""COMPUTED_VALUE"""),"https://www.mcmaster.com/97135a210")</f>
        <v>https://www.mcmaster.com/97135a210</v>
      </c>
      <c r="O1205" t="str">
        <f>IFERROR(__xludf.DUMMYFUNCTION("""COMPUTED_VALUE"""),"")</f>
        <v/>
      </c>
      <c r="P1205" t="str">
        <f>IFERROR(__xludf.DUMMYFUNCTION("""COMPUTED_VALUE"""),"")</f>
        <v/>
      </c>
      <c r="Q1205" t="str">
        <f>IFERROR(__xludf.DUMMYFUNCTION("""COMPUTED_VALUE"""),"")</f>
        <v/>
      </c>
      <c r="R1205" t="str">
        <f>IFERROR(__xludf.DUMMYFUNCTION("""COMPUTED_VALUE"""),"")</f>
        <v/>
      </c>
      <c r="S1205" t="str">
        <f>IFERROR(__xludf.DUMMYFUNCTION("""COMPUTED_VALUE"""),"")</f>
        <v/>
      </c>
      <c r="T1205" t="str">
        <f>IFERROR(__xludf.DUMMYFUNCTION("""COMPUTED_VALUE"""),"")</f>
        <v/>
      </c>
      <c r="U1205" t="str">
        <f>IFERROR(__xludf.DUMMYFUNCTION("""COMPUTED_VALUE"""),"")</f>
        <v/>
      </c>
      <c r="V1205" t="str">
        <f>IFERROR(__xludf.DUMMYFUNCTION("""COMPUTED_VALUE"""),"")</f>
        <v/>
      </c>
      <c r="W1205" t="str">
        <f>IFERROR(__xludf.DUMMYFUNCTION("""COMPUTED_VALUE"""),"")</f>
        <v/>
      </c>
      <c r="X1205" t="str">
        <f>IFERROR(__xludf.DUMMYFUNCTION("""COMPUTED_VALUE"""),"")</f>
        <v/>
      </c>
      <c r="Y1205" t="str">
        <f>IFERROR(__xludf.DUMMYFUNCTION("""COMPUTED_VALUE"""),"")</f>
        <v/>
      </c>
      <c r="Z1205" t="str">
        <f>IFERROR(__xludf.DUMMYFUNCTION("""COMPUTED_VALUE"""),"")</f>
        <v/>
      </c>
    </row>
    <row r="1206">
      <c r="A1206" s="119">
        <f>IFERROR(__xludf.DUMMYFUNCTION("""COMPUTED_VALUE"""),16007.0)</f>
        <v>16007</v>
      </c>
      <c r="B1206" s="119" t="str">
        <f>IFERROR(__xludf.DUMMYFUNCTION("""COMPUTED_VALUE"""),"R01")</f>
        <v>R01</v>
      </c>
      <c r="C1206" t="str">
        <f>IFERROR(__xludf.DUMMYFUNCTION("""COMPUTED_VALUE"""),"Round Body Air Cylinder")</f>
        <v>Round Body Air Cylinder</v>
      </c>
      <c r="D1206" t="str">
        <f>IFERROR(__xludf.DUMMYFUNCTION("""COMPUTED_VALUE"""),"Structures/Systems
/Avionics")</f>
        <v>Structures/Systems
/Avionics</v>
      </c>
      <c r="E1206" t="str">
        <f>IFERROR(__xludf.DUMMYFUNCTION("""COMPUTED_VALUE"""),"SolidWorks")</f>
        <v>SolidWorks</v>
      </c>
      <c r="F1206" t="str">
        <f>IFERROR(__xludf.DUMMYFUNCTION("""COMPUTED_VALUE"""),"Marginal Stability")</f>
        <v>Marginal Stability</v>
      </c>
      <c r="G1206" t="str">
        <f>IFERROR(__xludf.DUMMYFUNCTION("""COMPUTED_VALUE"""),"Single-Acting, Push Style, 1-1/16"" Bore, 1/2"" Stroke, for Recovery System")</f>
        <v>Single-Acting, Push Style, 1-1/16" Bore, 1/2" Stroke, for Recovery System</v>
      </c>
      <c r="H1206" t="str">
        <f>IFERROR(__xludf.DUMMYFUNCTION("""COMPUTED_VALUE"""),"Stainless Steel")</f>
        <v>Stainless Steel</v>
      </c>
      <c r="I1206" t="str">
        <f>IFERROR(__xludf.DUMMYFUNCTION("""COMPUTED_VALUE"""),"Imperial")</f>
        <v>Imperial</v>
      </c>
      <c r="J1206" t="str">
        <f>IFERROR(__xludf.DUMMYFUNCTION("""COMPUTED_VALUE"""),"Andrew Bilan")</f>
        <v>Andrew Bilan</v>
      </c>
      <c r="K1206" s="49">
        <f>IFERROR(__xludf.DUMMYFUNCTION("""COMPUTED_VALUE"""),43414.0)</f>
        <v>43414</v>
      </c>
      <c r="L1206" t="str">
        <f>IFERROR(__xludf.DUMMYFUNCTION("""COMPUTED_VALUE"""),"")</f>
        <v/>
      </c>
      <c r="M1206" t="str">
        <f>IFERROR(__xludf.DUMMYFUNCTION("""COMPUTED_VALUE"""),"Completed, 
Part imported from 
McMaster Carr")</f>
        <v>Completed, 
Part imported from 
McMaster Carr</v>
      </c>
      <c r="N1206" s="120" t="str">
        <f>IFERROR(__xludf.DUMMYFUNCTION("""COMPUTED_VALUE"""),"https://www.mcmaster.com/6498k062")</f>
        <v>https://www.mcmaster.com/6498k062</v>
      </c>
      <c r="O1206" t="str">
        <f>IFERROR(__xludf.DUMMYFUNCTION("""COMPUTED_VALUE"""),"")</f>
        <v/>
      </c>
      <c r="P1206" t="str">
        <f>IFERROR(__xludf.DUMMYFUNCTION("""COMPUTED_VALUE"""),"")</f>
        <v/>
      </c>
      <c r="Q1206" t="str">
        <f>IFERROR(__xludf.DUMMYFUNCTION("""COMPUTED_VALUE"""),"")</f>
        <v/>
      </c>
      <c r="R1206" t="str">
        <f>IFERROR(__xludf.DUMMYFUNCTION("""COMPUTED_VALUE"""),"")</f>
        <v/>
      </c>
      <c r="S1206" t="str">
        <f>IFERROR(__xludf.DUMMYFUNCTION("""COMPUTED_VALUE"""),"")</f>
        <v/>
      </c>
      <c r="T1206" t="str">
        <f>IFERROR(__xludf.DUMMYFUNCTION("""COMPUTED_VALUE"""),"")</f>
        <v/>
      </c>
      <c r="U1206" t="str">
        <f>IFERROR(__xludf.DUMMYFUNCTION("""COMPUTED_VALUE"""),"")</f>
        <v/>
      </c>
      <c r="V1206" t="str">
        <f>IFERROR(__xludf.DUMMYFUNCTION("""COMPUTED_VALUE"""),"")</f>
        <v/>
      </c>
      <c r="W1206" t="str">
        <f>IFERROR(__xludf.DUMMYFUNCTION("""COMPUTED_VALUE"""),"")</f>
        <v/>
      </c>
      <c r="X1206" t="str">
        <f>IFERROR(__xludf.DUMMYFUNCTION("""COMPUTED_VALUE"""),"")</f>
        <v/>
      </c>
      <c r="Y1206" t="str">
        <f>IFERROR(__xludf.DUMMYFUNCTION("""COMPUTED_VALUE"""),"")</f>
        <v/>
      </c>
      <c r="Z1206" t="str">
        <f>IFERROR(__xludf.DUMMYFUNCTION("""COMPUTED_VALUE"""),"")</f>
        <v/>
      </c>
    </row>
    <row r="1207">
      <c r="A1207" s="119">
        <f>IFERROR(__xludf.DUMMYFUNCTION("""COMPUTED_VALUE"""),16008.0)</f>
        <v>16008</v>
      </c>
      <c r="B1207" s="119" t="str">
        <f>IFERROR(__xludf.DUMMYFUNCTION("""COMPUTED_VALUE"""),"R01")</f>
        <v>R01</v>
      </c>
      <c r="C1207" t="str">
        <f>IFERROR(__xludf.DUMMYFUNCTION("""COMPUTED_VALUE"""),"Push-To-Connect Tube
Fitting for Air, Straight 
Adapter")</f>
        <v>Push-To-Connect Tube
Fitting for Air, Straight 
Adapter</v>
      </c>
      <c r="D1207" t="str">
        <f>IFERROR(__xludf.DUMMYFUNCTION("""COMPUTED_VALUE"""),"Structures/Systems
/Avionics")</f>
        <v>Structures/Systems
/Avionics</v>
      </c>
      <c r="E1207" t="str">
        <f>IFERROR(__xludf.DUMMYFUNCTION("""COMPUTED_VALUE"""),"SolidWorks")</f>
        <v>SolidWorks</v>
      </c>
      <c r="F1207" t="str">
        <f>IFERROR(__xludf.DUMMYFUNCTION("""COMPUTED_VALUE"""),"Marginal Stability")</f>
        <v>Marginal Stability</v>
      </c>
      <c r="G1207" t="str">
        <f>IFERROR(__xludf.DUMMYFUNCTION("""COMPUTED_VALUE"""),"Straight Adapter, 1/2"" Stem OD, for 1/4"" Tube OD for Recovery System Plumbing")</f>
        <v>Straight Adapter, 1/2" Stem OD, for 1/4" Tube OD for Recovery System Plumbing</v>
      </c>
      <c r="H1207" t="str">
        <f>IFERROR(__xludf.DUMMYFUNCTION("""COMPUTED_VALUE"""),"Nylon Plastic")</f>
        <v>Nylon Plastic</v>
      </c>
      <c r="I1207" t="str">
        <f>IFERROR(__xludf.DUMMYFUNCTION("""COMPUTED_VALUE"""),"Imperial")</f>
        <v>Imperial</v>
      </c>
      <c r="J1207" t="str">
        <f>IFERROR(__xludf.DUMMYFUNCTION("""COMPUTED_VALUE"""),"Andrew Bilan")</f>
        <v>Andrew Bilan</v>
      </c>
      <c r="K1207" s="49">
        <f>IFERROR(__xludf.DUMMYFUNCTION("""COMPUTED_VALUE"""),43414.0)</f>
        <v>43414</v>
      </c>
      <c r="L1207" t="str">
        <f>IFERROR(__xludf.DUMMYFUNCTION("""COMPUTED_VALUE"""),"")</f>
        <v/>
      </c>
      <c r="M1207" t="str">
        <f>IFERROR(__xludf.DUMMYFUNCTION("""COMPUTED_VALUE"""),"Completed, 
Part imported from 
McMaster Carr")</f>
        <v>Completed, 
Part imported from 
McMaster Carr</v>
      </c>
      <c r="N1207" s="120" t="str">
        <f>IFERROR(__xludf.DUMMYFUNCTION("""COMPUTED_VALUE"""),"https://www.mcmaster.com/5779k719")</f>
        <v>https://www.mcmaster.com/5779k719</v>
      </c>
      <c r="O1207" t="str">
        <f>IFERROR(__xludf.DUMMYFUNCTION("""COMPUTED_VALUE"""),"")</f>
        <v/>
      </c>
      <c r="P1207" t="str">
        <f>IFERROR(__xludf.DUMMYFUNCTION("""COMPUTED_VALUE"""),"")</f>
        <v/>
      </c>
      <c r="Q1207" t="str">
        <f>IFERROR(__xludf.DUMMYFUNCTION("""COMPUTED_VALUE"""),"")</f>
        <v/>
      </c>
      <c r="R1207" t="str">
        <f>IFERROR(__xludf.DUMMYFUNCTION("""COMPUTED_VALUE"""),"")</f>
        <v/>
      </c>
      <c r="S1207" t="str">
        <f>IFERROR(__xludf.DUMMYFUNCTION("""COMPUTED_VALUE"""),"")</f>
        <v/>
      </c>
      <c r="T1207" t="str">
        <f>IFERROR(__xludf.DUMMYFUNCTION("""COMPUTED_VALUE"""),"")</f>
        <v/>
      </c>
      <c r="U1207" t="str">
        <f>IFERROR(__xludf.DUMMYFUNCTION("""COMPUTED_VALUE"""),"")</f>
        <v/>
      </c>
      <c r="V1207" t="str">
        <f>IFERROR(__xludf.DUMMYFUNCTION("""COMPUTED_VALUE"""),"")</f>
        <v/>
      </c>
      <c r="W1207" t="str">
        <f>IFERROR(__xludf.DUMMYFUNCTION("""COMPUTED_VALUE"""),"")</f>
        <v/>
      </c>
      <c r="X1207" t="str">
        <f>IFERROR(__xludf.DUMMYFUNCTION("""COMPUTED_VALUE"""),"")</f>
        <v/>
      </c>
      <c r="Y1207" t="str">
        <f>IFERROR(__xludf.DUMMYFUNCTION("""COMPUTED_VALUE"""),"")</f>
        <v/>
      </c>
      <c r="Z1207" t="str">
        <f>IFERROR(__xludf.DUMMYFUNCTION("""COMPUTED_VALUE"""),"")</f>
        <v/>
      </c>
    </row>
    <row r="1208">
      <c r="A1208" s="119">
        <f>IFERROR(__xludf.DUMMYFUNCTION("""COMPUTED_VALUE"""),16009.0)</f>
        <v>16009</v>
      </c>
      <c r="B1208" s="119" t="str">
        <f>IFERROR(__xludf.DUMMYFUNCTION("""COMPUTED_VALUE"""),"R01")</f>
        <v>R01</v>
      </c>
      <c r="C1208" t="str">
        <f>IFERROR(__xludf.DUMMYFUNCTION("""COMPUTED_VALUE"""),"Push-To-Connect Tube
Fitting for Air, 90 Degree
Swivel")</f>
        <v>Push-To-Connect Tube
Fitting for Air, 90 Degree
Swivel</v>
      </c>
      <c r="D1208" t="str">
        <f>IFERROR(__xludf.DUMMYFUNCTION("""COMPUTED_VALUE"""),"Structures/Systems
/Avionics")</f>
        <v>Structures/Systems
/Avionics</v>
      </c>
      <c r="E1208" t="str">
        <f>IFERROR(__xludf.DUMMYFUNCTION("""COMPUTED_VALUE"""),"SolidWorks")</f>
        <v>SolidWorks</v>
      </c>
      <c r="F1208" t="str">
        <f>IFERROR(__xludf.DUMMYFUNCTION("""COMPUTED_VALUE"""),"Marginal Stability")</f>
        <v>Marginal Stability</v>
      </c>
      <c r="G1208" t="str">
        <f>IFERROR(__xludf.DUMMYFUNCTION("""COMPUTED_VALUE"""),"90 Degree Swivel Elbow, 12 mm Tube OD x 1/2 BSPP Female for Recovery System Plumbing")</f>
        <v>90 Degree Swivel Elbow, 12 mm Tube OD x 1/2 BSPP Female for Recovery System Plumbing</v>
      </c>
      <c r="H1208" t="str">
        <f>IFERROR(__xludf.DUMMYFUNCTION("""COMPUTED_VALUE"""),"Nylon Plastic")</f>
        <v>Nylon Plastic</v>
      </c>
      <c r="I1208" t="str">
        <f>IFERROR(__xludf.DUMMYFUNCTION("""COMPUTED_VALUE"""),"Imperial")</f>
        <v>Imperial</v>
      </c>
      <c r="J1208" t="str">
        <f>IFERROR(__xludf.DUMMYFUNCTION("""COMPUTED_VALUE"""),"Andrew Bilan")</f>
        <v>Andrew Bilan</v>
      </c>
      <c r="K1208" s="49">
        <f>IFERROR(__xludf.DUMMYFUNCTION("""COMPUTED_VALUE"""),43414.0)</f>
        <v>43414</v>
      </c>
      <c r="L1208" t="str">
        <f>IFERROR(__xludf.DUMMYFUNCTION("""COMPUTED_VALUE"""),"")</f>
        <v/>
      </c>
      <c r="M1208" t="str">
        <f>IFERROR(__xludf.DUMMYFUNCTION("""COMPUTED_VALUE"""),"Completed, 
Part imported from 
McMaster Carr")</f>
        <v>Completed, 
Part imported from 
McMaster Carr</v>
      </c>
      <c r="N1208" s="120" t="str">
        <f>IFERROR(__xludf.DUMMYFUNCTION("""COMPUTED_VALUE"""),"https://www.mcmaster.com/5225k893")</f>
        <v>https://www.mcmaster.com/5225k893</v>
      </c>
      <c r="O1208" t="str">
        <f>IFERROR(__xludf.DUMMYFUNCTION("""COMPUTED_VALUE"""),"")</f>
        <v/>
      </c>
      <c r="P1208" t="str">
        <f>IFERROR(__xludf.DUMMYFUNCTION("""COMPUTED_VALUE"""),"")</f>
        <v/>
      </c>
      <c r="Q1208" t="str">
        <f>IFERROR(__xludf.DUMMYFUNCTION("""COMPUTED_VALUE"""),"")</f>
        <v/>
      </c>
      <c r="R1208" t="str">
        <f>IFERROR(__xludf.DUMMYFUNCTION("""COMPUTED_VALUE"""),"")</f>
        <v/>
      </c>
      <c r="S1208" t="str">
        <f>IFERROR(__xludf.DUMMYFUNCTION("""COMPUTED_VALUE"""),"")</f>
        <v/>
      </c>
      <c r="T1208" t="str">
        <f>IFERROR(__xludf.DUMMYFUNCTION("""COMPUTED_VALUE"""),"")</f>
        <v/>
      </c>
      <c r="U1208" t="str">
        <f>IFERROR(__xludf.DUMMYFUNCTION("""COMPUTED_VALUE"""),"")</f>
        <v/>
      </c>
      <c r="V1208" t="str">
        <f>IFERROR(__xludf.DUMMYFUNCTION("""COMPUTED_VALUE"""),"")</f>
        <v/>
      </c>
      <c r="W1208" t="str">
        <f>IFERROR(__xludf.DUMMYFUNCTION("""COMPUTED_VALUE"""),"")</f>
        <v/>
      </c>
      <c r="X1208" t="str">
        <f>IFERROR(__xludf.DUMMYFUNCTION("""COMPUTED_VALUE"""),"")</f>
        <v/>
      </c>
      <c r="Y1208" t="str">
        <f>IFERROR(__xludf.DUMMYFUNCTION("""COMPUTED_VALUE"""),"")</f>
        <v/>
      </c>
      <c r="Z1208" t="str">
        <f>IFERROR(__xludf.DUMMYFUNCTION("""COMPUTED_VALUE"""),"")</f>
        <v/>
      </c>
    </row>
    <row r="1209">
      <c r="A1209" s="119">
        <f>IFERROR(__xludf.DUMMYFUNCTION("""COMPUTED_VALUE"""),16010.0)</f>
        <v>16010</v>
      </c>
      <c r="B1209" s="119" t="str">
        <f>IFERROR(__xludf.DUMMYFUNCTION("""COMPUTED_VALUE"""),"R01")</f>
        <v>R01</v>
      </c>
      <c r="C1209" t="str">
        <f>IFERROR(__xludf.DUMMYFUNCTION("""COMPUTED_VALUE"""),"On/Off Valve for
Recovery Pressure
Tank")</f>
        <v>On/Off Valve for
Recovery Pressure
Tank</v>
      </c>
      <c r="D1209" t="str">
        <f>IFERROR(__xludf.DUMMYFUNCTION("""COMPUTED_VALUE"""),"Structures/Systems
/Avionics")</f>
        <v>Structures/Systems
/Avionics</v>
      </c>
      <c r="E1209" t="str">
        <f>IFERROR(__xludf.DUMMYFUNCTION("""COMPUTED_VALUE"""),"SolidWorks")</f>
        <v>SolidWorks</v>
      </c>
      <c r="F1209" t="str">
        <f>IFERROR(__xludf.DUMMYFUNCTION("""COMPUTED_VALUE"""),"Marginal Stability")</f>
        <v>Marginal Stability</v>
      </c>
      <c r="G1209" t="str">
        <f>IFERROR(__xludf.DUMMYFUNCTION("""COMPUTED_VALUE"""),"On/Off Valve
for Recovery
Pressure Tank
")</f>
        <v>On/Off Valve
for Recovery
Pressure Tank
</v>
      </c>
      <c r="H1209" t="str">
        <f>IFERROR(__xludf.DUMMYFUNCTION("""COMPUTED_VALUE"""),"Brass")</f>
        <v>Brass</v>
      </c>
      <c r="I1209" t="str">
        <f>IFERROR(__xludf.DUMMYFUNCTION("""COMPUTED_VALUE"""),"Imperial")</f>
        <v>Imperial</v>
      </c>
      <c r="J1209" t="str">
        <f>IFERROR(__xludf.DUMMYFUNCTION("""COMPUTED_VALUE"""),"Andrew Bilan")</f>
        <v>Andrew Bilan</v>
      </c>
      <c r="K1209" s="49">
        <f>IFERROR(__xludf.DUMMYFUNCTION("""COMPUTED_VALUE"""),43414.0)</f>
        <v>43414</v>
      </c>
      <c r="L1209" t="str">
        <f>IFERROR(__xludf.DUMMYFUNCTION("""COMPUTED_VALUE"""),"")</f>
        <v/>
      </c>
      <c r="M1209" t="str">
        <f>IFERROR(__xludf.DUMMYFUNCTION("""COMPUTED_VALUE"""),"Completed, 
Part imported from 
GrabCAD")</f>
        <v>Completed, 
Part imported from 
GrabCAD</v>
      </c>
      <c r="N1209" s="120" t="str">
        <f>IFERROR(__xludf.DUMMYFUNCTION("""COMPUTED_VALUE"""),"https://grabcad.com/library/9oz-paintball-co2-tank-1")</f>
        <v>https://grabcad.com/library/9oz-paintball-co2-tank-1</v>
      </c>
      <c r="O1209" t="str">
        <f>IFERROR(__xludf.DUMMYFUNCTION("""COMPUTED_VALUE"""),"")</f>
        <v/>
      </c>
      <c r="P1209" t="str">
        <f>IFERROR(__xludf.DUMMYFUNCTION("""COMPUTED_VALUE"""),"")</f>
        <v/>
      </c>
      <c r="Q1209" t="str">
        <f>IFERROR(__xludf.DUMMYFUNCTION("""COMPUTED_VALUE"""),"")</f>
        <v/>
      </c>
      <c r="R1209" t="str">
        <f>IFERROR(__xludf.DUMMYFUNCTION("""COMPUTED_VALUE"""),"")</f>
        <v/>
      </c>
      <c r="S1209" t="str">
        <f>IFERROR(__xludf.DUMMYFUNCTION("""COMPUTED_VALUE"""),"")</f>
        <v/>
      </c>
      <c r="T1209" t="str">
        <f>IFERROR(__xludf.DUMMYFUNCTION("""COMPUTED_VALUE"""),"")</f>
        <v/>
      </c>
      <c r="U1209" t="str">
        <f>IFERROR(__xludf.DUMMYFUNCTION("""COMPUTED_VALUE"""),"")</f>
        <v/>
      </c>
      <c r="V1209" t="str">
        <f>IFERROR(__xludf.DUMMYFUNCTION("""COMPUTED_VALUE"""),"")</f>
        <v/>
      </c>
      <c r="W1209" t="str">
        <f>IFERROR(__xludf.DUMMYFUNCTION("""COMPUTED_VALUE"""),"")</f>
        <v/>
      </c>
      <c r="X1209" t="str">
        <f>IFERROR(__xludf.DUMMYFUNCTION("""COMPUTED_VALUE"""),"")</f>
        <v/>
      </c>
      <c r="Y1209" t="str">
        <f>IFERROR(__xludf.DUMMYFUNCTION("""COMPUTED_VALUE"""),"")</f>
        <v/>
      </c>
      <c r="Z1209" t="str">
        <f>IFERROR(__xludf.DUMMYFUNCTION("""COMPUTED_VALUE"""),"")</f>
        <v/>
      </c>
    </row>
    <row r="1210">
      <c r="A1210" s="119">
        <f>IFERROR(__xludf.DUMMYFUNCTION("""COMPUTED_VALUE"""),16011.0)</f>
        <v>16011</v>
      </c>
      <c r="B1210" s="119" t="str">
        <f>IFERROR(__xludf.DUMMYFUNCTION("""COMPUTED_VALUE"""),"R02")</f>
        <v>R02</v>
      </c>
      <c r="C1210" t="str">
        <f>IFERROR(__xludf.DUMMYFUNCTION("""COMPUTED_VALUE"""),"1/4""-20 x 1.5 Bolt")</f>
        <v>1/4"-20 x 1.5 Bolt</v>
      </c>
      <c r="D1210" t="str">
        <f>IFERROR(__xludf.DUMMYFUNCTION("""COMPUTED_VALUE"""),"Propulsion")</f>
        <v>Propulsion</v>
      </c>
      <c r="E1210" t="str">
        <f>IFERROR(__xludf.DUMMYFUNCTION("""COMPUTED_VALUE"""),"SolidWorks")</f>
        <v>SolidWorks</v>
      </c>
      <c r="F1210" t="str">
        <f>IFERROR(__xludf.DUMMYFUNCTION("""COMPUTED_VALUE"""),"Marginal Stability")</f>
        <v>Marginal Stability</v>
      </c>
      <c r="G1210" t="str">
        <f>IFERROR(__xludf.DUMMYFUNCTION("""COMPUTED_VALUE"""),"TCA to Injector")</f>
        <v>TCA to Injector</v>
      </c>
      <c r="H1210" t="str">
        <f>IFERROR(__xludf.DUMMYFUNCTION("""COMPUTED_VALUE"""),"Zinc Yellow-Chromate Plated Steel")</f>
        <v>Zinc Yellow-Chromate Plated Steel</v>
      </c>
      <c r="I1210" t="str">
        <f>IFERROR(__xludf.DUMMYFUNCTION("""COMPUTED_VALUE"""),"Imperial")</f>
        <v>Imperial</v>
      </c>
      <c r="J1210" t="str">
        <f>IFERROR(__xludf.DUMMYFUNCTION("""COMPUTED_VALUE"""),"Nick Ashforth")</f>
        <v>Nick Ashforth</v>
      </c>
      <c r="K1210" s="49">
        <f>IFERROR(__xludf.DUMMYFUNCTION("""COMPUTED_VALUE"""),43544.0)</f>
        <v>43544</v>
      </c>
      <c r="L1210" s="120" t="str">
        <f>IFERROR(__xludf.DUMMYFUNCTION("""COMPUTED_VALUE"""),"Link")</f>
        <v>Link</v>
      </c>
      <c r="M1210" t="str">
        <f>IFERROR(__xludf.DUMMYFUNCTION("""COMPUTED_VALUE"""),"Completed, 
Part imported from 
McMaster Carr")</f>
        <v>Completed, 
Part imported from 
McMaster Carr</v>
      </c>
      <c r="N1210" s="120" t="str">
        <f>IFERROR(__xludf.DUMMYFUNCTION("""COMPUTED_VALUE"""),"Link")</f>
        <v>Link</v>
      </c>
      <c r="O1210" t="str">
        <f>IFERROR(__xludf.DUMMYFUNCTION("""COMPUTED_VALUE"""),"")</f>
        <v/>
      </c>
      <c r="P1210" t="str">
        <f>IFERROR(__xludf.DUMMYFUNCTION("""COMPUTED_VALUE"""),"")</f>
        <v/>
      </c>
      <c r="Q1210" t="str">
        <f>IFERROR(__xludf.DUMMYFUNCTION("""COMPUTED_VALUE"""),"")</f>
        <v/>
      </c>
      <c r="R1210" t="str">
        <f>IFERROR(__xludf.DUMMYFUNCTION("""COMPUTED_VALUE"""),"")</f>
        <v/>
      </c>
      <c r="S1210" t="str">
        <f>IFERROR(__xludf.DUMMYFUNCTION("""COMPUTED_VALUE"""),"")</f>
        <v/>
      </c>
      <c r="T1210" t="str">
        <f>IFERROR(__xludf.DUMMYFUNCTION("""COMPUTED_VALUE"""),"")</f>
        <v/>
      </c>
      <c r="U1210" t="str">
        <f>IFERROR(__xludf.DUMMYFUNCTION("""COMPUTED_VALUE"""),"")</f>
        <v/>
      </c>
      <c r="V1210" t="str">
        <f>IFERROR(__xludf.DUMMYFUNCTION("""COMPUTED_VALUE"""),"")</f>
        <v/>
      </c>
      <c r="W1210" t="str">
        <f>IFERROR(__xludf.DUMMYFUNCTION("""COMPUTED_VALUE"""),"")</f>
        <v/>
      </c>
      <c r="X1210" t="str">
        <f>IFERROR(__xludf.DUMMYFUNCTION("""COMPUTED_VALUE"""),"")</f>
        <v/>
      </c>
      <c r="Y1210" t="str">
        <f>IFERROR(__xludf.DUMMYFUNCTION("""COMPUTED_VALUE"""),"")</f>
        <v/>
      </c>
      <c r="Z1210" t="str">
        <f>IFERROR(__xludf.DUMMYFUNCTION("""COMPUTED_VALUE"""),"")</f>
        <v/>
      </c>
    </row>
    <row r="1211">
      <c r="A1211" s="119">
        <f>IFERROR(__xludf.DUMMYFUNCTION("""COMPUTED_VALUE"""),16012.0)</f>
        <v>16012</v>
      </c>
      <c r="B1211" s="119" t="str">
        <f>IFERROR(__xludf.DUMMYFUNCTION("""COMPUTED_VALUE"""),"R03")</f>
        <v>R03</v>
      </c>
      <c r="C1211" t="str">
        <f>IFERROR(__xludf.DUMMYFUNCTION("""COMPUTED_VALUE"""),"1/4""-20 x 2.0 Bolt")</f>
        <v>1/4"-20 x 2.0 Bolt</v>
      </c>
      <c r="D1211" t="str">
        <f>IFERROR(__xludf.DUMMYFUNCTION("""COMPUTED_VALUE"""),"Propulsion")</f>
        <v>Propulsion</v>
      </c>
      <c r="E1211" t="str">
        <f>IFERROR(__xludf.DUMMYFUNCTION("""COMPUTED_VALUE"""),"SolidWorks")</f>
        <v>SolidWorks</v>
      </c>
      <c r="F1211" t="str">
        <f>IFERROR(__xludf.DUMMYFUNCTION("""COMPUTED_VALUE"""),"Marginal Stability")</f>
        <v>Marginal Stability</v>
      </c>
      <c r="G1211" t="str">
        <f>IFERROR(__xludf.DUMMYFUNCTION("""COMPUTED_VALUE"""),"TCA/Injector to Thrust Mount")</f>
        <v>TCA/Injector to Thrust Mount</v>
      </c>
      <c r="H1211" t="str">
        <f>IFERROR(__xludf.DUMMYFUNCTION("""COMPUTED_VALUE"""),"Zinc Yellow-Chromate Plated Steel")</f>
        <v>Zinc Yellow-Chromate Plated Steel</v>
      </c>
      <c r="I1211" t="str">
        <f>IFERROR(__xludf.DUMMYFUNCTION("""COMPUTED_VALUE"""),"Imperial")</f>
        <v>Imperial</v>
      </c>
      <c r="J1211" t="str">
        <f>IFERROR(__xludf.DUMMYFUNCTION("""COMPUTED_VALUE"""),"Nick Ashforth")</f>
        <v>Nick Ashforth</v>
      </c>
      <c r="K1211" s="49">
        <f>IFERROR(__xludf.DUMMYFUNCTION("""COMPUTED_VALUE"""),43545.0)</f>
        <v>43545</v>
      </c>
      <c r="L1211" s="120" t="str">
        <f>IFERROR(__xludf.DUMMYFUNCTION("""COMPUTED_VALUE"""),"Link")</f>
        <v>Link</v>
      </c>
      <c r="M1211" t="str">
        <f>IFERROR(__xludf.DUMMYFUNCTION("""COMPUTED_VALUE"""),"Completed, 
Part imported from 
McMaster Carr")</f>
        <v>Completed, 
Part imported from 
McMaster Carr</v>
      </c>
      <c r="N1211" s="120" t="str">
        <f>IFERROR(__xludf.DUMMYFUNCTION("""COMPUTED_VALUE"""),"Link")</f>
        <v>Link</v>
      </c>
      <c r="O1211" t="str">
        <f>IFERROR(__xludf.DUMMYFUNCTION("""COMPUTED_VALUE"""),"")</f>
        <v/>
      </c>
      <c r="P1211" t="str">
        <f>IFERROR(__xludf.DUMMYFUNCTION("""COMPUTED_VALUE"""),"")</f>
        <v/>
      </c>
      <c r="Q1211" t="str">
        <f>IFERROR(__xludf.DUMMYFUNCTION("""COMPUTED_VALUE"""),"")</f>
        <v/>
      </c>
      <c r="R1211" t="str">
        <f>IFERROR(__xludf.DUMMYFUNCTION("""COMPUTED_VALUE"""),"")</f>
        <v/>
      </c>
      <c r="S1211" t="str">
        <f>IFERROR(__xludf.DUMMYFUNCTION("""COMPUTED_VALUE"""),"")</f>
        <v/>
      </c>
      <c r="T1211" t="str">
        <f>IFERROR(__xludf.DUMMYFUNCTION("""COMPUTED_VALUE"""),"")</f>
        <v/>
      </c>
      <c r="U1211" t="str">
        <f>IFERROR(__xludf.DUMMYFUNCTION("""COMPUTED_VALUE"""),"")</f>
        <v/>
      </c>
      <c r="V1211" t="str">
        <f>IFERROR(__xludf.DUMMYFUNCTION("""COMPUTED_VALUE"""),"")</f>
        <v/>
      </c>
      <c r="W1211" t="str">
        <f>IFERROR(__xludf.DUMMYFUNCTION("""COMPUTED_VALUE"""),"")</f>
        <v/>
      </c>
      <c r="X1211" t="str">
        <f>IFERROR(__xludf.DUMMYFUNCTION("""COMPUTED_VALUE"""),"")</f>
        <v/>
      </c>
      <c r="Y1211" t="str">
        <f>IFERROR(__xludf.DUMMYFUNCTION("""COMPUTED_VALUE"""),"")</f>
        <v/>
      </c>
      <c r="Z1211" t="str">
        <f>IFERROR(__xludf.DUMMYFUNCTION("""COMPUTED_VALUE"""),"")</f>
        <v/>
      </c>
    </row>
    <row r="1212">
      <c r="A1212" s="119">
        <f>IFERROR(__xludf.DUMMYFUNCTION("""COMPUTED_VALUE"""),16013.0)</f>
        <v>16013</v>
      </c>
      <c r="B1212" s="119" t="str">
        <f>IFERROR(__xludf.DUMMYFUNCTION("""COMPUTED_VALUE"""),"R04")</f>
        <v>R04</v>
      </c>
      <c r="C1212" t="str">
        <f>IFERROR(__xludf.DUMMYFUNCTION("""COMPUTED_VALUE"""),"1/4""-20 Nut")</f>
        <v>1/4"-20 Nut</v>
      </c>
      <c r="D1212" t="str">
        <f>IFERROR(__xludf.DUMMYFUNCTION("""COMPUTED_VALUE"""),"Propulsion")</f>
        <v>Propulsion</v>
      </c>
      <c r="E1212" t="str">
        <f>IFERROR(__xludf.DUMMYFUNCTION("""COMPUTED_VALUE"""),"SolidWorks")</f>
        <v>SolidWorks</v>
      </c>
      <c r="F1212" t="str">
        <f>IFERROR(__xludf.DUMMYFUNCTION("""COMPUTED_VALUE"""),"Marginal Stability")</f>
        <v>Marginal Stability</v>
      </c>
      <c r="G1212" t="str">
        <f>IFERROR(__xludf.DUMMYFUNCTION("""COMPUTED_VALUE"""),"TCA to Injector to Thrust Mount")</f>
        <v>TCA to Injector to Thrust Mount</v>
      </c>
      <c r="H1212" t="str">
        <f>IFERROR(__xludf.DUMMYFUNCTION("""COMPUTED_VALUE"""),"Zinc Yellow-Chromate Plated Steel")</f>
        <v>Zinc Yellow-Chromate Plated Steel</v>
      </c>
      <c r="I1212" t="str">
        <f>IFERROR(__xludf.DUMMYFUNCTION("""COMPUTED_VALUE"""),"Imperial")</f>
        <v>Imperial</v>
      </c>
      <c r="J1212" t="str">
        <f>IFERROR(__xludf.DUMMYFUNCTION("""COMPUTED_VALUE"""),"Nick Ashforth")</f>
        <v>Nick Ashforth</v>
      </c>
      <c r="K1212" s="49">
        <f>IFERROR(__xludf.DUMMYFUNCTION("""COMPUTED_VALUE"""),43546.0)</f>
        <v>43546</v>
      </c>
      <c r="L1212" s="120" t="str">
        <f>IFERROR(__xludf.DUMMYFUNCTION("""COMPUTED_VALUE"""),"Link")</f>
        <v>Link</v>
      </c>
      <c r="M1212" t="str">
        <f>IFERROR(__xludf.DUMMYFUNCTION("""COMPUTED_VALUE"""),"Completed, 
Part imported from 
McMaster Carr")</f>
        <v>Completed, 
Part imported from 
McMaster Carr</v>
      </c>
      <c r="N1212" s="120" t="str">
        <f>IFERROR(__xludf.DUMMYFUNCTION("""COMPUTED_VALUE"""),"Link")</f>
        <v>Link</v>
      </c>
      <c r="O1212" t="str">
        <f>IFERROR(__xludf.DUMMYFUNCTION("""COMPUTED_VALUE"""),"")</f>
        <v/>
      </c>
      <c r="P1212" t="str">
        <f>IFERROR(__xludf.DUMMYFUNCTION("""COMPUTED_VALUE"""),"")</f>
        <v/>
      </c>
      <c r="Q1212" t="str">
        <f>IFERROR(__xludf.DUMMYFUNCTION("""COMPUTED_VALUE"""),"")</f>
        <v/>
      </c>
      <c r="R1212" t="str">
        <f>IFERROR(__xludf.DUMMYFUNCTION("""COMPUTED_VALUE"""),"")</f>
        <v/>
      </c>
      <c r="S1212" t="str">
        <f>IFERROR(__xludf.DUMMYFUNCTION("""COMPUTED_VALUE"""),"")</f>
        <v/>
      </c>
      <c r="T1212" t="str">
        <f>IFERROR(__xludf.DUMMYFUNCTION("""COMPUTED_VALUE"""),"")</f>
        <v/>
      </c>
      <c r="U1212" t="str">
        <f>IFERROR(__xludf.DUMMYFUNCTION("""COMPUTED_VALUE"""),"")</f>
        <v/>
      </c>
      <c r="V1212" t="str">
        <f>IFERROR(__xludf.DUMMYFUNCTION("""COMPUTED_VALUE"""),"")</f>
        <v/>
      </c>
      <c r="W1212" t="str">
        <f>IFERROR(__xludf.DUMMYFUNCTION("""COMPUTED_VALUE"""),"")</f>
        <v/>
      </c>
      <c r="X1212" t="str">
        <f>IFERROR(__xludf.DUMMYFUNCTION("""COMPUTED_VALUE"""),"")</f>
        <v/>
      </c>
      <c r="Y1212" t="str">
        <f>IFERROR(__xludf.DUMMYFUNCTION("""COMPUTED_VALUE"""),"")</f>
        <v/>
      </c>
      <c r="Z1212" t="str">
        <f>IFERROR(__xludf.DUMMYFUNCTION("""COMPUTED_VALUE"""),"")</f>
        <v/>
      </c>
    </row>
  </sheetData>
  <hyperlinks>
    <hyperlink r:id="rId1" ref="L1"/>
    <hyperlink r:id="rId2" ref="L2"/>
    <hyperlink r:id="rId3" ref="L3"/>
    <hyperlink r:id="rId4" ref="L4"/>
    <hyperlink r:id="rId5" ref="L5"/>
    <hyperlink r:id="rId6" ref="L6"/>
    <hyperlink r:id="rId7" ref="L7"/>
    <hyperlink r:id="rId8" ref="L8"/>
    <hyperlink r:id="rId9" ref="L9"/>
    <hyperlink r:id="rId10" ref="L10"/>
    <hyperlink r:id="rId11" ref="L11"/>
    <hyperlink r:id="rId12" ref="L13"/>
    <hyperlink r:id="rId13" ref="L200"/>
    <hyperlink r:id="rId14" ref="L601"/>
    <hyperlink r:id="rId15" ref="L602"/>
    <hyperlink r:id="rId16" ref="L603"/>
    <hyperlink r:id="rId17" ref="L604"/>
    <hyperlink r:id="rId18" ref="L606"/>
    <hyperlink r:id="rId19" ref="L607"/>
    <hyperlink r:id="rId20" ref="L609"/>
    <hyperlink r:id="rId21" ref="L610"/>
    <hyperlink r:id="rId22" ref="L800"/>
    <hyperlink r:id="rId23" ref="L801"/>
    <hyperlink r:id="rId24" ref="L802"/>
    <hyperlink r:id="rId25" ref="L803"/>
    <hyperlink r:id="rId26" ref="L804"/>
    <hyperlink r:id="rId27" ref="L805"/>
    <hyperlink r:id="rId28" ref="L806"/>
    <hyperlink r:id="rId29" ref="L807"/>
    <hyperlink r:id="rId30" ref="L808"/>
    <hyperlink r:id="rId31" ref="L809"/>
    <hyperlink r:id="rId32" ref="L810"/>
    <hyperlink r:id="rId33" ref="L812"/>
    <hyperlink r:id="rId34" ref="L813"/>
    <hyperlink r:id="rId35" ref="L814"/>
    <hyperlink r:id="rId36" ref="L815"/>
    <hyperlink r:id="rId37" ref="L816"/>
    <hyperlink r:id="rId38" ref="L817"/>
    <hyperlink r:id="rId39" ref="L818"/>
    <hyperlink r:id="rId40" ref="L819"/>
    <hyperlink r:id="rId41" ref="L820"/>
    <hyperlink r:id="rId42" ref="L821"/>
    <hyperlink r:id="rId43" ref="L822"/>
    <hyperlink r:id="rId44" ref="L823"/>
    <hyperlink r:id="rId45" ref="L824"/>
    <hyperlink r:id="rId46" ref="L825"/>
    <hyperlink r:id="rId47" ref="L826"/>
    <hyperlink r:id="rId48" ref="L828"/>
    <hyperlink r:id="rId49" ref="L829"/>
    <hyperlink r:id="rId50" ref="L830"/>
    <hyperlink r:id="rId51" ref="L831"/>
    <hyperlink r:id="rId52" ref="L832"/>
    <hyperlink r:id="rId53" ref="L833"/>
    <hyperlink r:id="rId54" ref="L834"/>
    <hyperlink r:id="rId55" ref="L835"/>
    <hyperlink r:id="rId56" ref="L836"/>
    <hyperlink r:id="rId57" ref="L837"/>
    <hyperlink r:id="rId58" ref="L838"/>
    <hyperlink r:id="rId59" ref="L839"/>
    <hyperlink r:id="rId60" ref="L840"/>
    <hyperlink r:id="rId61" ref="L841"/>
    <hyperlink r:id="rId62" ref="L844"/>
    <hyperlink r:id="rId63" ref="L847"/>
    <hyperlink r:id="rId64" ref="L848"/>
    <hyperlink r:id="rId65" ref="L849"/>
    <hyperlink r:id="rId66" ref="L850"/>
    <hyperlink r:id="rId67" ref="L851"/>
    <hyperlink r:id="rId68" ref="L852"/>
    <hyperlink r:id="rId69" ref="L853"/>
    <hyperlink r:id="rId70" ref="L854"/>
    <hyperlink r:id="rId71" ref="L855"/>
    <hyperlink r:id="rId72" ref="L856"/>
    <hyperlink r:id="rId73" ref="L857"/>
    <hyperlink r:id="rId74" ref="L860"/>
    <hyperlink r:id="rId75" ref="L861"/>
    <hyperlink r:id="rId76" ref="L862"/>
    <hyperlink r:id="rId77" ref="L863"/>
    <hyperlink r:id="rId78" ref="L1001"/>
    <hyperlink r:id="rId79" ref="L1004"/>
    <hyperlink r:id="rId80" ref="L1005"/>
    <hyperlink r:id="rId81" ref="L1006"/>
    <hyperlink r:id="rId82" ref="L1007"/>
    <hyperlink r:id="rId83" ref="L1008"/>
    <hyperlink r:id="rId84" ref="L1009"/>
    <hyperlink r:id="rId85" ref="L1010"/>
    <hyperlink r:id="rId86" ref="L1011"/>
    <hyperlink r:id="rId87" ref="L1012"/>
    <hyperlink r:id="rId88" ref="L1013"/>
    <hyperlink r:id="rId89" ref="L1200"/>
    <hyperlink r:id="rId90" ref="L1201"/>
    <hyperlink r:id="rId91" ref="N1201"/>
    <hyperlink r:id="rId92" ref="L1202"/>
    <hyperlink r:id="rId93" ref="N1202"/>
    <hyperlink r:id="rId94" ref="L1203"/>
    <hyperlink r:id="rId95" ref="N1203"/>
    <hyperlink r:id="rId96" ref="N1204"/>
    <hyperlink r:id="rId97" ref="N1205"/>
    <hyperlink r:id="rId98" ref="N1206"/>
    <hyperlink r:id="rId99" ref="N1207"/>
    <hyperlink r:id="rId100" ref="N1208"/>
    <hyperlink r:id="rId101" ref="N1209"/>
    <hyperlink r:id="rId102" ref="L1210"/>
    <hyperlink r:id="rId103" ref="N1210"/>
    <hyperlink r:id="rId104" ref="L1211"/>
    <hyperlink r:id="rId105" ref="N1211"/>
    <hyperlink r:id="rId106" ref="L1212"/>
    <hyperlink r:id="rId107" ref="N1212"/>
  </hyperlinks>
  <drawing r:id="rId108"/>
</worksheet>
</file>