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<sst xmlns="http://schemas.openxmlformats.org/spreadsheetml/2006/main" uniqueCount="1370">
  <si>
    <t>Filters Used:</t>
  </si>
  <si>
    <t>Date From</t>
  </si>
  <si>
    <t>08-01-2017</t>
  </si>
  <si>
    <t>Date To</t>
  </si>
  <si>
    <t>08-31-2017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</si>
  <si>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</si>
  <si>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</si>
  <si>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</si>
  <si>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</si>
  <si>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</si>
  <si>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</si>
  <si>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</si>
  <si>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</si>
  <si>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</si>
  <si>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</si>
  <si>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</si>
  <si>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</si>
  <si>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</si>
  <si>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</si>
  <si>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</si>
  <si>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</si>
  <si>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</si>
  <si>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Ancillary</t>
  </si>
  <si>
    <t>DMC Podiatry</t>
  </si>
  <si>
    <t>Out Patient</t>
  </si>
  <si>
    <t>Podiatry</t>
  </si>
  <si>
    <t>AU/EN GP/HCA</t>
  </si>
  <si>
    <t>Nurse</t>
  </si>
  <si>
    <t>Dialysis/Peritoneal Dialysis</t>
  </si>
  <si>
    <t>Practise</t>
  </si>
  <si>
    <t>BOT / NHC OT / RY</t>
  </si>
  <si>
    <t>Allied Health</t>
  </si>
  <si>
    <t>Emergency(A &amp; E)</t>
  </si>
  <si>
    <t>BVH</t>
  </si>
  <si>
    <t>Endoscopy Ctr</t>
  </si>
  <si>
    <t>CARE / Prenatal Diagnostic Centre (PDC)</t>
  </si>
  <si>
    <t>FPP Clinic</t>
  </si>
  <si>
    <t>CDLD</t>
  </si>
  <si>
    <t>Health Assessment Center</t>
  </si>
  <si>
    <t>Clinic A</t>
  </si>
  <si>
    <t>MOT</t>
  </si>
  <si>
    <t>Clinic B</t>
  </si>
  <si>
    <t>Night Audit</t>
  </si>
  <si>
    <t>Clinic H</t>
  </si>
  <si>
    <t>Clinic J</t>
  </si>
  <si>
    <t>SOC</t>
  </si>
  <si>
    <t>Clinic K</t>
  </si>
  <si>
    <t>Staff Centre</t>
  </si>
  <si>
    <t>Clinic L</t>
  </si>
  <si>
    <t>URO OT</t>
  </si>
  <si>
    <t>Clinic M</t>
  </si>
  <si>
    <t>Weekly Inpatient Audit</t>
  </si>
  <si>
    <t>Clinic P</t>
  </si>
  <si>
    <t>DMC L1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</si>
  <si>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</si>
  <si>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</si>
  <si>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</si>
  <si>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</si>
  <si>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</si>
  <si>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</si>
  <si>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</si>
  <si>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</si>
  <si>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</si>
  <si>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</si>
  <si>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</si>
  <si>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</si>
  <si>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</si>
  <si>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</si>
  <si>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</si>
  <si>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</si>
  <si>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</si>
  <si>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</si>
  <si>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</si>
  <si>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</si>
  <si>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</si>
  <si>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</si>
  <si>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</si>
  <si>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</si>
  <si>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</si>
  <si>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</si>
  <si>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</si>
  <si>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</si>
  <si>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</si>
  <si>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</si>
  <si>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</si>
  <si>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</si>
  <si>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</si>
  <si>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</si>
  <si>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</si>
  <si>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</si>
  <si>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</si>
  <si>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</si>
  <si>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</si>
  <si>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</si>
  <si>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</si>
  <si>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</si>
  <si>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</si>
  <si>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</si>
  <si>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</si>
  <si>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</si>
  <si>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</si>
  <si>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</si>
  <si>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</si>
  <si>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</si>
  <si>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</si>
  <si>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</si>
  <si>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</si>
  <si>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</si>
  <si>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</si>
  <si>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</si>
  <si>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</si>
  <si>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</si>
  <si>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</si>
  <si>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</si>
  <si>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</si>
  <si>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</si>
  <si>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</si>
  <si>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</si>
  <si>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</si>
  <si>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</si>
  <si>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</si>
  <si>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</si>
  <si>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</si>
  <si>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</si>
  <si>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</si>
  <si>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</si>
  <si>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</si>
  <si>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</si>
  <si>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</si>
  <si>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</si>
  <si>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</si>
  <si>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</si>
  <si>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</si>
  <si>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</si>
  <si>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</si>
  <si>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</si>
  <si>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</si>
  <si>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</si>
  <si>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</si>
  <si>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</si>
  <si>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</si>
  <si>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</si>
  <si>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</si>
  <si>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</si>
  <si>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</si>
  <si>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</si>
  <si>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</si>
  <si>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</si>
  <si>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</si>
  <si>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</si>
  <si>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</si>
  <si>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</si>
  <si>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</si>
  <si>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</si>
  <si>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</si>
  <si>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</si>
  <si>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</si>
  <si>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</si>
  <si>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</si>
  <si>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</si>
  <si>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</si>
  <si>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</si>
  <si>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</si>
  <si>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</si>
  <si>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</si>
  <si>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</si>
  <si>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</si>
  <si>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</si>
  <si>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</si>
  <si>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</si>
  <si>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</si>
  <si>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</si>
  <si>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</si>
  <si>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</si>
  <si>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</si>
  <si>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</si>
  <si>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</si>
  <si>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</si>
  <si>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</si>
  <si>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</si>
  <si>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</si>
  <si>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</si>
  <si>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</si>
  <si>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</si>
  <si>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</si>
  <si>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</si>
  <si>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</si>
  <si>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</si>
  <si>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</si>
  <si>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</si>
  <si>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</si>
  <si>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</si>
  <si>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</si>
  <si>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</si>
  <si>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</si>
  <si>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</si>
  <si>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</si>
  <si>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</si>
  <si>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</si>
  <si>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</si>
  <si>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</si>
  <si>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</si>
  <si>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</si>
  <si>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</si>
  <si>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</si>
  <si>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</si>
  <si>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</si>
  <si>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</si>
  <si>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</si>
  <si>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</si>
  <si>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</si>
  <si>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</si>
  <si>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</si>
  <si>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</si>
  <si>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</si>
  <si>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</si>
  <si>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</si>
  <si>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</si>
  <si>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</si>
  <si>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</si>
  <si>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</si>
  <si>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</si>
  <si>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</si>
  <si>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</si>
  <si>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</si>
  <si>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</si>
  <si>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</si>
  <si>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</si>
  <si>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</si>
  <si>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</si>
  <si>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</si>
  <si>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</si>
  <si>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</si>
  <si>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</si>
  <si>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</si>
  <si>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</si>
  <si>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</si>
  <si>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</si>
  <si>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</si>
  <si>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</si>
  <si>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</si>
  <si>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</si>
  <si>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</si>
  <si>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</si>
  <si>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</si>
  <si>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</si>
  <si>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</si>
  <si>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</si>
  <si>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</si>
  <si>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</si>
  <si>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</si>
  <si>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</si>
  <si>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</si>
  <si>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</si>
  <si>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</si>
  <si>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</si>
  <si>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</si>
  <si>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</si>
  <si>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</si>
  <si>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</si>
  <si>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</si>
  <si>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</si>
  <si>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</si>
  <si>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</si>
  <si>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</si>
  <si>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</si>
  <si>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</si>
  <si>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</si>
  <si>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</si>
  <si>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</si>
  <si>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</si>
  <si>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</si>
  <si>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</si>
  <si>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</si>
  <si>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</si>
  <si>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</si>
  <si>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</si>
  <si>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</si>
  <si>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</si>
  <si>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</si>
  <si>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</si>
  <si>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</si>
  <si>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</si>
  <si>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</si>
  <si>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</si>
  <si>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</si>
  <si>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</si>
  <si>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</si>
  <si>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</si>
  <si>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</si>
  <si>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</si>
  <si>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</si>
  <si>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</si>
  <si>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</si>
  <si>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</si>
  <si>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</si>
  <si>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</si>
  <si>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</si>
  <si>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</si>
  <si>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</si>
  <si>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</si>
  <si>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</si>
  <si>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</si>
  <si>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</si>
  <si>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</si>
  <si>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</si>
  <si>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</si>
  <si>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</si>
  <si>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</si>
  <si>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</si>
  <si>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</si>
  <si>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</si>
  <si>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</si>
  <si>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</si>
  <si>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</si>
  <si>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</si>
  <si>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</si>
  <si>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</si>
  <si>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</si>
  <si>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</si>
  <si>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</si>
  <si>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</si>
  <si>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</si>
  <si>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</si>
  <si>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</si>
  <si>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</si>
  <si>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</si>
  <si>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</si>
  <si>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</si>
  <si>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</si>
  <si>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</si>
  <si>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</si>
  <si>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</si>
  <si>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</si>
  <si>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</si>
  <si>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</si>
  <si>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</si>
  <si>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</si>
  <si>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</si>
  <si>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</si>
  <si>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</si>
  <si>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</si>
  <si>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</si>
  <si>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</si>
  <si>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</si>
  <si>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</si>
  <si>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</si>
  <si>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</si>
  <si>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</si>
  <si>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</si>
  <si>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</si>
  <si>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</si>
  <si>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</si>
  <si>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</si>
  <si>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</si>
  <si>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</si>
  <si>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</si>
  <si>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</si>
  <si>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</si>
  <si>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</si>
  <si>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</si>
  <si>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</si>
  <si>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</si>
  <si>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</si>
  <si>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</si>
  <si>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</si>
  <si>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</si>
  <si>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</si>
  <si>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</si>
  <si>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</si>
  <si>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</si>
  <si>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</si>
  <si>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</si>
  <si>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</si>
  <si>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</si>
  <si>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</si>
  <si>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</si>
  <si>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</si>
  <si>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</si>
  <si>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</si>
  <si>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</si>
  <si>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</si>
  <si>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</si>
  <si>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</si>
  <si>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</si>
  <si>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</si>
  <si>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</si>
  <si>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</si>
  <si>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</si>
  <si>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</si>
  <si>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</si>
  <si>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</si>
  <si>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</si>
  <si>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</si>
  <si>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</si>
  <si>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</si>
  <si>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</si>
  <si>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</si>
  <si>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</si>
  <si>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</si>
  <si>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</si>
  <si>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</si>
  <si>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</si>
  <si>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</si>
  <si>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</si>
  <si>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</si>
  <si>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</si>
  <si>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</si>
  <si>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</si>
  <si>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</si>
  <si>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</si>
  <si>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</si>
  <si>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</si>
  <si>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</si>
  <si>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</si>
  <si>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</si>
  <si>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</si>
  <si>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</si>
  <si>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</si>
  <si>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</si>
  <si>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</si>
  <si>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</si>
  <si>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</si>
  <si>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</si>
  <si>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</si>
  <si>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</si>
  <si>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</si>
  <si>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</si>
  <si>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</si>
  <si>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</si>
  <si>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</si>
  <si>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</si>
  <si>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</si>
  <si>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</si>
  <si>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</si>
  <si>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</si>
  <si>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</si>
  <si>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</si>
  <si>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</si>
  <si>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</si>
  <si>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</si>
  <si>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</si>
  <si>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</si>
  <si>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</si>
  <si>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</si>
  <si>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</si>
  <si>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</si>
  <si>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</si>
  <si>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</si>
  <si>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</si>
  <si>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</si>
  <si>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</si>
  <si>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</si>
  <si>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</si>
  <si>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</si>
  <si>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</si>
  <si>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</si>
  <si>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</si>
  <si>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</si>
  <si>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</si>
  <si>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</si>
  <si>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</si>
  <si>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</si>
  <si>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</si>
  <si>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</si>
  <si>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</si>
  <si>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</si>
  <si>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</si>
  <si>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</si>
  <si>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</si>
  <si>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</si>
  <si>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</si>
  <si>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</si>
  <si>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</si>
  <si>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</si>
  <si>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</si>
  <si>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</si>
  <si>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</si>
  <si>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</si>
  <si>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</si>
  <si>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</si>
  <si>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</si>
  <si>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</si>
  <si>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</si>
  <si>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</si>
  <si>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</si>
  <si>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</si>
  <si>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</si>
  <si>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</si>
  <si>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</si>
  <si>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</si>
  <si>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</si>
  <si>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</si>
  <si>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</si>
  <si>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</si>
  <si>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</si>
  <si>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</si>
  <si>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</si>
  <si>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</si>
  <si>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</si>
  <si>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</si>
  <si>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</si>
  <si>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</si>
  <si>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</si>
  <si>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</si>
  <si>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</si>
  <si>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</si>
  <si>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</si>
  <si>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</si>
  <si>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</si>
  <si>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</si>
  <si>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</si>
  <si>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</si>
  <si>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</si>
  <si>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</si>
  <si>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</si>
  <si>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</si>
  <si>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</si>
  <si>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</si>
  <si>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</si>
  <si>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</si>
  <si>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</si>
  <si>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</si>
  <si>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</si>
  <si>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</si>
  <si>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</si>
  <si>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</si>
  <si>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</si>
  <si>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</si>
  <si>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</si>
  <si>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</si>
  <si>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</si>
  <si>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</si>
  <si>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</si>
  <si>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</si>
  <si>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</si>
  <si>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</si>
  <si>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</si>
  <si>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</si>
  <si>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</si>
  <si>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</si>
  <si>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</si>
  <si>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</si>
  <si>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</si>
  <si>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</si>
  <si>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</si>
  <si>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</si>
  <si>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</si>
  <si>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</si>
  <si>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</si>
  <si>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</si>
  <si>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</si>
  <si>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</si>
  <si>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</si>
  <si>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</si>
  <si>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</si>
  <si>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</si>
  <si>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</si>
  <si>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</si>
  <si>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</si>
  <si>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</si>
  <si>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</si>
  <si>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</si>
  <si>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</si>
  <si>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</si>
  <si>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</si>
  <si>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</si>
  <si>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</si>
  <si>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</si>
  <si>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</si>
  <si>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</si>
  <si>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</si>
  <si>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</si>
  <si>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</si>
  <si>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</si>
  <si>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</si>
  <si>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</si>
  <si>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</si>
  <si>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</si>
  <si>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</si>
  <si>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</si>
  <si>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</si>
  <si>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</si>
  <si>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</si>
  <si>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</si>
  <si>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</si>
  <si>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</si>
  <si>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</si>
  <si>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</si>
  <si>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</si>
  <si>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</si>
  <si>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</si>
  <si>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</si>
  <si>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</si>
  <si>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</si>
  <si>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</si>
  <si>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</si>
  <si>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</si>
  <si>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</si>
  <si>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</si>
  <si>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</si>
  <si>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</si>
  <si>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</si>
  <si>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</si>
  <si>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</si>
  <si>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</si>
  <si>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</si>
  <si>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</si>
  <si>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</si>
  <si>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</si>
  <si>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</si>
  <si>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</si>
  <si>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</si>
  <si>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</si>
  <si>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</si>
  <si>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</si>
  <si>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</si>
  <si>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</si>
  <si>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</si>
  <si>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</si>
  <si>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</si>
  <si>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</si>
  <si>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</si>
  <si>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</si>
  <si>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</si>
  <si>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</si>
  <si>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</si>
  <si>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</si>
  <si>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</si>
  <si>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</si>
  <si>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</si>
  <si>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</si>
  <si>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</si>
  <si>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</si>
  <si>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</si>
  <si>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</si>
  <si>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</si>
  <si>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</si>
  <si>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</si>
  <si>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</si>
  <si>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</si>
  <si>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</si>
  <si>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</si>
  <si>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</si>
  <si>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</si>
  <si>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</si>
  <si>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</si>
  <si>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</si>
  <si>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</si>
  <si>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</si>
  <si>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</si>
  <si>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</si>
  <si>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</si>
  <si>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</si>
  <si>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</si>
  <si>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</si>
  <si>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</si>
  <si>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</si>
  <si>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</si>
  <si>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</si>
  <si>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</si>
  <si>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</si>
  <si>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</si>
  <si>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</si>
  <si>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</si>
  <si>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</si>
  <si>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</si>
  <si>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</si>
  <si>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</si>
  <si>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</si>
  <si>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</si>
  <si>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</si>
  <si>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</si>
  <si>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</si>
  <si>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</si>
  <si>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</si>
  <si>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</si>
  <si>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</si>
  <si>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</si>
  <si>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</si>
  <si>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</si>
  <si>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</si>
  <si>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</si>
  <si>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</si>
  <si>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</si>
  <si>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</si>
  <si>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</si>
  <si>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</si>
  <si>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</si>
  <si>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</si>
  <si>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</si>
  <si>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</si>
  <si>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</si>
  <si>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</si>
  <si>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</si>
  <si>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</si>
  <si>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</si>
  <si>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</si>
  <si>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</si>
  <si>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</si>
  <si>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</si>
  <si>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</si>
  <si>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</si>
  <si>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</si>
  <si>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</si>
  <si>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</si>
  <si>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</si>
  <si>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</si>
  <si>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</si>
  <si>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</si>
  <si>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</si>
  <si>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</si>
  <si>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</si>
  <si>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</si>
  <si>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</si>
  <si>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</si>
  <si>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</si>
  <si>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</si>
  <si>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</si>
  <si>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</si>
  <si>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</si>
  <si>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</si>
  <si>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</si>
  <si>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</si>
  <si>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</si>
  <si>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</si>
  <si>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</si>
  <si>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</si>
  <si>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</si>
  <si>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</si>
  <si>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</si>
  <si>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</si>
  <si>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</si>
  <si>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</si>
  <si>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</si>
  <si>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</si>
  <si>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</si>
  <si>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</si>
  <si>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</si>
  <si>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</si>
  <si>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</si>
  <si>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</si>
  <si>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</si>
  <si>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</si>
  <si>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</si>
  <si>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</si>
  <si>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</si>
  <si>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</si>
  <si>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</si>
  <si>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</si>
  <si>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</si>
  <si>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</si>
  <si>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</si>
  <si>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</si>
  <si>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</si>
  <si>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</si>
  <si>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</si>
  <si>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</si>
  <si>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</si>
  <si>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</si>
  <si>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</si>
  <si>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</si>
  <si>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</si>
  <si>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</si>
  <si>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</si>
  <si>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</si>
  <si>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</si>
  <si>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</si>
  <si>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</si>
  <si>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</si>
  <si>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</si>
  <si>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</si>
  <si>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</si>
  <si>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</si>
  <si>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</si>
  <si>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</si>
  <si>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</si>
  <si>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</si>
  <si>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</si>
  <si>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</si>
  <si>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</si>
  <si>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</si>
  <si>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</si>
  <si>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</si>
  <si>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</si>
  <si>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</si>
  <si>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</si>
  <si>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</si>
  <si>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</si>
  <si>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</si>
  <si>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</si>
  <si>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</si>
  <si>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</si>
  <si>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</si>
  <si>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</si>
  <si>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</si>
  <si>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</si>
  <si>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</si>
  <si>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</si>
  <si>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</si>
  <si>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</si>
  <si>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</si>
  <si>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</si>
  <si>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</si>
  <si>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</si>
  <si>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</si>
  <si>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</si>
  <si>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</si>
  <si>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</si>
  <si>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</si>
  <si>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</si>
  <si>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</si>
  <si>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</si>
  <si>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</si>
  <si>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</si>
  <si>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</si>
  <si>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</si>
  <si>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</si>
  <si>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</si>
  <si>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</si>
  <si>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</si>
  <si>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</si>
  <si>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</si>
  <si>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</si>
  <si>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</si>
  <si>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</si>
  <si>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</si>
  <si>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</si>
  <si>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</si>
  <si>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</si>
  <si>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</si>
  <si>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</si>
  <si>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</si>
  <si>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</si>
  <si>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</si>
  <si>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</si>
  <si>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</si>
  <si>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</si>
  <si>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</si>
  <si>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</si>
  <si>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</si>
  <si>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</si>
  <si>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</si>
  <si>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</si>
  <si>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</si>
  <si>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</si>
  <si>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</si>
  <si>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</si>
  <si>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</si>
  <si>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</si>
  <si>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</si>
  <si>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</si>
  <si>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</si>
  <si>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</si>
  <si>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</si>
  <si>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</si>
  <si>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</si>
  <si>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</si>
  <si>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</si>
  <si>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</si>
  <si>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</si>
  <si>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</si>
  <si>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</si>
  <si>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</si>
  <si>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</si>
  <si>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</si>
  <si>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</si>
  <si>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</si>
  <si>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</si>
  <si>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</si>
  <si>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</si>
  <si>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</si>
  <si>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</si>
  <si>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</si>
  <si>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</si>
  <si>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</si>
  <si>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</si>
  <si>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</si>
  <si>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</si>
  <si>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</si>
  <si>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</si>
  <si>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</si>
  <si>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</si>
  <si>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</si>
  <si>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</si>
  <si>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</si>
  <si>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</si>
  <si>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</si>
  <si>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</si>
  <si>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</si>
  <si>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</si>
  <si>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</si>
  <si>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</si>
  <si>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</si>
  <si>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</si>
  <si>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</si>
  <si>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</si>
  <si>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</si>
  <si>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</si>
  <si>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</si>
  <si>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</si>
  <si>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</si>
  <si>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</si>
  <si>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</si>
  <si>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</si>
  <si>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</si>
  <si>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</si>
  <si>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</si>
  <si>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</si>
  <si>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</si>
  <si>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</si>
  <si>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</si>
  <si>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</si>
  <si>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</si>
  <si>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</si>
  <si>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</si>
  <si>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</si>
  <si>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</si>
  <si>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</si>
  <si>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</si>
  <si>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</si>
  <si>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</si>
  <si>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</si>
  <si>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</si>
  <si>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</si>
  <si>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</si>
  <si>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</si>
  <si>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</si>
  <si>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</si>
  <si>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</si>
  <si>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</si>
  <si>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</si>
  <si>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</si>
  <si>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</si>
  <si>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</si>
  <si>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</si>
  <si>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</si>
  <si>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</si>
  <si>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</si>
  <si>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</si>
  <si>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</si>
  <si>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</si>
  <si>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</si>
  <si>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</si>
  <si>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</si>
  <si>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</si>
  <si>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</si>
  <si>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</si>
  <si>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</si>
  <si>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</si>
  <si>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</si>
  <si>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</si>
  <si>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</si>
  <si>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</si>
  <si>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</si>
  <si>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</si>
  <si>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</si>
  <si>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</si>
  <si>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</si>
  <si>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</si>
  <si>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</si>
  <si>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</si>
  <si>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</si>
  <si>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</si>
  <si>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</si>
  <si>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</si>
  <si>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</si>
  <si>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</si>
  <si>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</si>
  <si>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</si>
  <si>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</si>
  <si>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</si>
  <si>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</si>
  <si>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</si>
  <si>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</si>
  <si>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</si>
  <si>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</si>
  <si>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</si>
  <si>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</si>
  <si>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</si>
  <si>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</si>
  <si>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</si>
  <si>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</si>
  <si>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</si>
  <si>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</si>
  <si>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</si>
  <si>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</si>
  <si>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</si>
  <si>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</si>
  <si>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</si>
  <si>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</si>
  <si>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</si>
  <si>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</si>
  <si>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</si>
  <si>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</si>
  <si>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</si>
  <si>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</si>
  <si>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</si>
  <si>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</si>
  <si>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</si>
  <si>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</si>
  <si>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</si>
  <si>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</si>
  <si>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</si>
  <si>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</si>
  <si>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</si>
  <si>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</si>
  <si>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</si>
  <si>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</si>
  <si>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</si>
  <si>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</si>
  <si>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</si>
  <si>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</si>
  <si>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</si>
  <si>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</si>
  <si>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</si>
  <si>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</si>
  <si>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</si>
  <si>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</si>
  <si>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</si>
  <si>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</si>
  <si>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</si>
  <si>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</si>
  <si>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</si>
  <si>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</si>
  <si>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</si>
  <si>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</si>
  <si>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</si>
  <si>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</si>
  <si>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</si>
  <si>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</si>
  <si>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</si>
  <si>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</si>
  <si>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</si>
  <si>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</si>
  <si>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</si>
  <si>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</si>
  <si>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</si>
  <si>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</si>
  <si>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</si>
  <si>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</si>
  <si>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</si>
  <si>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</si>
  <si>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</si>
  <si>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</si>
  <si>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</si>
  <si>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</si>
  <si>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</si>
  <si>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</si>
  <si>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</si>
  <si>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</si>
  <si>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</si>
  <si>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</si>
  <si>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</si>
  <si>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</si>
  <si>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</si>
  <si>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</si>
  <si>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</si>
  <si>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</si>
  <si>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</si>
  <si>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</si>
  <si>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</si>
  <si>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</si>
  <si>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</si>
  <si>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</si>
  <si>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</si>
  <si>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</si>
  <si>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</si>
  <si>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</si>
  <si>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</si>
  <si>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</si>
  <si>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</si>
  <si>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</si>
  <si>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</si>
  <si>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</si>
  <si>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</si>
  <si>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</si>
  <si>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</si>
  <si>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</si>
  <si>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</si>
  <si>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</si>
  <si>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</si>
  <si>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</si>
  <si>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</si>
  <si>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</si>
  <si>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</si>
  <si>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</si>
  <si>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</si>
  <si>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</si>
  <si>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</si>
  <si>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</si>
  <si>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</si>
  <si>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</si>
  <si>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</si>
  <si>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</si>
  <si>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</si>
  <si>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</si>
  <si>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</si>
  <si>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</si>
  <si>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</si>
  <si>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</si>
  <si>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</si>
  <si>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</si>
  <si>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</si>
  <si>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</si>
  <si>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</si>
  <si>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</si>
  <si>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</si>
  <si>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</si>
  <si>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</si>
  <si>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</si>
  <si>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</si>
  <si>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</si>
  <si>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</si>
  <si>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</si>
  <si>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</si>
  <si>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</si>
  <si>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</si>
  <si>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</si>
  <si>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</si>
  <si>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</si>
  <si>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</si>
  <si>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</si>
  <si>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</si>
  <si>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</si>
  <si>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</si>
  <si>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</si>
  <si>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</si>
  <si>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</si>
  <si>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</si>
  <si>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</si>
  <si>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</si>
  <si>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</si>
  <si>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</si>
  <si>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</si>
  <si>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</si>
  <si>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</si>
  <si>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</si>
  <si>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</si>
  <si>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</si>
  <si>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</si>
  <si>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</si>
  <si>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</si>
  <si>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</si>
  <si>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</si>
  <si>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</si>
  <si>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</si>
  <si>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</si>
  <si>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</si>
  <si>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</si>
  <si>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</si>
  <si>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</si>
  <si>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</si>
  <si>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</si>
  <si>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</si>
  <si>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</si>
  <si>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</si>
  <si>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</si>
  <si>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</si>
  <si>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</si>
  <si>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</si>
  <si>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</si>
  <si>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</si>
  <si>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</si>
  <si>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</si>
  <si>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</si>
  <si>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</si>
  <si>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</si>
  <si>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</si>
  <si>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Aug 29, 2017 10:15 AM</t>
  </si>
  <si>
    <t>Xiao Ting Lim</t>
  </si>
  <si>
    <t>Aug 29, 2017 10:16 AM</t>
  </si>
  <si>
    <t>Aug 29, 2017 10:17 AM</t>
  </si>
  <si>
    <t>Aug 29, 2017 11:37 AM</t>
  </si>
  <si>
    <t>Aug 29, 2017 11:38 AM</t>
  </si>
  <si>
    <t>Aug 29, 2017 11:56 AM</t>
  </si>
  <si>
    <t>Aug 29, 2017 11:59 AM</t>
  </si>
  <si>
    <t>Aug 29, 2017 12:01 PM</t>
  </si>
  <si>
    <t>Aug 29, 2017 12:06 PM</t>
  </si>
  <si>
    <t>Aug 29, 2017 12:08 PM</t>
  </si>
  <si>
    <t>Aug 29, 2017 01:28 PM</t>
  </si>
  <si>
    <t>Aug 29, 2017 02:03 PM</t>
  </si>
  <si>
    <t>Aug 29, 2017 02:04 PM</t>
  </si>
  <si>
    <t>Aug 29, 2017 02:05 PM</t>
  </si>
  <si>
    <t>Aug 29, 2017 02:26 PM</t>
  </si>
  <si>
    <t>Aug 29, 2017 02:27 PM</t>
  </si>
  <si>
    <t>Aug 29, 2017 02:53 PM</t>
  </si>
  <si>
    <t>Aug 29, 2017 02:54 PM</t>
  </si>
  <si>
    <t>Aug 29, 2017 02:55 PM</t>
  </si>
  <si>
    <t>Aug 29, 2017 02:56 PM</t>
  </si>
  <si>
    <t>Aug 29, 2017 03:07 PM</t>
  </si>
  <si>
    <t>Aug 29, 2017 03:08 PM</t>
  </si>
  <si>
    <t>Aug 29, 2017 03:09 PM</t>
  </si>
  <si>
    <t>Aug 29, 2017 03:13 PM</t>
  </si>
  <si>
    <t>Aug 29, 2017 03:14 PM</t>
  </si>
  <si>
    <t>Aug 29, 2017 03:16 PM</t>
  </si>
  <si>
    <t>Aug 29, 2017 03:29 PM</t>
  </si>
  <si>
    <t>Shalot C Antony</t>
  </si>
  <si>
    <t>Aug 29, 2017 03:30 PM</t>
  </si>
  <si>
    <t>Aug 29, 2017 03:31 PM</t>
  </si>
  <si>
    <t>Aug 29, 2017 03:32 PM</t>
  </si>
  <si>
    <t>Aug 29, 2017 03:33 PM</t>
  </si>
  <si>
    <t>Aug 29, 2017 03:44 PM</t>
  </si>
  <si>
    <t>En tzu tsu</t>
  </si>
  <si>
    <t>Aug 29, 2017 03:45 PM</t>
  </si>
  <si>
    <t>En fi tri</t>
  </si>
  <si>
    <t>Aug 29, 2017 03:53 PM</t>
  </si>
  <si>
    <t>Pt lily</t>
  </si>
  <si>
    <t>Aug 29, 2017 03:56 PM</t>
  </si>
  <si>
    <t>Aug 29, 2017 04:06 PM</t>
  </si>
  <si>
    <t>Pca assistant geok chan</t>
  </si>
  <si>
    <t>Aug 29, 2017 04:21 PM</t>
  </si>
  <si>
    <t>Aug 29, 2017 04:22 PM</t>
  </si>
  <si>
    <t>Aug 29, 2017 04:24 PM</t>
  </si>
  <si>
    <t>Thanam Balakrishnan</t>
  </si>
  <si>
    <t>No handrub or hand wash after gloves removal</t>
  </si>
  <si>
    <t>Aug 29, 2017 04:25 PM</t>
  </si>
  <si>
    <t>No handrub or hand wash after removal of gloves</t>
  </si>
  <si>
    <t>Aug 29, 2017 04:26 PM</t>
  </si>
  <si>
    <t>Aug 29, 2017 04:38 PM</t>
  </si>
  <si>
    <t>Karen Chan</t>
  </si>
  <si>
    <t>No handrub / hand wash after removing gloves</t>
  </si>
  <si>
    <t>Aug 29, 2017 04:41 PM</t>
  </si>
  <si>
    <t>Aug 29, 2017 04:44 PM</t>
  </si>
  <si>
    <t>Aug 29, 2017 04:46 PM</t>
  </si>
  <si>
    <t>No handrub / handwash after removing gloves</t>
  </si>
  <si>
    <t>Aug 29, 2017 04:47 PM</t>
  </si>
  <si>
    <t>Aug 29, 2017 05:23 PM</t>
  </si>
  <si>
    <t>Jia Ming Tay</t>
  </si>
  <si>
    <t>Aug 29, 2017 05:24 PM</t>
  </si>
  <si>
    <t>Aug 29, 2017 05:26 PM</t>
  </si>
  <si>
    <t>Aug 29, 2017 05:27 PM</t>
  </si>
  <si>
    <t>Aug 29, 2017 07:40 PM</t>
  </si>
  <si>
    <t>York Khim Tee</t>
  </si>
  <si>
    <t>Aug 29, 2017 07:41 PM</t>
  </si>
  <si>
    <t>Aug 29, 2017 07:42 PM</t>
  </si>
  <si>
    <t>Aug 29, 2017 07:43 PM</t>
  </si>
  <si>
    <t>Aug 29, 2017 07:44 PM</t>
  </si>
  <si>
    <t>Aug 29, 2017 07:45 PM</t>
  </si>
  <si>
    <t>Aug 29, 2017 07:46 PM</t>
  </si>
  <si>
    <t>Aug 30, 2017 03:10 AM</t>
  </si>
  <si>
    <t>Aug 30, 2017 03:11 AM</t>
  </si>
  <si>
    <t>Aug 30, 2017 06:41 AM</t>
  </si>
  <si>
    <t>Aug 30, 2017 06:42 AM</t>
  </si>
  <si>
    <t>Aug 30, 2017 10:04 AM</t>
  </si>
  <si>
    <t>Aug 30, 2017 10:05 AM</t>
  </si>
  <si>
    <t>Aug 30, 2017 10:06 AM</t>
  </si>
  <si>
    <t>Aug 30, 2017 10:07 AM</t>
  </si>
  <si>
    <t>Aug 30, 2017 10:08 AM</t>
  </si>
  <si>
    <t>Aug 30, 2017 10:09 AM</t>
  </si>
  <si>
    <t>Rokiah</t>
  </si>
  <si>
    <t>Aug 30, 2017 10:10 AM</t>
  </si>
  <si>
    <t>Rokiak</t>
  </si>
  <si>
    <t>Aug 30, 2017 10:11 AM</t>
  </si>
  <si>
    <t>Aug 30, 2017 10:13 AM</t>
  </si>
  <si>
    <t>Aug 30, 2017 10:15 AM</t>
  </si>
  <si>
    <t>Aug 30, 2017 10:16 AM</t>
  </si>
  <si>
    <t>Aug 30, 2017 10:31 AM</t>
  </si>
  <si>
    <t>Aug 30, 2017 10:41 AM</t>
  </si>
  <si>
    <t>Zhang Lei</t>
  </si>
  <si>
    <t>Aug 30, 2017 10:42 AM</t>
  </si>
  <si>
    <t>Rohaini</t>
  </si>
  <si>
    <t>Bai</t>
  </si>
  <si>
    <t>Aug 30, 2017 10:43 AM</t>
  </si>
  <si>
    <t>Aug 30, 2017 10:52 AM</t>
  </si>
  <si>
    <t>Xie</t>
  </si>
  <si>
    <t>Aug 30, 2017 10:53 AM</t>
  </si>
  <si>
    <t>Aug 30, 2017 10:54 AM</t>
  </si>
  <si>
    <t>Aug 30, 2017 11:04 AM</t>
  </si>
  <si>
    <t>Aug 30, 2017 11:07 AM</t>
  </si>
  <si>
    <t>Aug 30, 2017 11:11 AM</t>
  </si>
  <si>
    <t>No handwash / handrub after removing gloves</t>
  </si>
  <si>
    <t>Aug 30, 2017 11:15 AM</t>
  </si>
  <si>
    <t>Aug 30, 2017 11:18 AM</t>
  </si>
  <si>
    <t>Aug 30, 2017 11:20 AM</t>
  </si>
  <si>
    <t>Aug 30, 2017 11:25 AM</t>
  </si>
  <si>
    <t>Aug 30, 2017 11:32 AM</t>
  </si>
  <si>
    <t>Aug 30, 2017 11:34 AM</t>
  </si>
  <si>
    <t>Aug 30, 2017 11:36 AM</t>
  </si>
  <si>
    <t>Siti Hasfurah</t>
  </si>
  <si>
    <t>Aug 30, 2017 11:41 AM</t>
  </si>
  <si>
    <t>Yee LM</t>
  </si>
  <si>
    <t>Aug 30, 2017 11:42 AM</t>
  </si>
  <si>
    <t>Aug 30, 2017 11:43 AM</t>
  </si>
  <si>
    <t>Aug 30, 2017 11:44 AM</t>
  </si>
  <si>
    <t>Aug 30, 2017 11:57 AM</t>
  </si>
  <si>
    <t>Aug 30, 2017 12:07 PM</t>
  </si>
  <si>
    <t>Aug 30, 2017 12:08 PM</t>
  </si>
  <si>
    <t>Aug 30, 2017 12:19 PM</t>
  </si>
  <si>
    <t>Aug 30, 2017 12:20 PM</t>
  </si>
  <si>
    <t>Aug 30, 2017 01:21 PM</t>
  </si>
  <si>
    <t>Aug 30, 2017 01:22 PM</t>
  </si>
  <si>
    <t>Aug 30, 2017 02:05 PM</t>
  </si>
  <si>
    <t>Aug 30, 2017 02:06 PM</t>
  </si>
  <si>
    <t>Aug 30, 2017 02:07 PM</t>
  </si>
  <si>
    <t>Aug 30, 2017 02:08 PM</t>
  </si>
  <si>
    <t>Aug 30, 2017 02:40 PM</t>
  </si>
  <si>
    <t>Aug 30, 2017 02:44 PM</t>
  </si>
  <si>
    <t>Aug 30, 2017 02:56 PM</t>
  </si>
  <si>
    <t>Aug 30, 2017 02:57 PM</t>
  </si>
  <si>
    <t>Aug 30, 2017 02:58 PM</t>
  </si>
  <si>
    <t>Aug 30, 2017 03:01 PM</t>
  </si>
  <si>
    <t>Aug 30, 2017 03:05 PM</t>
  </si>
  <si>
    <t>Aug 30, 2017 03:06 PM</t>
  </si>
  <si>
    <t>Aug 30, 2017 03:07 PM</t>
  </si>
  <si>
    <t>Aug 30, 2017 03:08 PM</t>
  </si>
  <si>
    <t>Aug 30, 2017 03:14 PM</t>
  </si>
  <si>
    <t>Aug 30, 2017 03:28 PM</t>
  </si>
  <si>
    <t>Aug 30, 2017 03:29 PM</t>
  </si>
  <si>
    <t>Aug 30, 2017 03:30 PM</t>
  </si>
  <si>
    <t>Aug 30, 2017 03:38 PM</t>
  </si>
  <si>
    <t>Aug 30, 2017 03:53 PM</t>
  </si>
  <si>
    <t>Aug 30, 2017 03:54 PM</t>
  </si>
  <si>
    <t>Aug 30, 2017 03:59 PM</t>
  </si>
  <si>
    <t>Poh Choo phoon.poh.choo@nhcs.com.sg</t>
  </si>
  <si>
    <t>Aug 30, 2017 04:00 PM</t>
  </si>
  <si>
    <t>Ddg</t>
  </si>
  <si>
    <t>Aug 30, 2017 04:34 PM</t>
  </si>
  <si>
    <t>Aug 30, 2017 04:35 PM</t>
  </si>
  <si>
    <t>Aug 30, 2017 04:41 PM</t>
  </si>
  <si>
    <t>Aug 30, 2017 08:56 PM</t>
  </si>
  <si>
    <t>Radographer</t>
  </si>
  <si>
    <t>Aug 30, 2017 08:57 PM</t>
  </si>
  <si>
    <t>Aug 31, 2017 07:07 AM</t>
  </si>
  <si>
    <t>Aug 31, 2017 07:08 AM</t>
  </si>
  <si>
    <t>Aug 31, 2017 11:20 AM</t>
  </si>
  <si>
    <t>Aug 31, 2017 11:22 AM</t>
  </si>
  <si>
    <t>Aug 31, 2017 01:21 PM</t>
  </si>
  <si>
    <t>Aug 31, 2017 01:22 PM</t>
  </si>
  <si>
    <t>Aug 31, 2017 01:26 PM</t>
  </si>
  <si>
    <t>Aug 31, 2017 01:27 PM</t>
  </si>
  <si>
    <t>Aug 31, 2017 01:34 PM</t>
  </si>
  <si>
    <t>Aug 31, 2017 01:40 PM</t>
  </si>
  <si>
    <t>Dr jason lam</t>
  </si>
  <si>
    <t>Aug 31, 2017 01:41 PM</t>
  </si>
  <si>
    <t>Aug 31, 2017 01:55 PM</t>
  </si>
  <si>
    <t>Aug 31, 2017 01:56 PM</t>
  </si>
  <si>
    <t>Aug 31, 2017 01:59 PM</t>
  </si>
  <si>
    <t>Aug 31, 2017 02:02 PM</t>
  </si>
  <si>
    <t>Aug 31, 2017 02:54 PM</t>
  </si>
  <si>
    <t>Aug 31, 2017 02:57 PM</t>
  </si>
  <si>
    <t>Aug 31, 2017 02:58 PM</t>
  </si>
  <si>
    <t>Aug 31, 2017 04:30 PM</t>
  </si>
  <si>
    <t>Boon San Chie</t>
  </si>
  <si>
    <t>Aug 31, 2017 04:31 PM</t>
  </si>
  <si>
    <t>Aug 31, 2017 04:41 PM</t>
  </si>
  <si>
    <t>Aug 31, 2017 04:43 PM</t>
  </si>
  <si>
    <t>Dr Ray, Duke NUS student, after taking BP</t>
  </si>
  <si>
    <t>Aug 31, 2017 04:44 PM</t>
  </si>
  <si>
    <t>Aug 31, 2017 05:24 PM</t>
  </si>
  <si>
    <t>Aug 31, 2017 05:49 PM</t>
  </si>
  <si>
    <t>Dongxia Chen</t>
  </si>
  <si>
    <t>URO</t>
  </si>
  <si>
    <t>Aug 31, 2017 05:50 PM</t>
  </si>
  <si>
    <t>Aug 31, 2017 05:51 PM</t>
  </si>
  <si>
    <t>Aug 31, 2017 05:52 PM</t>
  </si>
  <si>
    <t>Aug 31, 2017 05:53 PM</t>
  </si>
  <si>
    <t>Aug 31, 2017 05:54 PM</t>
  </si>
  <si>
    <t>Aug 31, 2017 05:55 PM</t>
  </si>
  <si>
    <t>Aug 31, 2017 05:56 PM</t>
  </si>
  <si>
    <t>Aug 31, 2017 08:43 PM</t>
  </si>
  <si>
    <t>Aug 31, 2017 10:34 PM</t>
  </si>
  <si>
    <t>Aug 31, 2017 10:35 PM</t>
  </si>
  <si>
    <t>Aug 31, 2017 10:36 PM</t>
  </si>
  <si>
    <t>Aug 31, 2017 10:37 PM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</si>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</sst>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91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16</v>
      </c>
      <c r="T24" t="str">
        <f>COUNTIFS(Details!$P$3:$P$5000,"Passed",Details!$G$3:$G$5000,"ASC")</f>
        <v>0</v>
      </c>
      <c r="U24" t="str">
        <f>COUNTIF(Details!$G$3:$G$5000, "ASC")</f>
        <v>0</v>
      </c>
      <c r="V24" s="6" t="str">
        <f>t24/u24</f>
        <v>0</v>
      </c>
      <c r="X24" t="s">
        <v>22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23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24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25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26</v>
      </c>
      <c r="T25" t="str">
        <f>COUNTIFS(Details!$P$3:$P$5000,"Passed",Details!$G$3:$G$5000,"AU/EN GP/HCA")</f>
        <v>0</v>
      </c>
      <c r="U25" t="str">
        <f>COUNTIF(Details!$G$3:$G$5000, "AU/EN GP/HCA")</f>
        <v>0</v>
      </c>
      <c r="V25" s="6" t="str">
        <f>t25/u25</f>
        <v>0</v>
      </c>
      <c r="X25" t="s">
        <v>27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28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25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29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30</v>
      </c>
      <c r="T26" t="str">
        <f>COUNTIFS(Details!$P$3:$P$5000,"Passed",Details!$G$3:$G$5000,"BOT / NHC OT / RY")</f>
        <v>0</v>
      </c>
      <c r="U26" t="str">
        <f>COUNTIF(Details!$G$3:$G$5000, "BOT / NHC OT / RY")</f>
        <v>0</v>
      </c>
      <c r="V26" s="6" t="str">
        <f>t26/u26</f>
        <v>0</v>
      </c>
      <c r="X26" t="s">
        <v>31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32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29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33</v>
      </c>
      <c r="T27" t="str">
        <f>COUNTIFS(Details!$P$3:$P$5000,"Passed",Details!$G$3:$G$5000,"BVH")</f>
        <v>0</v>
      </c>
      <c r="U27" t="str">
        <f>COUNTIF(Details!$G$3:$G$5000, "BVH")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34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35</v>
      </c>
      <c r="T28" t="str">
        <f>COUNTIFS(Details!$P$3:$P$5000,"Passed",Details!$G$3:$G$5000,"CARE / Prenatal Diagnostic Centre (PDC)")</f>
        <v>0</v>
      </c>
      <c r="U28" t="str">
        <f>COUNTIF(Details!$G$3:$G$5000, "CARE / Prenatal Diagnostic Centre (PDC)")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36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37</v>
      </c>
      <c r="T29" t="str">
        <f>COUNTIFS(Details!$P$3:$P$5000,"Passed",Details!$G$3:$G$5000,"CDLD")</f>
        <v>0</v>
      </c>
      <c r="U29" t="str">
        <f>COUNTIF(Details!$G$3:$G$5000, "CDLD")</f>
        <v>0</v>
      </c>
      <c r="V29" s="6" t="str">
        <f>t29/u29</f>
        <v>0</v>
      </c>
    </row>
    <row r="30" spans="1:44">
      <c r="D30" t="s">
        <v>38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39</v>
      </c>
      <c r="T30" t="str">
        <f>COUNTIFS(Details!$P$3:$P$5000,"Passed",Details!$G$3:$G$5000,"Clinic A")</f>
        <v>0</v>
      </c>
      <c r="U30" t="str">
        <f>COUNTIF(Details!$G$3:$G$5000, "Clinic A")</f>
        <v>0</v>
      </c>
      <c r="V30" s="6" t="str">
        <f>t30/u30</f>
        <v>0</v>
      </c>
    </row>
    <row r="31" spans="1:44">
      <c r="D31" t="s">
        <v>40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41</v>
      </c>
      <c r="T31" t="str">
        <f>COUNTIFS(Details!$P$3:$P$5000,"Passed",Details!$G$3:$G$5000,"Clinic B")</f>
        <v>0</v>
      </c>
      <c r="U31" t="str">
        <f>COUNTIF(Details!$G$3:$G$5000, "Clinic B")</f>
        <v>0</v>
      </c>
      <c r="V31" s="6" t="str">
        <f>t31/u31</f>
        <v>0</v>
      </c>
    </row>
    <row r="32" spans="1:44">
      <c r="D32" t="s">
        <v>42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43</v>
      </c>
      <c r="T32" t="str">
        <f>COUNTIFS(Details!$P$3:$P$5000,"Passed",Details!$G$3:$G$5000,"Clinic H")</f>
        <v>0</v>
      </c>
      <c r="U32" t="str">
        <f>COUNTIF(Details!$G$3:$G$5000, "Clinic H")</f>
        <v>0</v>
      </c>
      <c r="V32" s="6" t="str">
        <f>t32/u32</f>
        <v>0</v>
      </c>
    </row>
    <row r="33" spans="1:44">
      <c r="D33" t="s">
        <v>29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44</v>
      </c>
      <c r="T33" t="str">
        <f>COUNTIFS(Details!$P$3:$P$5000,"Passed",Details!$G$3:$G$5000,"Clinic J")</f>
        <v>0</v>
      </c>
      <c r="U33" t="str">
        <f>COUNTIF(Details!$G$3:$G$5000, "Clinic J")</f>
        <v>0</v>
      </c>
      <c r="V33" s="6" t="str">
        <f>t33/u33</f>
        <v>0</v>
      </c>
    </row>
    <row r="34" spans="1:44">
      <c r="D34" t="s">
        <v>45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46</v>
      </c>
      <c r="T34" t="str">
        <f>COUNTIFS(Details!$P$3:$P$5000,"Passed",Details!$G$3:$G$5000,"Clinic K")</f>
        <v>0</v>
      </c>
      <c r="U34" t="str">
        <f>COUNTIF(Details!$G$3:$G$5000, "Clinic K")</f>
        <v>0</v>
      </c>
      <c r="V34" s="6" t="str">
        <f>t34/u34</f>
        <v>0</v>
      </c>
    </row>
    <row r="35" spans="1:44">
      <c r="D35" t="s">
        <v>47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48</v>
      </c>
      <c r="T35" t="str">
        <f>COUNTIFS(Details!$P$3:$P$5000,"Passed",Details!$G$3:$G$5000,"Clinic L")</f>
        <v>0</v>
      </c>
      <c r="U35" t="str">
        <f>COUNTIF(Details!$G$3:$G$5000, "Clinic L")</f>
        <v>0</v>
      </c>
      <c r="V35" s="6" t="str">
        <f>t35/u35</f>
        <v>0</v>
      </c>
    </row>
    <row r="36" spans="1:44">
      <c r="D36" t="s">
        <v>49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50</v>
      </c>
      <c r="T36" t="str">
        <f>COUNTIFS(Details!$P$3:$P$5000,"Passed",Details!$G$3:$G$5000,"Clinic M")</f>
        <v>0</v>
      </c>
      <c r="U36" t="str">
        <f>COUNTIF(Details!$G$3:$G$5000, "Clinic M")</f>
        <v>0</v>
      </c>
      <c r="V36" s="6" t="str">
        <f>t36/u36</f>
        <v>0</v>
      </c>
    </row>
    <row r="37" spans="1:44">
      <c r="D37" t="s">
        <v>51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52</v>
      </c>
      <c r="T37" t="str">
        <f>COUNTIFS(Details!$P$3:$P$5000,"Passed",Details!$G$3:$G$5000,"Clinic P")</f>
        <v>0</v>
      </c>
      <c r="U37" t="str">
        <f>COUNTIF(Details!$G$3:$G$5000, "Clinic P")</f>
        <v>0</v>
      </c>
      <c r="V37" s="6" t="str">
        <f>t37/u37</f>
        <v>0</v>
      </c>
    </row>
    <row r="38" spans="1:44">
      <c r="S38" t="s">
        <v>53</v>
      </c>
      <c r="T38" t="str">
        <f>COUNTIFS(Details!$P$3:$P$5000,"Passed",Details!$G$3:$G$5000,"DMC L1")</f>
        <v>0</v>
      </c>
      <c r="U38" t="str">
        <f>COUNTIF(Details!$G$3:$G$5000, "DMC L1")</f>
        <v>0</v>
      </c>
      <c r="V38" s="6" t="str">
        <f>t38/u38</f>
        <v>0</v>
      </c>
    </row>
    <row r="39" spans="1:44">
      <c r="S39" t="s">
        <v>54</v>
      </c>
      <c r="T39" t="str">
        <f>COUNTIFS(Details!$P$3:$P$5000,"Passed",Details!$G$3:$G$5000,"DMC L3")</f>
        <v>0</v>
      </c>
      <c r="U39" t="str">
        <f>COUNTIF(Details!$G$3:$G$5000, "DMC L3")</f>
        <v>0</v>
      </c>
      <c r="V39" s="6" t="str">
        <f>t39/u39</f>
        <v>0</v>
      </c>
    </row>
    <row r="40" spans="1:44">
      <c r="S40" t="s">
        <v>55</v>
      </c>
      <c r="T40" t="str">
        <f>COUNTIFS(Details!$P$3:$P$5000,"Passed",Details!$G$3:$G$5000,"DMC L4")</f>
        <v>0</v>
      </c>
      <c r="U40" t="str">
        <f>COUNTIF(Details!$G$3:$G$5000, "DMC L4")</f>
        <v>0</v>
      </c>
      <c r="V40" s="6" t="str">
        <f>t40/u40</f>
        <v>0</v>
      </c>
    </row>
    <row r="41" spans="1:44">
      <c r="S41" t="s">
        <v>23</v>
      </c>
      <c r="T41" t="str">
        <f>COUNTIFS(Details!$P$3:$P$5000,"Passed",Details!$G$3:$G$5000,"DMC Podiatry")</f>
        <v>0</v>
      </c>
      <c r="U41" t="str">
        <f>COUNTIF(Details!$G$3:$G$5000, "DMC Podiatry")</f>
        <v>0</v>
      </c>
      <c r="V41" s="6" t="str">
        <f>t41/u41</f>
        <v>0</v>
      </c>
    </row>
    <row r="42" spans="1:44">
      <c r="S42" t="s">
        <v>56</v>
      </c>
      <c r="T42" t="str">
        <f>COUNTIFS(Details!$P$3:$P$5000,"Passed",Details!$G$3:$G$5000,"Dialysis Centre")</f>
        <v>0</v>
      </c>
      <c r="U42" t="str">
        <f>COUNTIF(Details!$G$3:$G$5000, "Dialysis Centre")</f>
        <v>0</v>
      </c>
      <c r="V42" s="6" t="str">
        <f>t42/u42</f>
        <v>0</v>
      </c>
    </row>
    <row r="43" spans="1:44">
      <c r="S43" t="s">
        <v>57</v>
      </c>
      <c r="T43" t="str">
        <f>COUNTIFS(Details!$P$3:$P$5000,"Passed",Details!$G$3:$G$5000,"ENT Centre")</f>
        <v>0</v>
      </c>
      <c r="U43" t="str">
        <f>COUNTIF(Details!$G$3:$G$5000, "ENT Centre")</f>
        <v>0</v>
      </c>
      <c r="V43" s="6" t="str">
        <f>t43/u43</f>
        <v>0</v>
      </c>
    </row>
    <row r="44" spans="1:44">
      <c r="S44" t="s">
        <v>58</v>
      </c>
      <c r="T44" t="str">
        <f>COUNTIFS(Details!$P$3:$P$5000,"Passed",Details!$G$3:$G$5000,"Emergency Medicine")</f>
        <v>0</v>
      </c>
      <c r="U44" t="str">
        <f>COUNTIF(Details!$G$3:$G$5000, "Emergency Medicine")</f>
        <v>0</v>
      </c>
      <c r="V44" s="6" t="str">
        <f>t44/u44</f>
        <v>0</v>
      </c>
    </row>
    <row r="45" spans="1:44">
      <c r="S45" t="s">
        <v>59</v>
      </c>
      <c r="T45" t="str">
        <f>COUNTIFS(Details!$P$3:$P$5000,"Passed",Details!$G$3:$G$5000,"Endoscopy Centre")</f>
        <v>0</v>
      </c>
      <c r="U45" t="str">
        <f>COUNTIF(Details!$G$3:$G$5000, "Endoscopy Centre")</f>
        <v>0</v>
      </c>
      <c r="V45" s="6" t="str">
        <f>t45/u45</f>
        <v>0</v>
      </c>
    </row>
    <row r="46" spans="1:44">
      <c r="S46" t="s">
        <v>36</v>
      </c>
      <c r="T46" t="str">
        <f>COUNTIFS(Details!$P$3:$P$5000,"Passed",Details!$G$3:$G$5000,"FPP Clinic")</f>
        <v>0</v>
      </c>
      <c r="U46" t="str">
        <f>COUNTIF(Details!$G$3:$G$5000, "FPP Clinic")</f>
        <v>0</v>
      </c>
      <c r="V46" s="6" t="str">
        <f>t46/u46</f>
        <v>0</v>
      </c>
    </row>
    <row r="47" spans="1:44">
      <c r="S47" t="s">
        <v>60</v>
      </c>
      <c r="T47" t="str">
        <f>COUNTIFS(Details!$P$3:$P$5000,"Passed",Details!$G$3:$G$5000,"Haematology Centre")</f>
        <v>0</v>
      </c>
      <c r="U47" t="str">
        <f>COUNTIF(Details!$G$3:$G$5000, "Haematology Centre")</f>
        <v>0</v>
      </c>
      <c r="V47" s="6" t="str">
        <f>t47/u47</f>
        <v>0</v>
      </c>
    </row>
    <row r="48" spans="1:44">
      <c r="S48" t="s">
        <v>38</v>
      </c>
      <c r="T48" t="str">
        <f>COUNTIFS(Details!$P$3:$P$5000,"Passed",Details!$G$3:$G$5000,"Health Assessment Center")</f>
        <v>0</v>
      </c>
      <c r="U48" t="str">
        <f>COUNTIF(Details!$G$3:$G$5000, "Health Assessment Center")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COUNTIFS(Details!$P$3:$P$5000,"Passed",Details!$G$3:$G$5000,"LIFE Centre")</f>
        <v>0</v>
      </c>
      <c r="U49" t="str">
        <f>COUNTIF(Details!$G$3:$G$5000, "LIFE Centre")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COUNTIFS(Details!$P$3:$P$5000,"Passed",Details!$G$3:$G$5000,"MOT scrub")</f>
        <v>0</v>
      </c>
      <c r="U50" t="str">
        <f>COUNTIF(Details!$G$3:$G$5000, "MOT scrub")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COUNTIFS(Details!$P$3:$P$5000,"Passed",Details!$G$3:$G$5000,"Musculoskelatal Centre (MSC)")</f>
        <v>0</v>
      </c>
      <c r="U51" t="str">
        <f>COUNTIF(Details!$G$3:$G$5000, "Musculoskelatal Centre (MSC)")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COUNTIFS(Details!$P$3:$P$5000,"Passed",Details!$G$3:$G$5000,"OGC")</f>
        <v>0</v>
      </c>
      <c r="U52" t="str">
        <f>COUNTIF(Details!$G$3:$G$5000, "OGC")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COUNTIFS(Details!$P$3:$P$5000,"Passed",Details!$G$3:$G$5000,"OPAT")</f>
        <v>0</v>
      </c>
      <c r="U53" t="str">
        <f>COUNTIF(Details!$G$3:$G$5000, "OPAT")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COUNTIFS(Details!$P$3:$P$5000,"Passed",Details!$G$3:$G$5000,"OSJC")</f>
        <v>0</v>
      </c>
      <c r="U54" t="str">
        <f>COUNTIF(Details!$G$3:$G$5000, "OSJC")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COUNTIFS(Details!$P$3:$P$5000,"Passed",Details!$G$3:$G$5000,"Peritoneal Dialysis Centre")</f>
        <v>0</v>
      </c>
      <c r="U55" t="str">
        <f>COUNTIF(Details!$G$3:$G$5000, "Peritoneal Dialysis Centre")</f>
        <v>0</v>
      </c>
      <c r="V55" s="6" t="str">
        <f>t55/u55</f>
        <v>0</v>
      </c>
    </row>
    <row r="56" spans="1:44">
      <c r="S56" t="s">
        <v>29</v>
      </c>
      <c r="T56" t="str">
        <f>COUNTIFS(Details!$P$3:$P$5000,"Passed",Details!$G$3:$G$5000,"Practise")</f>
        <v>0</v>
      </c>
      <c r="U56" t="str">
        <f>COUNTIF(Details!$G$3:$G$5000, "Practise")</f>
        <v>0</v>
      </c>
      <c r="V56" s="6" t="str">
        <f>t56/u56</f>
        <v>0</v>
      </c>
    </row>
    <row r="57" spans="1:44">
      <c r="S57" t="s">
        <v>68</v>
      </c>
      <c r="T57" t="str">
        <f>COUNTIFS(Details!$P$3:$P$5000,"Passed",Details!$G$3:$G$5000,"SICU")</f>
        <v>0</v>
      </c>
      <c r="U57" t="str">
        <f>COUNTIF(Details!$G$3:$G$5000, "SICU")</f>
        <v>0</v>
      </c>
      <c r="V57" s="6" t="str">
        <f>t57/u57</f>
        <v>0</v>
      </c>
    </row>
    <row r="58" spans="1:44">
      <c r="S58" t="s">
        <v>47</v>
      </c>
      <c r="T58" t="str">
        <f>COUNTIFS(Details!$P$3:$P$5000,"Passed",Details!$G$3:$G$5000,"Staff Centre")</f>
        <v>0</v>
      </c>
      <c r="U58" t="str">
        <f>COUNTIF(Details!$G$3:$G$5000, "Staff Centre")</f>
        <v>0</v>
      </c>
      <c r="V58" s="6" t="str">
        <f>t58/u58</f>
        <v>0</v>
      </c>
    </row>
    <row r="59" spans="1:44">
      <c r="S59" t="s">
        <v>69</v>
      </c>
      <c r="T59" t="str">
        <f>COUNTIFS(Details!$P$3:$P$5000,"Passed",Details!$G$3:$G$5000,"Transplant Centre")</f>
        <v>0</v>
      </c>
      <c r="U59" t="str">
        <f>COUNTIF(Details!$G$3:$G$5000, "Transplant Centre")</f>
        <v>0</v>
      </c>
      <c r="V59" s="6" t="str">
        <f>t59/u59</f>
        <v>0</v>
      </c>
    </row>
    <row r="60" spans="1:44">
      <c r="S60" t="s">
        <v>49</v>
      </c>
      <c r="T60" t="str">
        <f>COUNTIFS(Details!$P$3:$P$5000,"Passed",Details!$G$3:$G$5000,"URO OT")</f>
        <v>0</v>
      </c>
      <c r="U60" t="str">
        <f>COUNTIF(Details!$G$3:$G$5000, "URO OT")</f>
        <v>0</v>
      </c>
      <c r="V60" s="6" t="str">
        <f>t60/u60</f>
        <v>0</v>
      </c>
    </row>
    <row r="61" spans="1:44">
      <c r="S61" t="s">
        <v>70</v>
      </c>
      <c r="T61" t="str">
        <f>COUNTIFS(Details!$P$3:$P$5000,"Passed",Details!$G$3:$G$5000,"Urology Centre")</f>
        <v>0</v>
      </c>
      <c r="U61" t="str">
        <f>COUNTIF(Details!$G$3:$G$5000, "Urology Centre")</f>
        <v>0</v>
      </c>
      <c r="V61" s="6" t="str">
        <f>t61/u61</f>
        <v>0</v>
      </c>
    </row>
    <row r="62" spans="1:44">
      <c r="S62" t="s">
        <v>71</v>
      </c>
      <c r="T62" t="str">
        <f>COUNTIFS(Details!$P$3:$P$5000,"Passed",Details!$G$3:$G$5000,"W42")</f>
        <v>0</v>
      </c>
      <c r="U62" t="str">
        <f>COUNTIF(Details!$G$3:$G$5000, "W42")</f>
        <v>0</v>
      </c>
      <c r="V62" s="6" t="str">
        <f>t62/u62</f>
        <v>0</v>
      </c>
    </row>
    <row r="63" spans="1:44">
      <c r="S63" t="s">
        <v>72</v>
      </c>
      <c r="T63" t="str">
        <f>COUNTIFS(Details!$P$3:$P$5000,"Passed",Details!$G$3:$G$5000,"W43")</f>
        <v>0</v>
      </c>
      <c r="U63" t="str">
        <f>COUNTIF(Details!$G$3:$G$5000, "W43")</f>
        <v>0</v>
      </c>
      <c r="V63" s="6" t="str">
        <f>t63/u63</f>
        <v>0</v>
      </c>
    </row>
    <row r="64" spans="1:44">
      <c r="S64" t="s">
        <v>73</v>
      </c>
      <c r="T64" t="str">
        <f>COUNTIFS(Details!$P$3:$P$5000,"Passed",Details!$G$3:$G$5000,"W45")</f>
        <v>0</v>
      </c>
      <c r="U64" t="str">
        <f>COUNTIF(Details!$G$3:$G$5000, "W45")</f>
        <v>0</v>
      </c>
      <c r="V64" s="6" t="str">
        <f>t64/u64</f>
        <v>0</v>
      </c>
    </row>
    <row r="65" spans="1:44">
      <c r="S65" t="s">
        <v>74</v>
      </c>
      <c r="T65" t="str">
        <f>COUNTIFS(Details!$P$3:$P$5000,"Passed",Details!$G$3:$G$5000,"W46")</f>
        <v>0</v>
      </c>
      <c r="U65" t="str">
        <f>COUNTIF(Details!$G$3:$G$5000, "W46")</f>
        <v>0</v>
      </c>
      <c r="V65" s="6" t="str">
        <f>t65/u65</f>
        <v>0</v>
      </c>
    </row>
    <row r="66" spans="1:44">
      <c r="S66" t="s">
        <v>75</v>
      </c>
      <c r="T66" t="str">
        <f>COUNTIFS(Details!$P$3:$P$5000,"Passed",Details!$G$3:$G$5000,"W47A")</f>
        <v>0</v>
      </c>
      <c r="U66" t="str">
        <f>COUNTIF(Details!$G$3:$G$5000, "W47A")</f>
        <v>0</v>
      </c>
      <c r="V66" s="6" t="str">
        <f>t66/u66</f>
        <v>0</v>
      </c>
    </row>
    <row r="67" spans="1:44">
      <c r="S67" t="s">
        <v>76</v>
      </c>
      <c r="T67" t="str">
        <f>COUNTIFS(Details!$P$3:$P$5000,"Passed",Details!$G$3:$G$5000,"W48 HAE")</f>
        <v>0</v>
      </c>
      <c r="U67" t="str">
        <f>COUNTIF(Details!$G$3:$G$5000, "W48 HAE")</f>
        <v>0</v>
      </c>
      <c r="V67" s="6" t="str">
        <f>t67/u67</f>
        <v>0</v>
      </c>
    </row>
    <row r="68" spans="1:44">
      <c r="S68" t="s">
        <v>77</v>
      </c>
      <c r="T68" t="str">
        <f>COUNTIFS(Details!$P$3:$P$5000,"Passed",Details!$G$3:$G$5000,"W48 ONC")</f>
        <v>0</v>
      </c>
      <c r="U68" t="str">
        <f>COUNTIF(Details!$G$3:$G$5000, "W48 ONC")</f>
        <v>0</v>
      </c>
      <c r="V68" s="6" t="str">
        <f>t68/u68</f>
        <v>0</v>
      </c>
    </row>
    <row r="69" spans="1:44">
      <c r="S69" t="s">
        <v>78</v>
      </c>
      <c r="T69" t="str">
        <f>COUNTIFS(Details!$P$3:$P$5000,"Passed",Details!$G$3:$G$5000,"W52A")</f>
        <v>0</v>
      </c>
      <c r="U69" t="str">
        <f>COUNTIF(Details!$G$3:$G$5000, "W52A")</f>
        <v>0</v>
      </c>
      <c r="V69" s="6" t="str">
        <f>t69/u69</f>
        <v>0</v>
      </c>
    </row>
    <row r="70" spans="1:44">
      <c r="S70" t="s">
        <v>79</v>
      </c>
      <c r="T70" t="str">
        <f>COUNTIFS(Details!$P$3:$P$5000,"Passed",Details!$G$3:$G$5000,"W52B ")</f>
        <v>0</v>
      </c>
      <c r="U70" t="str">
        <f>COUNTIF(Details!$G$3:$G$5000, "W52B ")</f>
        <v>0</v>
      </c>
      <c r="V70" s="6" t="str">
        <f>t70/u70</f>
        <v>0</v>
      </c>
    </row>
    <row r="71" spans="1:44">
      <c r="S71" t="s">
        <v>80</v>
      </c>
      <c r="T71" t="str">
        <f>COUNTIFS(Details!$P$3:$P$5000,"Passed",Details!$G$3:$G$5000,"W53A")</f>
        <v>0</v>
      </c>
      <c r="U71" t="str">
        <f>COUNTIF(Details!$G$3:$G$5000, "W53A")</f>
        <v>0</v>
      </c>
      <c r="V71" s="6" t="str">
        <f>t71/u71</f>
        <v>0</v>
      </c>
    </row>
    <row r="72" spans="1:44">
      <c r="S72" t="s">
        <v>81</v>
      </c>
      <c r="T72" t="str">
        <f>COUNTIFS(Details!$P$3:$P$5000,"Passed",Details!$G$3:$G$5000,"W53C")</f>
        <v>0</v>
      </c>
      <c r="U72" t="str">
        <f>COUNTIF(Details!$G$3:$G$5000, "W53C")</f>
        <v>0</v>
      </c>
      <c r="V72" s="6" t="str">
        <f>t72/u72</f>
        <v>0</v>
      </c>
    </row>
    <row r="73" spans="1:44">
      <c r="S73" t="s">
        <v>82</v>
      </c>
      <c r="T73" t="str">
        <f>COUNTIFS(Details!$P$3:$P$5000,"Passed",Details!$G$3:$G$5000,"W54 Neo")</f>
        <v>0</v>
      </c>
      <c r="U73" t="str">
        <f>COUNTIF(Details!$G$3:$G$5000, "W54 Neo")</f>
        <v>0</v>
      </c>
      <c r="V73" s="6" t="str">
        <f>t73/u73</f>
        <v>0</v>
      </c>
    </row>
    <row r="74" spans="1:44">
      <c r="S74" t="s">
        <v>83</v>
      </c>
      <c r="T74" t="str">
        <f>COUNTIFS(Details!$P$3:$P$5000,"Passed",Details!$G$3:$G$5000,"W54D")</f>
        <v>0</v>
      </c>
      <c r="U74" t="str">
        <f>COUNTIF(Details!$G$3:$G$5000, "W54D")</f>
        <v>0</v>
      </c>
      <c r="V74" s="6" t="str">
        <f>t74/u74</f>
        <v>0</v>
      </c>
    </row>
    <row r="75" spans="1:44">
      <c r="S75" t="s">
        <v>84</v>
      </c>
      <c r="T75" t="str">
        <f>COUNTIFS(Details!$P$3:$P$5000,"Passed",Details!$G$3:$G$5000,"W55 A&amp;B")</f>
        <v>0</v>
      </c>
      <c r="U75" t="str">
        <f>COUNTIF(Details!$G$3:$G$5000, "W55 A&amp;B")</f>
        <v>0</v>
      </c>
      <c r="V75" s="6" t="str">
        <f>t75/u75</f>
        <v>0</v>
      </c>
    </row>
    <row r="76" spans="1:44">
      <c r="S76" t="s">
        <v>85</v>
      </c>
      <c r="T76" t="str">
        <f>COUNTIFS(Details!$P$3:$P$5000,"Passed",Details!$G$3:$G$5000,"W57")</f>
        <v>0</v>
      </c>
      <c r="U76" t="str">
        <f>COUNTIF(Details!$G$3:$G$5000, "W57")</f>
        <v>0</v>
      </c>
      <c r="V76" s="6" t="str">
        <f>t76/u76</f>
        <v>0</v>
      </c>
    </row>
    <row r="77" spans="1:44">
      <c r="S77" t="s">
        <v>86</v>
      </c>
      <c r="T77" t="str">
        <f>COUNTIFS(Details!$P$3:$P$5000,"Passed",Details!$G$3:$G$5000,"W58 SUR")</f>
        <v>0</v>
      </c>
      <c r="U77" t="str">
        <f>COUNTIF(Details!$G$3:$G$5000, "W58 SUR")</f>
        <v>0</v>
      </c>
      <c r="V77" s="6" t="str">
        <f>t77/u77</f>
        <v>0</v>
      </c>
    </row>
    <row r="78" spans="1:44">
      <c r="S78" t="s">
        <v>87</v>
      </c>
      <c r="T78" t="str">
        <f>COUNTIFS(Details!$P$3:$P$5000,"Passed",Details!$G$3:$G$5000,"W58B ID")</f>
        <v>0</v>
      </c>
      <c r="U78" t="str">
        <f>COUNTIF(Details!$G$3:$G$5000, "W58B ID")</f>
        <v>0</v>
      </c>
      <c r="V78" s="6" t="str">
        <f>t78/u78</f>
        <v>0</v>
      </c>
    </row>
    <row r="79" spans="1:44">
      <c r="S79" t="s">
        <v>88</v>
      </c>
      <c r="T79" t="str">
        <f>COUNTIFS(Details!$P$3:$P$5000,"Passed",Details!$G$3:$G$5000,"W63A")</f>
        <v>0</v>
      </c>
      <c r="U79" t="str">
        <f>COUNTIF(Details!$G$3:$G$5000, "W63A")</f>
        <v>0</v>
      </c>
      <c r="V79" s="6" t="str">
        <f>t79/u79</f>
        <v>0</v>
      </c>
    </row>
    <row r="80" spans="1:44">
      <c r="S80" t="s">
        <v>89</v>
      </c>
      <c r="T80" t="str">
        <f>COUNTIFS(Details!$P$3:$P$5000,"Passed",Details!$G$3:$G$5000,"W63B")</f>
        <v>0</v>
      </c>
      <c r="U80" t="str">
        <f>COUNTIF(Details!$G$3:$G$5000, "W63B")</f>
        <v>0</v>
      </c>
      <c r="V80" s="6" t="str">
        <f>t80/u80</f>
        <v>0</v>
      </c>
    </row>
    <row r="81" spans="1:44">
      <c r="S81" t="s">
        <v>90</v>
      </c>
      <c r="T81" t="str">
        <f>COUNTIFS(Details!$P$3:$P$5000,"Passed",Details!$G$3:$G$5000,"W64A")</f>
        <v>0</v>
      </c>
      <c r="U81" t="str">
        <f>COUNTIF(Details!$G$3:$G$5000, "W64A")</f>
        <v>0</v>
      </c>
      <c r="V81" s="6" t="str">
        <f>t81/u81</f>
        <v>0</v>
      </c>
    </row>
    <row r="82" spans="1:44">
      <c r="S82" t="s">
        <v>91</v>
      </c>
      <c r="T82" t="str">
        <f>COUNTIFS(Details!$P$3:$P$5000,"Passed",Details!$G$3:$G$5000,"W64C")</f>
        <v>0</v>
      </c>
      <c r="U82" t="str">
        <f>COUNTIF(Details!$G$3:$G$5000, "W64C")</f>
        <v>0</v>
      </c>
      <c r="V82" s="6" t="str">
        <f>t82/u82</f>
        <v>0</v>
      </c>
    </row>
    <row r="83" spans="1:44">
      <c r="S83" t="s">
        <v>92</v>
      </c>
      <c r="T83" t="str">
        <f>COUNTIFS(Details!$P$3:$P$5000,"Passed",Details!$G$3:$G$5000,"W64F (Cohort room)")</f>
        <v>0</v>
      </c>
      <c r="U83" t="str">
        <f>COUNTIF(Details!$G$3:$G$5000, "W64F (Cohort room)")</f>
        <v>0</v>
      </c>
      <c r="V83" s="6" t="str">
        <f>t83/u83</f>
        <v>0</v>
      </c>
    </row>
    <row r="84" spans="1:44">
      <c r="S84" t="s">
        <v>93</v>
      </c>
      <c r="T84" t="str">
        <f>COUNTIFS(Details!$P$3:$P$5000,"Passed",Details!$G$3:$G$5000,"W66")</f>
        <v>0</v>
      </c>
      <c r="U84" t="str">
        <f>COUNTIF(Details!$G$3:$G$5000, "W66")</f>
        <v>0</v>
      </c>
      <c r="V84" s="6" t="str">
        <f>t84/u84</f>
        <v>0</v>
      </c>
    </row>
    <row r="85" spans="1:44">
      <c r="S85" t="s">
        <v>94</v>
      </c>
      <c r="T85" t="str">
        <f>COUNTIFS(Details!$P$3:$P$5000,"Passed",Details!$G$3:$G$5000,"W67")</f>
        <v>0</v>
      </c>
      <c r="U85" t="str">
        <f>COUNTIF(Details!$G$3:$G$5000, "W67")</f>
        <v>0</v>
      </c>
      <c r="V85" s="6" t="str">
        <f>t85/u85</f>
        <v>0</v>
      </c>
    </row>
    <row r="86" spans="1:44">
      <c r="S86" t="s">
        <v>95</v>
      </c>
      <c r="T86" t="str">
        <f>COUNTIFS(Details!$P$3:$P$5000,"Passed",Details!$G$3:$G$5000,"W68")</f>
        <v>0</v>
      </c>
      <c r="U86" t="str">
        <f>COUNTIF(Details!$G$3:$G$5000, "W68")</f>
        <v>0</v>
      </c>
      <c r="V86" s="6" t="str">
        <f>t86/u86</f>
        <v>0</v>
      </c>
    </row>
    <row r="87" spans="1:44">
      <c r="S87" t="s">
        <v>96</v>
      </c>
      <c r="T87" t="str">
        <f>COUNTIFS(Details!$P$3:$P$5000,"Passed",Details!$G$3:$G$5000,"W72")</f>
        <v>0</v>
      </c>
      <c r="U87" t="str">
        <f>COUNTIF(Details!$G$3:$G$5000, "W72")</f>
        <v>0</v>
      </c>
      <c r="V87" s="6" t="str">
        <f>t87/u87</f>
        <v>0</v>
      </c>
    </row>
    <row r="88" spans="1:44">
      <c r="S88" t="s">
        <v>97</v>
      </c>
      <c r="T88" t="str">
        <f>COUNTIFS(Details!$P$3:$P$5000,"Passed",Details!$G$3:$G$5000,"W73")</f>
        <v>0</v>
      </c>
      <c r="U88" t="str">
        <f>COUNTIF(Details!$G$3:$G$5000, "W73")</f>
        <v>0</v>
      </c>
      <c r="V88" s="6" t="str">
        <f>t88/u88</f>
        <v>0</v>
      </c>
    </row>
    <row r="89" spans="1:44">
      <c r="S89" t="s">
        <v>98</v>
      </c>
      <c r="T89" t="str">
        <f>COUNTIFS(Details!$P$3:$P$5000,"Passed",Details!$G$3:$G$5000,"W74")</f>
        <v>0</v>
      </c>
      <c r="U89" t="str">
        <f>COUNTIF(Details!$G$3:$G$5000, "W74")</f>
        <v>0</v>
      </c>
      <c r="V89" s="6" t="str">
        <f>t89/u89</f>
        <v>0</v>
      </c>
    </row>
    <row r="90" spans="1:44">
      <c r="S90" t="s">
        <v>99</v>
      </c>
      <c r="T90" t="str">
        <f>COUNTIFS(Details!$P$3:$P$5000,"Passed",Details!$G$3:$G$5000,"W75")</f>
        <v>0</v>
      </c>
      <c r="U90" t="str">
        <f>COUNTIF(Details!$G$3:$G$5000, "W75")</f>
        <v>0</v>
      </c>
      <c r="V90" s="6" t="str">
        <f>t90/u90</f>
        <v>0</v>
      </c>
    </row>
    <row r="91" spans="1:44">
      <c r="S91" t="s">
        <v>100</v>
      </c>
      <c r="T91" t="str">
        <f>COUNTIFS(Details!$P$3:$P$5000,"Passed",Details!$G$3:$G$5000,"W76")</f>
        <v>0</v>
      </c>
      <c r="U91" t="str">
        <f>COUNTIF(Details!$G$3:$G$5000, "W76")</f>
        <v>0</v>
      </c>
      <c r="V91" s="6" t="str">
        <f>t91/u91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2017-09-04T09:23:17+08:00</dcterms:created>
  <dcterms:modified xsi:type="dcterms:W3CDTF">2017-09-04T09:23:17+08:00</dcterms:modified>
  <dc:title>HHAT Compliance Data</dc:title>
  <dc:description>System Generated Reports</dc:description>
  <dc:subject>HHAT Reports</dc:subject>
  <cp:keywords/>
  <cp:category/>
</cp:coreProperties>
</file>