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Details" sheetId="2" r:id="rId5"/>
    <sheet name="Moment-HCW" sheetId="3" r:id="rId6"/>
    <sheet name="LocLevel1" sheetId="4" r:id="rId7"/>
    <sheet name="LocLevel2" sheetId="5" r:id="rId8"/>
    <sheet name="LocLevel3" sheetId="6" r:id="rId9"/>
    <sheet name="LocLevel4" sheetId="7" r:id="rId10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<sst xmlns="http://schemas.openxmlformats.org/spreadsheetml/2006/main" uniqueCount="1173">
  <si>
    <t>Filters Used:</t>
  </si>
  <si>
    <t>Date From</t>
  </si>
  <si>
    <t>08-01-2017</t>
  </si>
  <si>
    <t>Date To</t>
  </si>
  <si>
    <t>08-29-2017</t>
  </si>
  <si>
    <t>Loc Level 1</t>
  </si>
  <si>
    <t>Passed</t>
  </si>
  <si>
    <t>Total</t>
  </si>
  <si>
    <t>%</t>
  </si>
  <si>
    <t>Loc Level 2</t>
  </si>
  <si>
    <t>Loc Level 3</t>
  </si>
  <si>
    <t>Loc Level 4</t>
  </si>
  <si>
    <t>HCW Type</t>
  </si>
  <si>
    <t>Moment</t>
  </si>
  <si>
    <t>Count</t>
  </si>
  <si>
    <t>Failed</t>
  </si>
  <si>
    <t>ASC</t>
  </si>
  <si>
    <t>(skip)</t>
  </si>
  <si>
    <t>ARC</t>
  </si>
  <si>
    <t>Doctor</t>
  </si>
  <si>
    <t>BOT/NHC OT /RY</t>
  </si>
  <si>
    <t>OT</t>
  </si>
  <si>
    <t>BOT / NHC OT / RY</t>
  </si>
  <si>
    <t>Ancillary</t>
  </si>
  <si>
    <t>DMC Podiatry</t>
  </si>
  <si>
    <t>Out Patient</t>
  </si>
  <si>
    <t>Podiatry</t>
  </si>
  <si>
    <t>BVH</t>
  </si>
  <si>
    <t>Nurse</t>
  </si>
  <si>
    <t>Dialysis/Peritoneal Dialysis</t>
  </si>
  <si>
    <t>Practise</t>
  </si>
  <si>
    <t>CARE / Prenatal Diagnostic Centre (PDC)</t>
  </si>
  <si>
    <t>Allied Health</t>
  </si>
  <si>
    <t>Emergency(A &amp; E)</t>
  </si>
  <si>
    <t>CDLD</t>
  </si>
  <si>
    <t>Endoscopy Ctr</t>
  </si>
  <si>
    <t>Clinic A</t>
  </si>
  <si>
    <t>FPP Clinic</t>
  </si>
  <si>
    <t>Clinic B</t>
  </si>
  <si>
    <t>Health Assessment Center</t>
  </si>
  <si>
    <t>Clinic H</t>
  </si>
  <si>
    <t>MOT</t>
  </si>
  <si>
    <t>Clinic J</t>
  </si>
  <si>
    <t>Night Audit</t>
  </si>
  <si>
    <t>Clinic K</t>
  </si>
  <si>
    <t>Clinic L</t>
  </si>
  <si>
    <t>SOC</t>
  </si>
  <si>
    <t>Clinic M</t>
  </si>
  <si>
    <t>Staff Centre</t>
  </si>
  <si>
    <t>Clinic P</t>
  </si>
  <si>
    <t>URO OT</t>
  </si>
  <si>
    <t>DMC L1</t>
  </si>
  <si>
    <t>Weekly Inpatient Audit</t>
  </si>
  <si>
    <t>DMC L3</t>
  </si>
  <si>
    <t>DMC L4</t>
  </si>
  <si>
    <t>Dialysis Centre</t>
  </si>
  <si>
    <t>ENT Centre</t>
  </si>
  <si>
    <t>Emergency Medicine</t>
  </si>
  <si>
    <t>Endoscopy Centre</t>
  </si>
  <si>
    <t>Haematology Centre</t>
  </si>
  <si>
    <t>LIFE Centre</t>
  </si>
  <si>
    <t>MOT scrub</t>
  </si>
  <si>
    <t>Musculoskelatal Centre (MSC)</t>
  </si>
  <si>
    <t>OGC</t>
  </si>
  <si>
    <t>OPAT</t>
  </si>
  <si>
    <t>OSJC</t>
  </si>
  <si>
    <t>Peritoneal Dialysis Centre</t>
  </si>
  <si>
    <t>SICU</t>
  </si>
  <si>
    <t>Transplant Centre</t>
  </si>
  <si>
    <t>Urology Centre</t>
  </si>
  <si>
    <t>W42</t>
  </si>
  <si>
    <t>W43</t>
  </si>
  <si>
    <t>W45</t>
  </si>
  <si>
    <t>W46</t>
  </si>
  <si>
    <t>W47A</t>
  </si>
  <si>
    <t>W48 HAE</t>
  </si>
  <si>
    <t>W48 ONC</t>
  </si>
  <si>
    <t>W52A</t>
  </si>
  <si>
    <t xml:space="preserve">W52B </t>
  </si>
  <si>
    <t>W53A</t>
  </si>
  <si>
    <t>W53C</t>
  </si>
  <si>
    <t>W54 Neo</t>
  </si>
  <si>
    <t>W54D</t>
  </si>
  <si>
    <t>W55 A&amp;B</t>
  </si>
  <si>
    <t>W57</t>
  </si>
  <si>
    <t>W58 SUR</t>
  </si>
  <si>
    <t>W58B ID</t>
  </si>
  <si>
    <t>W63A</t>
  </si>
  <si>
    <t>W63B</t>
  </si>
  <si>
    <t>W64A</t>
  </si>
  <si>
    <t>W64C</t>
  </si>
  <si>
    <t>W64F (Cohort room)</t>
  </si>
  <si>
    <t>W66</t>
  </si>
  <si>
    <t>W67</t>
  </si>
  <si>
    <t>W68</t>
  </si>
  <si>
    <t>W72</t>
  </si>
  <si>
    <t>W73</t>
  </si>
  <si>
    <t>W74</t>
  </si>
  <si>
    <t>W75</t>
  </si>
  <si>
    <t>W76</t>
  </si>
  <si>
    <t>LOCATION LEVEL</t>
  </si>
  <si>
    <t>HEALTHCARE WORKER</t>
  </si>
  <si>
    <t>HAND HYGIENE COMPLIANCE</t>
  </si>
  <si>
    <t>Occupational</t>
  </si>
  <si>
    <t>Date &amp; Time</t>
  </si>
  <si>
    <t>Auditor</t>
  </si>
  <si>
    <t>Title</t>
  </si>
  <si>
    <t>Name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</si>
  <si>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</si>
  <si>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</si>
  <si>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</si>
  <si>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</si>
  <si>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</si>
  <si>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</si>
  <si>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</si>
  <si>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</si>
  <si>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Aug 01, 2017 01:54 AM</t>
  </si>
  <si>
    <t>Pei Jie Tan</t>
  </si>
  <si>
    <t>DR Esther Pang</t>
  </si>
  <si>
    <t>missed</t>
  </si>
  <si>
    <t>-</t>
  </si>
  <si>
    <t>Sleeves was not rolled up to elbow. Surgical mask was hanging on the neck.</t>
  </si>
  <si>
    <t>rub</t>
  </si>
  <si>
    <t>Aug 01, 2017 09:08 AM</t>
  </si>
  <si>
    <t>Kate Quilan Chen</t>
  </si>
  <si>
    <t>Aug 01, 2017 09:18 AM</t>
  </si>
  <si>
    <t>Contact</t>
  </si>
  <si>
    <t>YES</t>
  </si>
  <si>
    <t>NO</t>
  </si>
  <si>
    <t>Aug 01, 2017 09:19 AM</t>
  </si>
  <si>
    <t>Aug 01, 2017 09:22 AM</t>
  </si>
  <si>
    <t>Aug 01, 2017 09:46 AM</t>
  </si>
  <si>
    <t>Nisaaini Ahmad Misdi</t>
  </si>
  <si>
    <t>Aug 01, 2017 09:47 AM</t>
  </si>
  <si>
    <t>wash</t>
  </si>
  <si>
    <t>Aug 01, 2017 09:48 AM</t>
  </si>
  <si>
    <t>Aug 01, 2017 09:49 AM</t>
  </si>
  <si>
    <t>Aug 01, 2017 09:52 AM</t>
  </si>
  <si>
    <t>Aug 01, 2017 12:44 PM</t>
  </si>
  <si>
    <t>Shamila Suppiah</t>
  </si>
  <si>
    <t>Aug 01, 2017 12:46 PM</t>
  </si>
  <si>
    <t>Aug 01, 2017 12:53 PM</t>
  </si>
  <si>
    <t>Aug 01, 2017 12:55 PM</t>
  </si>
  <si>
    <t>Aug 01, 2017 12:56 PM</t>
  </si>
  <si>
    <t>Aug 01, 2017 01:03 PM</t>
  </si>
  <si>
    <t>Dr. Muthusamy</t>
  </si>
  <si>
    <t>Aug 01, 2017 02:40 PM</t>
  </si>
  <si>
    <t>Nur Fadillah</t>
  </si>
  <si>
    <t>Aug 01, 2017 02:41 PM</t>
  </si>
  <si>
    <t>Aug 01, 2017 02:44 PM</t>
  </si>
  <si>
    <t>Ventachakalam</t>
  </si>
  <si>
    <t>Ventachakalam from Housekeeping did not remove glove and wash after touching patient's surrounding .Use the same gloves to touch other surrounding</t>
  </si>
  <si>
    <t>Yong Wei Tee</t>
  </si>
  <si>
    <t>Shakinah</t>
  </si>
  <si>
    <t>Aug 01, 2017 02:45 PM</t>
  </si>
  <si>
    <t>Syahida</t>
  </si>
  <si>
    <t>Aug 01, 2017 02:48 PM</t>
  </si>
  <si>
    <t>Pathumal</t>
  </si>
  <si>
    <t>Aug 01, 2017 03:15 PM</t>
  </si>
  <si>
    <t>Ismail Warno</t>
  </si>
  <si>
    <t>Gggg</t>
  </si>
  <si>
    <t>Aug 01, 2017 03:16 PM</t>
  </si>
  <si>
    <t>Aug 01, 2017 03:17 PM</t>
  </si>
  <si>
    <t>Haslinda Hassan</t>
  </si>
  <si>
    <t>Aug 01, 2017 03:56 PM</t>
  </si>
  <si>
    <t>Samsul Kamar Bin Abdullah Sarbini</t>
  </si>
  <si>
    <t>Aug 01, 2017 03:57 PM</t>
  </si>
  <si>
    <t>Aug 01, 2017 03:59 PM</t>
  </si>
  <si>
    <t>Aug 01, 2017 04:00 PM</t>
  </si>
  <si>
    <t>Aug 01, 2017 04:11 PM</t>
  </si>
  <si>
    <t>Ramijah Dari</t>
  </si>
  <si>
    <t>Aug 01, 2017 04:12 PM</t>
  </si>
  <si>
    <t>Rupinder Pal Kaur</t>
  </si>
  <si>
    <t>Aug 01, 2017 04:13 PM</t>
  </si>
  <si>
    <t>Aug 01, 2017 04:20 PM</t>
  </si>
  <si>
    <t>Sharon Ng</t>
  </si>
  <si>
    <t>Aug 01, 2017 04:21 PM</t>
  </si>
  <si>
    <t>Aug 01, 2017 05:00 PM</t>
  </si>
  <si>
    <t>Siti Zubaidah</t>
  </si>
  <si>
    <t>Jason Lim</t>
  </si>
  <si>
    <t>Fitriah</t>
  </si>
  <si>
    <t>Aug 01, 2017 10:45 PM</t>
  </si>
  <si>
    <t>Ruhaya Rahmat</t>
  </si>
  <si>
    <t>Aug 01, 2017 10:46 PM</t>
  </si>
  <si>
    <t>Aug 02, 2017 09:32 AM</t>
  </si>
  <si>
    <t>Hasimah Mohd Amin</t>
  </si>
  <si>
    <t>Aug 02, 2017 11:25 AM</t>
  </si>
  <si>
    <t>Chun Yan Yu</t>
  </si>
  <si>
    <t>Aug 02, 2017 11:28 AM</t>
  </si>
  <si>
    <t>Aug 02, 2017 11:30 AM</t>
  </si>
  <si>
    <t>Aug 02, 2017 11:32 AM</t>
  </si>
  <si>
    <t>Aug 02, 2017 11:34 AM</t>
  </si>
  <si>
    <t>Aug 02, 2017 12:42 PM</t>
  </si>
  <si>
    <t>Aug 02, 2017 03:06 PM</t>
  </si>
  <si>
    <t>Shahidah Bte Roslan</t>
  </si>
  <si>
    <t>Aug 02, 2017 03:07 PM</t>
  </si>
  <si>
    <t>Aug 02, 2017 03:27 PM</t>
  </si>
  <si>
    <t>Lijia Wu</t>
  </si>
  <si>
    <t>Cap Ling</t>
  </si>
  <si>
    <t>Aug 02, 2017 03:28 PM</t>
  </si>
  <si>
    <t>Aug 02, 2017 03:29 PM</t>
  </si>
  <si>
    <t>Aug 02, 2017 03:30 PM</t>
  </si>
  <si>
    <t>Aug 02, 2017 03:40 PM</t>
  </si>
  <si>
    <t>Ismawati Amin</t>
  </si>
  <si>
    <t>Aug 02, 2017 03:41 PM</t>
  </si>
  <si>
    <t>Aug 02, 2017 03:42 PM</t>
  </si>
  <si>
    <t>Yong Ming Tee</t>
  </si>
  <si>
    <t>Aug 02, 2017 03:43 PM</t>
  </si>
  <si>
    <t>Aug 02, 2017 03:47 PM</t>
  </si>
  <si>
    <t>Aug 02, 2017 03:48 PM</t>
  </si>
  <si>
    <t>Mislamah Aron</t>
  </si>
  <si>
    <t>Aug 02, 2017 03:50 PM</t>
  </si>
  <si>
    <t>Aug 02, 2017 03:51 PM</t>
  </si>
  <si>
    <t>Aug 02, 2017 03:53 PM</t>
  </si>
  <si>
    <t>Choh Sun Chua</t>
  </si>
  <si>
    <t>Aug 02, 2017 03:54 PM</t>
  </si>
  <si>
    <t>Aug 02, 2017 03:55 PM</t>
  </si>
  <si>
    <t>Aug 02, 2017 04:49 PM</t>
  </si>
  <si>
    <t>Neela Kanagasundaram</t>
  </si>
  <si>
    <t>Amy</t>
  </si>
  <si>
    <t>Aug 02, 2017 09:19 PM</t>
  </si>
  <si>
    <t>Nur Syahida Bte Abdullah</t>
  </si>
  <si>
    <t>Aug 02, 2017 09:20 PM</t>
  </si>
  <si>
    <t>Aug 02, 2017 09:21 PM</t>
  </si>
  <si>
    <t>Aug 02, 2017 09:34 PM</t>
  </si>
  <si>
    <t>Banupreya D/O Kannathasan</t>
  </si>
  <si>
    <t>Aug 02, 2017 10:01 PM</t>
  </si>
  <si>
    <t>Li Yang</t>
  </si>
  <si>
    <t>Aug 02, 2017 10:02 PM</t>
  </si>
  <si>
    <t>Aug 02, 2017 10:03 PM</t>
  </si>
  <si>
    <t>Aug 03, 2017 07:00 AM</t>
  </si>
  <si>
    <t>Sock Ching Loh</t>
  </si>
  <si>
    <t>Aug 03, 2017 07:01 AM</t>
  </si>
  <si>
    <t>Aug 03, 2017 09:14 AM</t>
  </si>
  <si>
    <t>Huiyan Lu</t>
  </si>
  <si>
    <t>Aug 03, 2017 09:15 AM</t>
  </si>
  <si>
    <t>Aug 03, 2017 09:16 AM</t>
  </si>
  <si>
    <t>Aug 03, 2017 09:17 AM</t>
  </si>
  <si>
    <t>Aug 03, 2017 10:01 AM</t>
  </si>
  <si>
    <t>Rashidah Binte Ebrahim Ariff</t>
  </si>
  <si>
    <t>Aug 03, 2017 10:02 AM</t>
  </si>
  <si>
    <t>Aug 03, 2017 12:38 PM</t>
  </si>
  <si>
    <t>Aug 03, 2017 12:39 PM</t>
  </si>
  <si>
    <t>Aug 03, 2017 12:40 PM</t>
  </si>
  <si>
    <t>Aug 03, 2017 01:39 PM</t>
  </si>
  <si>
    <t>Wei Long Cheong</t>
  </si>
  <si>
    <t>SN Ong Hou ru</t>
  </si>
  <si>
    <t>Aug 03, 2017 01:40 PM</t>
  </si>
  <si>
    <t>SN pan hong</t>
  </si>
  <si>
    <t>Aug 03, 2017 01:48 PM</t>
  </si>
  <si>
    <t>Sui Shing Ching</t>
  </si>
  <si>
    <t>Dr Gilbert Soh</t>
  </si>
  <si>
    <t>Aug 03, 2017 01:49 PM</t>
  </si>
  <si>
    <t>SSN Suzyla</t>
  </si>
  <si>
    <t>24/7/2017</t>
  </si>
  <si>
    <t>Aug 03, 2017 01:50 PM</t>
  </si>
  <si>
    <t>Aug 03, 2017 01:52 PM</t>
  </si>
  <si>
    <t>EN Madalene Jessica</t>
  </si>
  <si>
    <t>24/07/2017</t>
  </si>
  <si>
    <t>Aug 03, 2017 01:54 PM</t>
  </si>
  <si>
    <t>SN Abdusseubeer</t>
  </si>
  <si>
    <t>23/07/2017</t>
  </si>
  <si>
    <t>Aug 03, 2017 01:55 PM</t>
  </si>
  <si>
    <t>SN Abusseubeer</t>
  </si>
  <si>
    <t>Aug 03, 2017 01:57 PM</t>
  </si>
  <si>
    <t>Mohd Siddiq</t>
  </si>
  <si>
    <t>13/07/2017</t>
  </si>
  <si>
    <t>Aug 03, 2017 01:58 PM</t>
  </si>
  <si>
    <t>SN Tan Sze Hui</t>
  </si>
  <si>
    <t>13/7/2017</t>
  </si>
  <si>
    <t>SN Crystal Lee</t>
  </si>
  <si>
    <t>Aug 03, 2017 02:00 PM</t>
  </si>
  <si>
    <t>SN Angeline</t>
  </si>
  <si>
    <t>08/07/2017</t>
  </si>
  <si>
    <t>SN Vineetha</t>
  </si>
  <si>
    <t>Aug 03, 2017 02:02 PM</t>
  </si>
  <si>
    <t>Monica</t>
  </si>
  <si>
    <t>Aug 03, 2017 02:03 PM</t>
  </si>
  <si>
    <t>SN Amirul</t>
  </si>
  <si>
    <t>08:07/2017</t>
  </si>
  <si>
    <t>Aug 03, 2017 02:04 PM</t>
  </si>
  <si>
    <t>PEN Tay Siew Yan</t>
  </si>
  <si>
    <t>Aug 03, 2017 02:37 PM</t>
  </si>
  <si>
    <t>Aug 03, 2017 02:38 PM</t>
  </si>
  <si>
    <t>Ya Jie Zhang</t>
  </si>
  <si>
    <t>Aug 03, 2017 02:39 PM</t>
  </si>
  <si>
    <t>Aug 03, 2017 03:20 PM</t>
  </si>
  <si>
    <t>Jasreel Thian</t>
  </si>
  <si>
    <t>Aug 03, 2017 03:21 PM</t>
  </si>
  <si>
    <t>Aug 03, 2017 03:22 PM</t>
  </si>
  <si>
    <t>Aug 03, 2017 03:24 PM</t>
  </si>
  <si>
    <t>Aug 03, 2017 03:27 PM</t>
  </si>
  <si>
    <t>Aug 03, 2017 03:28 PM</t>
  </si>
  <si>
    <t>Aug 03, 2017 03:41 PM</t>
  </si>
  <si>
    <t>Aug 03, 2017 03:43 PM</t>
  </si>
  <si>
    <t>Aug 03, 2017 04:22 PM</t>
  </si>
  <si>
    <t>Huay Siah Soon</t>
  </si>
  <si>
    <t>Aug 03, 2017 04:23 PM</t>
  </si>
  <si>
    <t>Aug 03, 2017 05:05 PM</t>
  </si>
  <si>
    <t>Masziahton Mohamed Masodi</t>
  </si>
  <si>
    <t>Mohd Sa'abbany Mohd Said</t>
  </si>
  <si>
    <t>Aug 03, 2017 05:06 PM</t>
  </si>
  <si>
    <t>Aug 03, 2017 05:08 PM</t>
  </si>
  <si>
    <t>After giving IM injection.</t>
  </si>
  <si>
    <t>Aug 03, 2017 05:09 PM</t>
  </si>
  <si>
    <t>Aug 03, 2017 05:11 PM</t>
  </si>
  <si>
    <t>Aug 03, 2017 05:12 PM</t>
  </si>
  <si>
    <t>Aug 03, 2017 05:15 PM</t>
  </si>
  <si>
    <t>Aug 03, 2017 05:22 PM</t>
  </si>
  <si>
    <t>Aug 03, 2017 05:23 PM</t>
  </si>
  <si>
    <t>Aug 03, 2017 05:26 PM</t>
  </si>
  <si>
    <t>Siti Riniroyani Binte Roslan</t>
  </si>
  <si>
    <t>Aug 03, 2017 05:27 PM</t>
  </si>
  <si>
    <t>Aug 03, 2017 11:52 PM</t>
  </si>
  <si>
    <t>Aug 03, 2017 11:53 PM</t>
  </si>
  <si>
    <t>Aug 04, 2017 09:54 AM</t>
  </si>
  <si>
    <t>Sau Lai Wong</t>
  </si>
  <si>
    <t>Aug 04, 2017 10:28 AM</t>
  </si>
  <si>
    <t>Sony Gundati</t>
  </si>
  <si>
    <t>Aug 04, 2017 10:29 AM</t>
  </si>
  <si>
    <t>Aug 04, 2017 10:54 AM</t>
  </si>
  <si>
    <t>Aug 04, 2017 10:55 AM</t>
  </si>
  <si>
    <t>Aug 04, 2017 01:40 PM</t>
  </si>
  <si>
    <t>Siti Mazswati Mazlan</t>
  </si>
  <si>
    <t>Aug 04, 2017 02:36 PM</t>
  </si>
  <si>
    <t>Tamilchalvie S</t>
  </si>
  <si>
    <t>Aug 04, 2017 02:37 PM</t>
  </si>
  <si>
    <t>Aug 04, 2017 02:39 PM</t>
  </si>
  <si>
    <t>Aug 04, 2017 02:40 PM</t>
  </si>
  <si>
    <t>Aug 04, 2017 02:43 PM</t>
  </si>
  <si>
    <t>Aug 04, 2017 02:52 PM</t>
  </si>
  <si>
    <t>Aug 04, 2017 02:53 PM</t>
  </si>
  <si>
    <t>Aug 04, 2017 04:04 PM</t>
  </si>
  <si>
    <t>Siti Mardina Maiman</t>
  </si>
  <si>
    <t>Aug 04, 2017 04:05 PM</t>
  </si>
  <si>
    <t>Aug 04, 2017 05:11 PM</t>
  </si>
  <si>
    <t>Aug 04, 2017 05:55 PM</t>
  </si>
  <si>
    <t>Aug 04, 2017 05:56 PM</t>
  </si>
  <si>
    <t>Aug 04, 2017 05:57 PM</t>
  </si>
  <si>
    <t>Aug 05, 2017 06:22 AM</t>
  </si>
  <si>
    <t>Sok Hiang Jolene Guek</t>
  </si>
  <si>
    <t>Aug 05, 2017 06:23 AM</t>
  </si>
  <si>
    <t>Aug 05, 2017 03:07 PM</t>
  </si>
  <si>
    <t>Aug 05, 2017 03:47 PM</t>
  </si>
  <si>
    <t>Aug 05, 2017 03:48 PM</t>
  </si>
  <si>
    <t>Aug 05, 2017 05:35 PM</t>
  </si>
  <si>
    <t>Aug 05, 2017 05:50 PM</t>
  </si>
  <si>
    <t>Dr Kalki</t>
  </si>
  <si>
    <t>Aug 05, 2017 07:21 PM</t>
  </si>
  <si>
    <t>Aug 05, 2017 07:22 PM</t>
  </si>
  <si>
    <t>Aug 05, 2017 08:26 PM</t>
  </si>
  <si>
    <t>Hazel Manon Mani</t>
  </si>
  <si>
    <t>Aug 05, 2017 09:31 PM</t>
  </si>
  <si>
    <t>Pei San Lee</t>
  </si>
  <si>
    <t>Aug 05, 2017 09:33 PM</t>
  </si>
  <si>
    <t>Aug 05, 2017 09:47 PM</t>
  </si>
  <si>
    <t>Aug 06, 2017 07:06 AM</t>
  </si>
  <si>
    <t>Aug 06, 2017 07:07 AM</t>
  </si>
  <si>
    <t>Aug 06, 2017 12:23 PM</t>
  </si>
  <si>
    <t>Aug 06, 2017 12:25 PM</t>
  </si>
  <si>
    <t>Aug 06, 2017 12:26 PM</t>
  </si>
  <si>
    <t>Aug 06, 2017 03:39 PM</t>
  </si>
  <si>
    <t>Elaine Lee May Lin Lin</t>
  </si>
  <si>
    <t>Aug 06, 2017 03:40 PM</t>
  </si>
  <si>
    <t>Aug 06, 2017 07:34 PM</t>
  </si>
  <si>
    <t>Dr Loo Kok Pang</t>
  </si>
  <si>
    <t>Aug 06, 2017 07:48 PM</t>
  </si>
  <si>
    <t>Nur Sukarti Mostafa B Abdollah</t>
  </si>
  <si>
    <t>Aug 07, 2017 11:17 AM</t>
  </si>
  <si>
    <t>Xiao Zhang</t>
  </si>
  <si>
    <t>Aug 07, 2017 11:18 AM</t>
  </si>
  <si>
    <t>Aug 07, 2017 11:19 AM</t>
  </si>
  <si>
    <t>Aug 07, 2017 11:37 AM</t>
  </si>
  <si>
    <t>Aug 07, 2017 11:38 AM</t>
  </si>
  <si>
    <t>Aug 07, 2017 11:43 AM</t>
  </si>
  <si>
    <t>Aug 07, 2017 11:44 AM</t>
  </si>
  <si>
    <t>Aug 07, 2017 11:45 AM</t>
  </si>
  <si>
    <t>Aug 07, 2017 12:22 PM</t>
  </si>
  <si>
    <t>HCA Chew</t>
  </si>
  <si>
    <t>Did not handrub after touching cardiac table when serving lunch</t>
  </si>
  <si>
    <t>Aug 07, 2017 12:24 PM</t>
  </si>
  <si>
    <t>Aug 07, 2017 12:26 PM</t>
  </si>
  <si>
    <t>Aug 07, 2017 12:27 PM</t>
  </si>
  <si>
    <t>Helmi</t>
  </si>
  <si>
    <t>Aug 07, 2017 12:28 PM</t>
  </si>
  <si>
    <t>Aug 07, 2017 01:01 PM</t>
  </si>
  <si>
    <t>Yoke Chin Teo</t>
  </si>
  <si>
    <t>Aug 07, 2017 01:02 PM</t>
  </si>
  <si>
    <t>Aug 07, 2017 01:26 PM</t>
  </si>
  <si>
    <t>Puspa Devi D/O Ramparch</t>
  </si>
  <si>
    <t>Aug 07, 2017 01:27 PM</t>
  </si>
  <si>
    <t>Aug 07, 2017 01:42 PM</t>
  </si>
  <si>
    <t>Siti Amalina Kasan</t>
  </si>
  <si>
    <t>Aug 07, 2017 02:14 PM</t>
  </si>
  <si>
    <t>Aug 07, 2017 02:29 PM</t>
  </si>
  <si>
    <t>Amira ismail</t>
  </si>
  <si>
    <t>Aug 07, 2017 02:44 PM</t>
  </si>
  <si>
    <t>Suhaida ramli</t>
  </si>
  <si>
    <t>Aug 07, 2017 02:45 PM</t>
  </si>
  <si>
    <t>Jackelyn Gardoque Uy</t>
  </si>
  <si>
    <t>Aug 07, 2017 02:46 PM</t>
  </si>
  <si>
    <t>Kalawathy A</t>
  </si>
  <si>
    <t>Aug 07, 2017 02:47 PM</t>
  </si>
  <si>
    <t>Phuspa SEN</t>
  </si>
  <si>
    <t>Aug 07, 2017 02:48 PM</t>
  </si>
  <si>
    <t>Chan elaine</t>
  </si>
  <si>
    <t>Aug 07, 2017 02:52 PM</t>
  </si>
  <si>
    <t>Aug 07, 2017 02:53 PM</t>
  </si>
  <si>
    <t>Noraidah abu bakar</t>
  </si>
  <si>
    <t>Aug 07, 2017 03:37 PM</t>
  </si>
  <si>
    <t>Zheng Jia Hua</t>
  </si>
  <si>
    <t>Aug 07, 2017 03:38 PM</t>
  </si>
  <si>
    <t>Aug 07, 2017 03:50 PM</t>
  </si>
  <si>
    <t>Aug 07, 2017 03:51 PM</t>
  </si>
  <si>
    <t>Aug 07, 2017 04:47 PM</t>
  </si>
  <si>
    <t>Aug 07, 2017 07:12 PM</t>
  </si>
  <si>
    <t>Aug 07, 2017 09:07 PM</t>
  </si>
  <si>
    <t>Aug 07, 2017 09:32 PM</t>
  </si>
  <si>
    <t>Aug 08, 2017 11:18 AM</t>
  </si>
  <si>
    <t>Dr Lim Chee Hooi</t>
  </si>
  <si>
    <t>Aug 08, 2017 11:19 AM</t>
  </si>
  <si>
    <t>Aug 08, 2017 01:56 PM</t>
  </si>
  <si>
    <t>Virginia Jr Abano Sy</t>
  </si>
  <si>
    <t>Aug 08, 2017 01:58 PM</t>
  </si>
  <si>
    <t>Aug 08, 2017 02:00 PM</t>
  </si>
  <si>
    <t>Aug 08, 2017 02:02 PM</t>
  </si>
  <si>
    <t>Guifen Lynette Lin</t>
  </si>
  <si>
    <t>Aug 08, 2017 02:03 PM</t>
  </si>
  <si>
    <t>Aug 08, 2017 02:19 PM</t>
  </si>
  <si>
    <t>Aug 08, 2017 02:20 PM</t>
  </si>
  <si>
    <t>Aug 08, 2017 02:28 PM</t>
  </si>
  <si>
    <t>Student</t>
  </si>
  <si>
    <t>Aug 08, 2017 02:29 PM</t>
  </si>
  <si>
    <t>Farlin Abdur Rahman Abdullah</t>
  </si>
  <si>
    <t>Azizah</t>
  </si>
  <si>
    <t>Khatimah</t>
  </si>
  <si>
    <t>Aug 08, 2017 02:30 PM</t>
  </si>
  <si>
    <t>Aug 08, 2017 02:31 PM</t>
  </si>
  <si>
    <t>Datchayini</t>
  </si>
  <si>
    <t>Aug 08, 2017 02:32 PM</t>
  </si>
  <si>
    <t>Alice teo</t>
  </si>
  <si>
    <t>Aug 08, 2017 03:21 PM</t>
  </si>
  <si>
    <t>Shen jing</t>
  </si>
  <si>
    <t>Aug 08, 2017 03:24 PM</t>
  </si>
  <si>
    <t>Ong li li</t>
  </si>
  <si>
    <t>Aug 08, 2017 03:27 PM</t>
  </si>
  <si>
    <t>Nur Adilah Ismail</t>
  </si>
  <si>
    <t>She able to list out the 5 moments of hand hygiene</t>
  </si>
  <si>
    <t>Lam yin lin</t>
  </si>
  <si>
    <t>Able to list the 5 moments of hand hygiene.</t>
  </si>
  <si>
    <t>Aug 08, 2017 03:31 PM</t>
  </si>
  <si>
    <t>Letchumi</t>
  </si>
  <si>
    <t>Aug 08, 2017 03:34 PM</t>
  </si>
  <si>
    <t>Mangaikarasi Sunderajoo</t>
  </si>
  <si>
    <t>Kannagi</t>
  </si>
  <si>
    <t>Aug 08, 2017 03:36 PM</t>
  </si>
  <si>
    <t>ONG LI LI</t>
  </si>
  <si>
    <t>SHENG JING</t>
  </si>
  <si>
    <t>Aug 08, 2017 03:38 PM</t>
  </si>
  <si>
    <t>Nur Adilah</t>
  </si>
  <si>
    <t>Aug 08, 2017 03:39 PM</t>
  </si>
  <si>
    <t>Lam Yin Lin</t>
  </si>
  <si>
    <t>Aug 08, 2017 03:40 PM</t>
  </si>
  <si>
    <t>Aug 08, 2017 03:44 PM</t>
  </si>
  <si>
    <t>Aug 08, 2017 03:49 PM</t>
  </si>
  <si>
    <t>Jackie Tey</t>
  </si>
  <si>
    <t>Aug 08, 2017 03:52 PM</t>
  </si>
  <si>
    <t>Gavin</t>
  </si>
  <si>
    <t>Aug 08, 2017 05:47 PM</t>
  </si>
  <si>
    <t>Neo Ah Hoe</t>
  </si>
  <si>
    <t>Aug 08, 2017 05:48 PM</t>
  </si>
  <si>
    <t>Aug 08, 2017 05:49 PM</t>
  </si>
  <si>
    <t>Aug 08, 2017 05:50 PM</t>
  </si>
  <si>
    <t>Aug 08, 2017 06:17 PM</t>
  </si>
  <si>
    <t>Puay Chen Chew</t>
  </si>
  <si>
    <t>Aug 08, 2017 06:18 PM</t>
  </si>
  <si>
    <t>Aug 08, 2017 06:19 PM</t>
  </si>
  <si>
    <t>Aug 08, 2017 06:56 PM</t>
  </si>
  <si>
    <t>Aug 08, 2017 06:57 PM</t>
  </si>
  <si>
    <t>Aug 08, 2017 06:58 PM</t>
  </si>
  <si>
    <t>Aug 09, 2017 06:56 AM</t>
  </si>
  <si>
    <t>Aug 09, 2017 06:57 AM</t>
  </si>
  <si>
    <t>Aug 09, 2017 10:07 AM</t>
  </si>
  <si>
    <t>Aug 09, 2017 10:08 AM</t>
  </si>
  <si>
    <t>Aug 09, 2017 12:14 PM</t>
  </si>
  <si>
    <t>Aug 09, 2017 12:27 PM</t>
  </si>
  <si>
    <t>Alex Lee Wei Hong</t>
  </si>
  <si>
    <t>Aug 09, 2017 12:28 PM</t>
  </si>
  <si>
    <t>Aug 09, 2017 02:33 PM</t>
  </si>
  <si>
    <t>Aug 09, 2017 02:34 PM</t>
  </si>
  <si>
    <t>Aug 09, 2017 02:35 PM</t>
  </si>
  <si>
    <t>Aug 09, 2017 02:46 PM</t>
  </si>
  <si>
    <t>Aug 09, 2017 02:51 PM</t>
  </si>
  <si>
    <t>Aug 09, 2017 02:54 PM</t>
  </si>
  <si>
    <t>Ssn Liu Na. Never wear gloves while clearing linen</t>
  </si>
  <si>
    <t>Aug 09, 2017 02:57 PM</t>
  </si>
  <si>
    <t>Asiah Bte Hassan</t>
  </si>
  <si>
    <t>Aug 09, 2017 02:59 PM</t>
  </si>
  <si>
    <t>Aug 09, 2017 03:00 PM</t>
  </si>
  <si>
    <t>Aug 09, 2017 03:01 PM</t>
  </si>
  <si>
    <t>Aug 09, 2017 03:02 PM</t>
  </si>
  <si>
    <t>Sn m nur imran never handrub  before putting gloves amd after putting on ppe. Mrsa patient</t>
  </si>
  <si>
    <t>Aug 09, 2017 03:03 PM</t>
  </si>
  <si>
    <t>Aug 09, 2017 03:04 PM</t>
  </si>
  <si>
    <t>Aug 09, 2017 03:05 PM</t>
  </si>
  <si>
    <t>Aug 09, 2017 03:07 PM</t>
  </si>
  <si>
    <t>Aug 09, 2017 08:20 PM</t>
  </si>
  <si>
    <t>Aug 09, 2017 08:21 PM</t>
  </si>
  <si>
    <t>Aug 10, 2017 09:53 AM</t>
  </si>
  <si>
    <t>Aug 10, 2017 09:59 AM</t>
  </si>
  <si>
    <t>Aug 10, 2017 10:02 AM</t>
  </si>
  <si>
    <t>Aug 10, 2017 10:03 AM</t>
  </si>
  <si>
    <t>Aug 10, 2017 10:04 AM</t>
  </si>
  <si>
    <t>Aug 10, 2017 10:09 AM</t>
  </si>
  <si>
    <t>Aug 10, 2017 10:11 AM</t>
  </si>
  <si>
    <t>Aug 10, 2017 10:12 AM</t>
  </si>
  <si>
    <t>Aug 10, 2017 10:16 AM</t>
  </si>
  <si>
    <t>Aug 10, 2017 10:17 AM</t>
  </si>
  <si>
    <t>Aug 10, 2017 10:18 AM</t>
  </si>
  <si>
    <t>Aug 10, 2017 10:21 AM</t>
  </si>
  <si>
    <t>Aug 10, 2017 10:22 AM</t>
  </si>
  <si>
    <t>Aug 10, 2017 10:23 AM</t>
  </si>
  <si>
    <t>Aug 10, 2017 10:27 AM</t>
  </si>
  <si>
    <t>Aug 10, 2017 10:36 AM</t>
  </si>
  <si>
    <t>Before examine and touching patient leg and joints</t>
  </si>
  <si>
    <t>Aug 10, 2017 10:37 AM</t>
  </si>
  <si>
    <t>Aug 10, 2017 10:39 AM</t>
  </si>
  <si>
    <t>Aug 10, 2017 10:57 AM</t>
  </si>
  <si>
    <t>Aug 10, 2017 10:59 AM</t>
  </si>
  <si>
    <t>Aug 10, 2017 11:22 AM</t>
  </si>
  <si>
    <t>Kyrene Pizana</t>
  </si>
  <si>
    <t>Aug 10, 2017 12:20 PM</t>
  </si>
  <si>
    <t>Aug 10, 2017 12:21 PM</t>
  </si>
  <si>
    <t>Aug 10, 2017 01:07 PM</t>
  </si>
  <si>
    <t>Chaoqun Li</t>
  </si>
  <si>
    <t>Aug 10, 2017 01:08 PM</t>
  </si>
  <si>
    <t>Aug 10, 2017 01:10 PM</t>
  </si>
  <si>
    <t>Aug 10, 2017 01:11 PM</t>
  </si>
  <si>
    <t>Porter was advised to handrub.</t>
  </si>
  <si>
    <t>Aug 10, 2017 01:12 PM</t>
  </si>
  <si>
    <t>Aug 10, 2017 01:13 PM</t>
  </si>
  <si>
    <t>Soo Liang Lee</t>
  </si>
  <si>
    <t>Yee Leng Mui</t>
  </si>
  <si>
    <t>Aug 10, 2017 01:14 PM</t>
  </si>
  <si>
    <t>Aug 10, 2017 01:20 PM</t>
  </si>
  <si>
    <t>Rahimah</t>
  </si>
  <si>
    <t>Aug 10, 2017 01:21 PM</t>
  </si>
  <si>
    <t>Yee Leng mui</t>
  </si>
  <si>
    <t>Aug 10, 2017 01:24 PM</t>
  </si>
  <si>
    <t>Aug 10, 2017 01:41 PM</t>
  </si>
  <si>
    <t>Aug 10, 2017 01:57 PM</t>
  </si>
  <si>
    <t>Farhana Izyan Bte Mohamad Ridzal</t>
  </si>
  <si>
    <t>Aug 10, 2017 01:58 PM</t>
  </si>
  <si>
    <t>Aug 10, 2017 02:29 PM</t>
  </si>
  <si>
    <t>Janet Khoo</t>
  </si>
  <si>
    <t>Aug 10, 2017 02:32 PM</t>
  </si>
  <si>
    <t>Aug 10, 2017 02:33 PM</t>
  </si>
  <si>
    <t>Aug 10, 2017 02:35 PM</t>
  </si>
  <si>
    <t>Aug 10, 2017 02:39 PM</t>
  </si>
  <si>
    <t>Aug 10, 2017 02:40 PM</t>
  </si>
  <si>
    <t>Aug 10, 2017 02:59 PM</t>
  </si>
  <si>
    <t>Pei Yun Geraldine Lim</t>
  </si>
  <si>
    <t>Aug 10, 2017 03:00 PM</t>
  </si>
  <si>
    <t>Aug 10, 2017 03:01 PM</t>
  </si>
  <si>
    <t>Vir Kaur</t>
  </si>
  <si>
    <t>Aug 10, 2017 03:02 PM</t>
  </si>
  <si>
    <t>Li Nou</t>
  </si>
  <si>
    <t>Aug 10, 2017 03:04 PM</t>
  </si>
  <si>
    <t>Sabariah</t>
  </si>
  <si>
    <t>Aug 10, 2017 03:05 PM</t>
  </si>
  <si>
    <t>Shahireh</t>
  </si>
  <si>
    <t>Aug 10, 2017 03:06 PM</t>
  </si>
  <si>
    <t>SabRiah</t>
  </si>
  <si>
    <t>Aug 10, 2017 03:09 PM</t>
  </si>
  <si>
    <t>Linuo</t>
  </si>
  <si>
    <t>Aug 10, 2017 03:10 PM</t>
  </si>
  <si>
    <t>Aug 10, 2017 03:11 PM</t>
  </si>
  <si>
    <t>Ainul</t>
  </si>
  <si>
    <t>Aug 10, 2017 03:12 PM</t>
  </si>
  <si>
    <t>Aug 10, 2017 03:13 PM</t>
  </si>
  <si>
    <t xml:space="preserve"> Mazuin Binte Maat</t>
  </si>
  <si>
    <t>Aug 10, 2017 03:14 PM</t>
  </si>
  <si>
    <t>Aug 10, 2017 03:22 PM</t>
  </si>
  <si>
    <t>Yap</t>
  </si>
  <si>
    <t>Aug 10, 2017 03:36 PM</t>
  </si>
  <si>
    <t>Zalina</t>
  </si>
  <si>
    <t>Aug 10, 2017 03:37 PM</t>
  </si>
  <si>
    <t>Lim CK</t>
  </si>
  <si>
    <t>Aug 10, 2017 03:38 PM</t>
  </si>
  <si>
    <t>Pharmacy</t>
  </si>
  <si>
    <t>Aug 10, 2017 03:42 PM</t>
  </si>
  <si>
    <t>Elanor</t>
  </si>
  <si>
    <t>Aug 10, 2017 03:43 PM</t>
  </si>
  <si>
    <t>Noor</t>
  </si>
  <si>
    <t>Aug 10, 2017 04:06 PM</t>
  </si>
  <si>
    <t>Aug 10, 2017 04:07 PM</t>
  </si>
  <si>
    <t>Aug 10, 2017 04:49 PM</t>
  </si>
  <si>
    <t>Aug 10, 2017 05:17 PM</t>
  </si>
  <si>
    <t>Aug 10, 2017 05:18 PM</t>
  </si>
  <si>
    <t>Aug 10, 2017 05:19 PM</t>
  </si>
  <si>
    <t>Aug 10, 2017 05:20 PM</t>
  </si>
  <si>
    <t>Aug 10, 2017 06:22 PM</t>
  </si>
  <si>
    <t>Nurlizah Samat</t>
  </si>
  <si>
    <t>Aug 10, 2017 07:15 PM</t>
  </si>
  <si>
    <t>Habibah Abdul</t>
  </si>
  <si>
    <t>Aug 10, 2017 08:46 PM</t>
  </si>
  <si>
    <t>Aileen Marie Mendez Abad</t>
  </si>
  <si>
    <t>Aug 10, 2017 08:48 PM</t>
  </si>
  <si>
    <t>Aug 10, 2017 08:49 PM</t>
  </si>
  <si>
    <t>Aug 11, 2017 04:27 AM</t>
  </si>
  <si>
    <t>Aug 11, 2017 07:20 AM</t>
  </si>
  <si>
    <t>Yen Yee Teo</t>
  </si>
  <si>
    <t>Aug 11, 2017 07:21 AM</t>
  </si>
  <si>
    <t>Aug 11, 2017 07:22 AM</t>
  </si>
  <si>
    <t>Aug 11, 2017 08:11 AM</t>
  </si>
  <si>
    <t>Joanne See Mun Cheong</t>
  </si>
  <si>
    <t>Aug 11, 2017 08:12 AM</t>
  </si>
  <si>
    <t>Aug 11, 2017 08:13 AM</t>
  </si>
  <si>
    <t>Aug 11, 2017 08:28 AM</t>
  </si>
  <si>
    <t>Aug 11, 2017 10:42 AM</t>
  </si>
  <si>
    <t>Shijing Ma</t>
  </si>
  <si>
    <t>Aug 11, 2017 10:43 AM</t>
  </si>
  <si>
    <t>Aug 11, 2017 10:57 AM</t>
  </si>
  <si>
    <t>Ying Hao Loy</t>
  </si>
  <si>
    <t>Aug 11, 2017 10:58 AM</t>
  </si>
  <si>
    <t>Aug 11, 2017 10:59 AM</t>
  </si>
  <si>
    <t>Aug 11, 2017 11:00 AM</t>
  </si>
  <si>
    <t>Aug 11, 2017 11:03 AM</t>
  </si>
  <si>
    <t>Khadijah Hussien</t>
  </si>
  <si>
    <t>Aug 11, 2017 11:09 AM</t>
  </si>
  <si>
    <t>Janet Fung</t>
  </si>
  <si>
    <t>Aug 11, 2017 11:12 AM</t>
  </si>
  <si>
    <t>ISS porter noted Mr Ang Long Beng</t>
  </si>
  <si>
    <t>Aug 11, 2017 11:17 AM</t>
  </si>
  <si>
    <t>Aug 11, 2017 01:17 PM</t>
  </si>
  <si>
    <t>Aug 11, 2017 01:18 PM</t>
  </si>
  <si>
    <t>Aug 11, 2017 01:19 PM</t>
  </si>
  <si>
    <t>Aug 11, 2017 02:59 PM</t>
  </si>
  <si>
    <t>Aug 11, 2017 03:00 PM</t>
  </si>
  <si>
    <t>Aug 11, 2017 03:01 PM</t>
  </si>
  <si>
    <t>Aug 11, 2017 03:05 PM</t>
  </si>
  <si>
    <t>Aug 11, 2017 03:06 PM</t>
  </si>
  <si>
    <t>Aug 11, 2017 03:07 PM</t>
  </si>
  <si>
    <t>Aug 11, 2017 03:56 PM</t>
  </si>
  <si>
    <t>Aug 11, 2017 03:58 PM</t>
  </si>
  <si>
    <t>Aug 11, 2017 04:03 PM</t>
  </si>
  <si>
    <t>Aug 11, 2017 04:06 PM</t>
  </si>
  <si>
    <t>Aug 11, 2017 04:07 PM</t>
  </si>
  <si>
    <t>Aug 11, 2017 04:38 PM</t>
  </si>
  <si>
    <t>Dewi Hafifah Bashri</t>
  </si>
  <si>
    <t>Tan boon hian</t>
  </si>
  <si>
    <t>Farhati</t>
  </si>
  <si>
    <t>Aug 11, 2017 04:39 PM</t>
  </si>
  <si>
    <t>Mangai</t>
  </si>
  <si>
    <t>Felina</t>
  </si>
  <si>
    <t>Aug 11, 2017 09:27 PM</t>
  </si>
  <si>
    <t>Nur Saidah Mohamed Saini</t>
  </si>
  <si>
    <t>Aug 12, 2017 02:12 PM</t>
  </si>
  <si>
    <t>Aug 12, 2017 02:59 PM</t>
  </si>
  <si>
    <t>Aug 12, 2017 03:02 PM</t>
  </si>
  <si>
    <t>Aug 12, 2017 11:49 PM</t>
  </si>
  <si>
    <t>Aug 12, 2017 11:50 PM</t>
  </si>
  <si>
    <t>Aug 13, 2017 08:07 AM</t>
  </si>
  <si>
    <t>Aug 13, 2017 08:23 AM</t>
  </si>
  <si>
    <t>Aug 13, 2017 11:04 AM</t>
  </si>
  <si>
    <t>No HH before wearing gown and gloves</t>
  </si>
  <si>
    <t>Aug 13, 2017 11:05 AM</t>
  </si>
  <si>
    <t>Aug 13, 2017 11:06 AM</t>
  </si>
  <si>
    <t>Aug 13, 2017 02:06 PM</t>
  </si>
  <si>
    <t>Aug 14, 2017 02:23 PM</t>
  </si>
  <si>
    <t>Nuo Li</t>
  </si>
  <si>
    <t>Aug 14, 2017 02:25 PM</t>
  </si>
  <si>
    <t>Aug 14, 2017 02:27 PM</t>
  </si>
  <si>
    <t>Aug 14, 2017 02:28 PM</t>
  </si>
  <si>
    <t>Aug 14, 2017 02:37 PM</t>
  </si>
  <si>
    <t>Aug 14, 2017 02:40 PM</t>
  </si>
  <si>
    <t>Aug 14, 2017 02:42 PM</t>
  </si>
  <si>
    <t>Aug 14, 2017 02:45 PM</t>
  </si>
  <si>
    <t>Aug 14, 2017 02:46 PM</t>
  </si>
  <si>
    <t>Aug 14, 2017 04:25 PM</t>
  </si>
  <si>
    <t>Aug 14, 2017 04:33 PM</t>
  </si>
  <si>
    <t>Aug 14, 2017 04:34 PM</t>
  </si>
  <si>
    <t>Aug 14, 2017 04:47 PM</t>
  </si>
  <si>
    <t>Aug 14, 2017 04:55 PM</t>
  </si>
  <si>
    <t>Aug 14, 2017 09:18 PM</t>
  </si>
  <si>
    <t>Aug 14, 2017 09:19 PM</t>
  </si>
  <si>
    <t>Aug 14, 2017 11:14 PM</t>
  </si>
  <si>
    <t>Winnie Ong</t>
  </si>
  <si>
    <t>Aug 14, 2017 11:15 PM</t>
  </si>
  <si>
    <t>Aug 14, 2017 11:17 PM</t>
  </si>
  <si>
    <t>Dr Goh Zhao Jing</t>
  </si>
  <si>
    <t>Did not hand rub after removing gloves</t>
  </si>
  <si>
    <t>Aug 15, 2017 08:48 AM</t>
  </si>
  <si>
    <t>Aug 15, 2017 08:49 AM</t>
  </si>
  <si>
    <t>Aug 15, 2017 09:06 AM</t>
  </si>
  <si>
    <t>Rosliah Jufri</t>
  </si>
  <si>
    <t>Aug 15, 2017 09:08 AM</t>
  </si>
  <si>
    <t>Aug 15, 2017 09:09 AM</t>
  </si>
  <si>
    <t>Aug 15, 2017 09:16 AM</t>
  </si>
  <si>
    <t>Chee Woei Lee</t>
  </si>
  <si>
    <t>Aug 15, 2017 09:19 AM</t>
  </si>
  <si>
    <t>ITE student Jayanthi Rai</t>
  </si>
  <si>
    <t>Didn't handrub after helping patient dry her hair,proceed to push commode and opened the dirty utility room door.</t>
  </si>
  <si>
    <t>Aug 15, 2017 09:22 AM</t>
  </si>
  <si>
    <t>Aug 15, 2017 09:23 AM</t>
  </si>
  <si>
    <t>Aug 15, 2017 09:56 AM</t>
  </si>
  <si>
    <t>Aug 15, 2017 10:04 AM</t>
  </si>
  <si>
    <t>Aug 15, 2017 10:05 AM</t>
  </si>
  <si>
    <t>Aug 15, 2017 10:08 AM</t>
  </si>
  <si>
    <t>Aug 15, 2017 10:13 AM</t>
  </si>
  <si>
    <t>Aug 15, 2017 10:37 AM</t>
  </si>
  <si>
    <t>Sri Farhanisah Mohd Yazid</t>
  </si>
  <si>
    <t>Aug 15, 2017 10:39 AM</t>
  </si>
  <si>
    <t>Aug 15, 2017 10:46 AM</t>
  </si>
  <si>
    <t>Aug 15, 2017 10:48 AM</t>
  </si>
  <si>
    <t>Aug 15, 2017 10:52 AM</t>
  </si>
  <si>
    <t>Aug 15, 2017 10:53 AM</t>
  </si>
  <si>
    <t>Aug 15, 2017 10:54 AM</t>
  </si>
  <si>
    <t>Jia Hui Sim</t>
  </si>
  <si>
    <t>Aug 15, 2017 10:55 AM</t>
  </si>
  <si>
    <t>Aug 15, 2017 10:56 AM</t>
  </si>
  <si>
    <t>Aug 15, 2017 10:57 AM</t>
  </si>
  <si>
    <t>Aug 15, 2017 10:58 AM</t>
  </si>
  <si>
    <t>Aug 15, 2017 11:04 AM</t>
  </si>
  <si>
    <t>Aug 15, 2017 11:09 AM</t>
  </si>
  <si>
    <t>Aug 15, 2017 11:10 AM</t>
  </si>
  <si>
    <t>Aug 15, 2017 11:11 AM</t>
  </si>
  <si>
    <t>Aug 15, 2017 11:12 AM</t>
  </si>
  <si>
    <t>Aug 15, 2017 11:21 AM</t>
  </si>
  <si>
    <t>Aug 15, 2017 11:23 AM</t>
  </si>
  <si>
    <t>Aug 15, 2017 11:26 AM</t>
  </si>
  <si>
    <t>Aug 15, 2017 12:52 PM</t>
  </si>
  <si>
    <t>Aug 15, 2017 12:53 PM</t>
  </si>
  <si>
    <t>Aug 15, 2017 02:31 PM</t>
  </si>
  <si>
    <t>Aug 15, 2017 02:32 PM</t>
  </si>
  <si>
    <t>Aug 15, 2017 02:33 PM</t>
  </si>
  <si>
    <t>Aug 15, 2017 02:48 PM</t>
  </si>
  <si>
    <t>Aug 15, 2017 02:49 PM</t>
  </si>
  <si>
    <t>Aug 15, 2017 02:50 PM</t>
  </si>
  <si>
    <t>Aug 15, 2017 02:51 PM</t>
  </si>
  <si>
    <t>Aug 15, 2017 03:01 PM</t>
  </si>
  <si>
    <t>Aug 15, 2017 03:02 PM</t>
  </si>
  <si>
    <t>Aug 15, 2017 03:03 PM</t>
  </si>
  <si>
    <t>Aug 15, 2017 04:01 PM</t>
  </si>
  <si>
    <t>Nor Shaliza Ahmad</t>
  </si>
  <si>
    <t>Aug 15, 2017 08:20 PM</t>
  </si>
  <si>
    <t>Ying Li</t>
  </si>
  <si>
    <t>Aug 16, 2017 10:35 AM</t>
  </si>
  <si>
    <t>Tay Yih Yann</t>
  </si>
  <si>
    <t>Aug 16, 2017 10:36 AM</t>
  </si>
  <si>
    <t>Aug 16, 2017 10:37 AM</t>
  </si>
  <si>
    <t>Dr Koh</t>
  </si>
  <si>
    <t>Aug 16, 2017 10:38 AM</t>
  </si>
  <si>
    <t>Aug 16, 2017 10:39 AM</t>
  </si>
  <si>
    <t>Aug 16, 2017 10:41 AM</t>
  </si>
  <si>
    <t>Dr Lee Han Yi</t>
  </si>
  <si>
    <t>Aug 16, 2017 10:42 AM</t>
  </si>
  <si>
    <t>Aug 16, 2017 10:43 AM</t>
  </si>
  <si>
    <t>Aug 16, 2017 12:46 PM</t>
  </si>
  <si>
    <t>Loh Khuan Tai</t>
  </si>
  <si>
    <t>Aug 16, 2017 12:47 PM</t>
  </si>
  <si>
    <t>Aug 16, 2017 12:48 PM</t>
  </si>
  <si>
    <t>Aug 16, 2017 12:49 PM</t>
  </si>
  <si>
    <t>Aug 16, 2017 02:32 PM</t>
  </si>
  <si>
    <t>Nurul Huda Kamaruzaman</t>
  </si>
  <si>
    <t>Aug 16, 2017 02:33 PM</t>
  </si>
  <si>
    <t>Aug 16, 2017 02:35 PM</t>
  </si>
  <si>
    <t>Aug 16, 2017 02:36 PM</t>
  </si>
  <si>
    <t>Aug 16, 2017 02:40 PM</t>
  </si>
  <si>
    <t>Aug 16, 2017 02:41 PM</t>
  </si>
  <si>
    <t>Aug 16, 2017 05:39 PM</t>
  </si>
  <si>
    <t>Aug 16, 2017 05:40 PM</t>
  </si>
  <si>
    <t>Aug 16, 2017 05:44 PM</t>
  </si>
  <si>
    <t>Housekeeping Vasuki</t>
  </si>
  <si>
    <t>Using same cleaning cloth to clean cardiac tables, bedrail and patient's drawer.</t>
  </si>
  <si>
    <t>Aug 16, 2017 06:01 PM</t>
  </si>
  <si>
    <t>Maricris</t>
  </si>
  <si>
    <t>Touch curtain did not handrub then clean Dinamap</t>
  </si>
  <si>
    <t>Aug 17, 2017 05:54 AM</t>
  </si>
  <si>
    <t>Aug 17, 2017 05:55 AM</t>
  </si>
  <si>
    <t>Aug 17, 2017 09:19 AM</t>
  </si>
  <si>
    <t>Lilybeth Bulusan Kaliswaran</t>
  </si>
  <si>
    <t>Aug 17, 2017 09:21 AM</t>
  </si>
  <si>
    <t>Aug 17, 2017 09:25 AM</t>
  </si>
  <si>
    <t>Aug 17, 2017 09:26 AM</t>
  </si>
  <si>
    <t>SN WU Ting Ting</t>
  </si>
  <si>
    <t>Aug 17, 2017 09:27 AM</t>
  </si>
  <si>
    <t>Teo peng hock</t>
  </si>
  <si>
    <t>Aug 17, 2017 09:28 AM</t>
  </si>
  <si>
    <t>Aug 17, 2017 09:29 AM</t>
  </si>
  <si>
    <t>Aug 17, 2017 10:09 AM</t>
  </si>
  <si>
    <t>Aug 17, 2017 10:10 AM</t>
  </si>
  <si>
    <t>Suprati</t>
  </si>
  <si>
    <t>Fannie Delos Santos</t>
  </si>
  <si>
    <t>Aug 17, 2017 10:11 AM</t>
  </si>
  <si>
    <t>Vijay</t>
  </si>
  <si>
    <t>Aug 17, 2017 10:12 AM</t>
  </si>
  <si>
    <t>Aug 17, 2017 10:13 AM</t>
  </si>
  <si>
    <t>Aug 17, 2017 10:14 AM</t>
  </si>
  <si>
    <t>Aug 17, 2017 10:16 AM</t>
  </si>
  <si>
    <t>Aug 17, 2017 10:17 AM</t>
  </si>
  <si>
    <t>Staff after touching patient remove gloves did not do hand hygiene and went to other side of OT.</t>
  </si>
  <si>
    <t>Aug 17, 2017 10:18 AM</t>
  </si>
  <si>
    <t>Aug 17, 2017 10:39 AM</t>
  </si>
  <si>
    <t>Aug 17, 2017 10:40 AM</t>
  </si>
  <si>
    <t>Law</t>
  </si>
  <si>
    <t>Aug 17, 2017 10:42 AM</t>
  </si>
  <si>
    <t>Aug 17, 2017 10:43 AM</t>
  </si>
  <si>
    <t>Lae</t>
  </si>
  <si>
    <t>Aug 17, 2017 10:45 AM</t>
  </si>
  <si>
    <t>Aug 17, 2017 11:01 AM</t>
  </si>
  <si>
    <t>Aug 17, 2017 11:11 AM</t>
  </si>
  <si>
    <t>Surgical</t>
  </si>
  <si>
    <t>Aug 17, 2017 11:16 AM</t>
  </si>
  <si>
    <t>Aug 17, 2017 11:47 AM</t>
  </si>
  <si>
    <t>Aug 17, 2017 01:38 PM</t>
  </si>
  <si>
    <t>Aug 17, 2017 01:59 PM</t>
  </si>
  <si>
    <t>Aug 17, 2017 02:00 PM</t>
  </si>
  <si>
    <t>Aug 17, 2017 02:01 PM</t>
  </si>
  <si>
    <t>Aug 17, 2017 02:22 PM</t>
  </si>
  <si>
    <t>Wan Jun Wong</t>
  </si>
  <si>
    <t>Aug 17, 2017 02:23 PM</t>
  </si>
  <si>
    <t>Aug 17, 2017 02:25 PM</t>
  </si>
  <si>
    <t>Aug 17, 2017 03:00 PM</t>
  </si>
  <si>
    <t>Aug 17, 2017 03:02 PM</t>
  </si>
  <si>
    <t>Aug 17, 2017 03:10 PM</t>
  </si>
  <si>
    <t>Aug 17, 2017 03:11 PM</t>
  </si>
  <si>
    <t>Aug 17, 2017 03:12 PM</t>
  </si>
  <si>
    <t>Aug 17, 2017 03:13 PM</t>
  </si>
  <si>
    <t>Aug 17, 2017 03:16 PM</t>
  </si>
  <si>
    <t>Aug 17, 2017 03:17 PM</t>
  </si>
  <si>
    <t>Aug 17, 2017 03:18 PM</t>
  </si>
  <si>
    <t>Aug 17, 2017 03:19 PM</t>
  </si>
  <si>
    <t>Aug 17, 2017 03:21 PM</t>
  </si>
  <si>
    <t>Aug 17, 2017 03:22 PM</t>
  </si>
  <si>
    <t>Aug 17, 2017 03:23 PM</t>
  </si>
  <si>
    <t>Aug 17, 2017 03:24 PM</t>
  </si>
  <si>
    <t>Aug 17, 2017 03:25 PM</t>
  </si>
  <si>
    <t>Aug 17, 2017 03:28 PM</t>
  </si>
  <si>
    <t>Aug 17, 2017 03:29 PM</t>
  </si>
  <si>
    <t>Aug 17, 2017 03:34 PM</t>
  </si>
  <si>
    <t>Aug 17, 2017 03:35 PM</t>
  </si>
  <si>
    <t>Aug 17, 2017 04:17 PM</t>
  </si>
  <si>
    <t>Aug 17, 2017 04:18 PM</t>
  </si>
  <si>
    <t>Aug 17, 2017 04:30 PM</t>
  </si>
  <si>
    <t>Aug 17, 2017 04:31 PM</t>
  </si>
  <si>
    <t>Aug 17, 2017 04:32 PM</t>
  </si>
  <si>
    <t>Aug 17, 2017 04:51 PM</t>
  </si>
  <si>
    <t>Aug 17, 2017 05:13 PM</t>
  </si>
  <si>
    <t>Aug 17, 2017 06:05 PM</t>
  </si>
  <si>
    <t>Vasuki Pillay</t>
  </si>
  <si>
    <t>Aug 17, 2017 06:06 PM</t>
  </si>
  <si>
    <t>Aug 17, 2017 06:07 PM</t>
  </si>
  <si>
    <t>Aug 17, 2017 08:20 PM</t>
  </si>
  <si>
    <t>Aug 17, 2017 08:21 PM</t>
  </si>
  <si>
    <t>Aug 17, 2017 08:30 PM</t>
  </si>
  <si>
    <t>Aug 17, 2017 08:38 PM</t>
  </si>
  <si>
    <t>Aug 17, 2017 08:39 PM</t>
  </si>
  <si>
    <t>Aug 17, 2017 10:57 PM</t>
  </si>
  <si>
    <t>Aug 17, 2017 10:58 PM</t>
  </si>
  <si>
    <t>Aug 17, 2017 11:00 PM</t>
  </si>
  <si>
    <t>Aug 17, 2017 11:28 PM</t>
  </si>
  <si>
    <t>Aug 18, 2017 08:28 AM</t>
  </si>
  <si>
    <t>Juweita Arbain</t>
  </si>
  <si>
    <t>Aug 18, 2017 08:29 AM</t>
  </si>
  <si>
    <t>Aug 18, 2017 10:10 AM</t>
  </si>
  <si>
    <t>Aug 18, 2017 10:11 AM</t>
  </si>
  <si>
    <t>Aug 18, 2017 11:07 AM</t>
  </si>
  <si>
    <t>Xin Jie Soh</t>
  </si>
  <si>
    <t>Aug 18, 2017 11:08 AM</t>
  </si>
  <si>
    <t>Aug 18, 2017 11:17 AM</t>
  </si>
  <si>
    <t>Aug 18, 2017 11:25 AM</t>
  </si>
  <si>
    <t>Aug 18, 2017 11:34 AM</t>
  </si>
  <si>
    <t>Aug 18, 2017 11:36 AM</t>
  </si>
  <si>
    <t>Aug 18, 2017 11:50 AM</t>
  </si>
  <si>
    <t>Aug 18, 2017 11:56 AM</t>
  </si>
  <si>
    <t>Aug 18, 2017 12:01 PM</t>
  </si>
  <si>
    <t>Aug 18, 2017 12:14 PM</t>
  </si>
  <si>
    <t>Aug 18, 2017 03:13 PM</t>
  </si>
  <si>
    <t>Aug 18, 2017 03:14 PM</t>
  </si>
  <si>
    <t>Aug 18, 2017 03:15 PM</t>
  </si>
  <si>
    <t>Aug 18, 2017 03:16 PM</t>
  </si>
  <si>
    <t>Aug 18, 2017 03:17 PM</t>
  </si>
  <si>
    <t>Aug 18, 2017 03:18 PM</t>
  </si>
  <si>
    <t>Norsyahida Sapari</t>
  </si>
  <si>
    <t>Shaliza</t>
  </si>
  <si>
    <t>Aug 18, 2017 03:19 PM</t>
  </si>
  <si>
    <t>Aug 18, 2017 03:21 PM</t>
  </si>
  <si>
    <t>Ria</t>
  </si>
  <si>
    <t>Aug 18, 2017 03:23 PM</t>
  </si>
  <si>
    <t>Rames</t>
  </si>
  <si>
    <t>Aug 18, 2017 03:30 PM</t>
  </si>
  <si>
    <t>Li Hua</t>
  </si>
  <si>
    <t>Aug 18, 2017 05:20 PM</t>
  </si>
  <si>
    <t>Charlotte Tan</t>
  </si>
  <si>
    <t>Dr.Jian</t>
  </si>
  <si>
    <t>Aug 18, 2017 05:21 PM</t>
  </si>
  <si>
    <t>Aug 18, 2017 05:23 PM</t>
  </si>
  <si>
    <t>Piriyatharisini</t>
  </si>
  <si>
    <t>Su Hua Jie</t>
  </si>
  <si>
    <t>Aug 18, 2017 05:24 PM</t>
  </si>
  <si>
    <t>Jasper</t>
  </si>
  <si>
    <t>Loh Yiwen</t>
  </si>
  <si>
    <t>Did not hand hygiene after blood culture then touch handphone</t>
  </si>
  <si>
    <t>Aug 18, 2017 05:25 PM</t>
  </si>
  <si>
    <t>Aug 18, 2017 05:26 PM</t>
  </si>
  <si>
    <t>Aug 18, 2017 05:27 PM</t>
  </si>
  <si>
    <t>Aug 18, 2017 05:28 PM</t>
  </si>
  <si>
    <t>Tan Li Kheng</t>
  </si>
  <si>
    <t>SSN Tan Zi Hui</t>
  </si>
  <si>
    <t>Aug 18, 2017 05:29 PM</t>
  </si>
  <si>
    <t>Feng Fangfang</t>
  </si>
  <si>
    <t>Dr Jian</t>
  </si>
  <si>
    <t>NurLiyana</t>
  </si>
  <si>
    <t>Aug 18, 2017 05:30 PM</t>
  </si>
  <si>
    <t>Esther Ng</t>
  </si>
  <si>
    <t>Aug 18, 2017 05:31 PM</t>
  </si>
  <si>
    <t>Aug 18, 2017 05:32 PM</t>
  </si>
  <si>
    <t>Aug 18, 2017 05:33 PM</t>
  </si>
  <si>
    <t>Aug 18, 2017 05:34 PM</t>
  </si>
  <si>
    <t>Aug 18, 2017 05:35 PM</t>
  </si>
  <si>
    <t>Aug 18, 2017 05:38 PM</t>
  </si>
  <si>
    <t>Jocelyn Soh</t>
  </si>
  <si>
    <t>After taking. 10/4 parameter did not handrub touch. 10/2 curtain</t>
  </si>
  <si>
    <t>Aug 18, 2017 06:17 PM</t>
  </si>
  <si>
    <t>Aug 18, 2017 06:18 PM</t>
  </si>
  <si>
    <t>Aug 18, 2017 07:50 PM</t>
  </si>
  <si>
    <t>Aug 18, 2017 10:28 PM</t>
  </si>
  <si>
    <t>Aug 18, 2017 10:29 PM</t>
  </si>
  <si>
    <t>Dr Kenneth  Lee (HO 2)</t>
  </si>
  <si>
    <t>Aug 18, 2017 10:39 PM</t>
  </si>
  <si>
    <t>Aug 19, 2017 08:51 AM</t>
  </si>
  <si>
    <t>Aug 19, 2017 10:37 AM</t>
  </si>
  <si>
    <t>Dong Liping</t>
  </si>
  <si>
    <t>Sim Jiahui</t>
  </si>
  <si>
    <t>Aug 19, 2017 10:38 AM</t>
  </si>
  <si>
    <t>Norlina</t>
  </si>
  <si>
    <t>Aug 19, 2017 10:39 AM</t>
  </si>
  <si>
    <t>Mimi Yeong</t>
  </si>
  <si>
    <t>Aug 20, 2017 03:44 PM</t>
  </si>
  <si>
    <t>Aug 21, 2017 12:16 AM</t>
  </si>
  <si>
    <t>Aug 21, 2017 12:17 AM</t>
  </si>
  <si>
    <t>Aug 21, 2017 06:25 AM</t>
  </si>
  <si>
    <t>Aug 21, 2017 06:26 AM</t>
  </si>
  <si>
    <t>Aug 21, 2017 06:37 AM</t>
  </si>
  <si>
    <t>Aug 21, 2017 02:01 PM</t>
  </si>
  <si>
    <t>Aug 21, 2017 02:02 PM</t>
  </si>
  <si>
    <t>Aug 21, 2017 02:04 PM</t>
  </si>
  <si>
    <t>Aug 21, 2017 02:06 PM</t>
  </si>
  <si>
    <t>Aug 21, 2017 02:39 PM</t>
  </si>
  <si>
    <t>Thilagavathi Muthukrishnan</t>
  </si>
  <si>
    <t>Aug 21, 2017 02:41 PM</t>
  </si>
  <si>
    <t>Aug 21, 2017 02:42 PM</t>
  </si>
  <si>
    <t>Aug 21, 2017 03:11 PM</t>
  </si>
  <si>
    <t>Aug 21, 2017 03:12 PM</t>
  </si>
  <si>
    <t>Aug 21, 2017 08:57 PM</t>
  </si>
  <si>
    <t>Nur Liyana Binte Abdul Rahim</t>
  </si>
  <si>
    <t>Aug 21, 2017 08:58 PM</t>
  </si>
  <si>
    <t>Aug 21, 2017 08:59 PM</t>
  </si>
  <si>
    <t>Aug 22, 2017 08:13 AM</t>
  </si>
  <si>
    <t>Aug 22, 2017 08:14 AM</t>
  </si>
  <si>
    <t>Aug 22, 2017 08:34 AM</t>
  </si>
  <si>
    <t>Aug 22, 2017 08:35 AM</t>
  </si>
  <si>
    <t>Aug 22, 2017 11:01 AM</t>
  </si>
  <si>
    <t>Aug 22, 2017 11:02 AM</t>
  </si>
  <si>
    <t>Aug 22, 2017 02:38 PM</t>
  </si>
  <si>
    <t>Cherry Pincel Bacani</t>
  </si>
  <si>
    <t>Aug 22, 2017 02:51 PM</t>
  </si>
  <si>
    <t>Aug 22, 2017 02:52 PM</t>
  </si>
  <si>
    <t>Aug 22, 2017 03:29 PM</t>
  </si>
  <si>
    <t>Rahmahwati Rahmat</t>
  </si>
  <si>
    <t>EN Princes</t>
  </si>
  <si>
    <t>After touching gloves, use the same gloves to draw the curtain. EN princes informed and noted.</t>
  </si>
  <si>
    <t>Aug 22, 2017 03:30 PM</t>
  </si>
  <si>
    <t>Aug 22, 2017 03:32 PM</t>
  </si>
  <si>
    <t>Preethy De Silva</t>
  </si>
  <si>
    <t>Aug 22, 2017 03:33 PM</t>
  </si>
  <si>
    <t>Aug 22, 2017 03:34 PM</t>
  </si>
  <si>
    <t>Aug 22, 2017 03:35 PM</t>
  </si>
  <si>
    <t>Aug 22, 2017 03:36 PM</t>
  </si>
  <si>
    <t>Aug 22, 2017 03:37 PM</t>
  </si>
  <si>
    <t>Sri Rahayu Rahmat</t>
  </si>
  <si>
    <t>Aug 22, 2017 03:39 PM</t>
  </si>
  <si>
    <t>Aug 22, 2017 03:41 PM</t>
  </si>
  <si>
    <t>Aug 22, 2017 03:42 PM</t>
  </si>
  <si>
    <t>Aug 22, 2017 03:50 PM</t>
  </si>
  <si>
    <t>Aug 22, 2017 03:51 PM</t>
  </si>
  <si>
    <t>Aug 22, 2017 03:52 PM</t>
  </si>
  <si>
    <t>Aug 22, 2017 03:57 PM</t>
  </si>
  <si>
    <t>Aug 22, 2017 03:58 PM</t>
  </si>
  <si>
    <t>Aug 22, 2017 04:33 PM</t>
  </si>
  <si>
    <t>Aug 22, 2017 04:35 PM</t>
  </si>
  <si>
    <t>Aug 23, 2017 06:45 AM</t>
  </si>
  <si>
    <t>Gracia Tuang</t>
  </si>
  <si>
    <t>Aug 23, 2017 06:53 AM</t>
  </si>
  <si>
    <t>Aug 23, 2017 06:54 AM</t>
  </si>
  <si>
    <t>Aug 23, 2017 06:55 AM</t>
  </si>
  <si>
    <t>Aug 23, 2017 08:24 AM</t>
  </si>
  <si>
    <t>Aug 23, 2017 10:26 AM</t>
  </si>
  <si>
    <t>Aug 23, 2017 10:27 AM</t>
  </si>
  <si>
    <t>Aug 23, 2017 10:28 AM</t>
  </si>
  <si>
    <t>Aug 23, 2017 10:35 AM</t>
  </si>
  <si>
    <t>Aug 23, 2017 10:37 AM</t>
  </si>
  <si>
    <t>Aug 23, 2017 10:38 AM</t>
  </si>
  <si>
    <t>Aug 23, 2017 10:39 AM</t>
  </si>
  <si>
    <t>Aug 23, 2017 10:40 AM</t>
  </si>
  <si>
    <t>Aug 23, 2017 10:42 AM</t>
  </si>
  <si>
    <t>Aug 23, 2017 11:50 AM</t>
  </si>
  <si>
    <t>Aug 23, 2017 11:55 AM</t>
  </si>
  <si>
    <t>Aug 23, 2017 12:46 PM</t>
  </si>
  <si>
    <t>Aug 23, 2017 12:47 PM</t>
  </si>
  <si>
    <t>Aug 23, 2017 02:20 PM</t>
  </si>
  <si>
    <t>Aug 23, 2017 02:21 PM</t>
  </si>
  <si>
    <t>Aug 23, 2017 02:43 PM</t>
  </si>
  <si>
    <t>Aug 23, 2017 02:44 PM</t>
  </si>
  <si>
    <t>Aug 23, 2017 02:57 PM</t>
  </si>
  <si>
    <t>Aug 23, 2017 03:06 PM</t>
  </si>
  <si>
    <t>Aug 23, 2017 03:09 PM</t>
  </si>
  <si>
    <t>Aug 23, 2017 03:13 PM</t>
  </si>
  <si>
    <t>Aug 23, 2017 03:14 PM</t>
  </si>
  <si>
    <t>Aug 23, 2017 03:15 PM</t>
  </si>
  <si>
    <t>Aug 23, 2017 03:16 PM</t>
  </si>
  <si>
    <t>Aug 23, 2017 03:17 PM</t>
  </si>
  <si>
    <t>Aug 23, 2017 03:40 PM</t>
  </si>
  <si>
    <t>Aug 23, 2017 03:49 PM</t>
  </si>
  <si>
    <t>Jun Xia Ma</t>
  </si>
  <si>
    <t>Aug 23, 2017 04:03 PM</t>
  </si>
  <si>
    <t>Kai Li Lim</t>
  </si>
  <si>
    <t>Aug 23, 2017 04:06 PM</t>
  </si>
  <si>
    <t>Aug 23, 2017 04:07 PM</t>
  </si>
  <si>
    <t>Aug 23, 2017 04:09 PM</t>
  </si>
  <si>
    <t>Aug 23, 2017 04:22 PM</t>
  </si>
  <si>
    <t>Aug 23, 2017 09:14 PM</t>
  </si>
  <si>
    <t>Aug 23, 2017 09:23 PM</t>
  </si>
  <si>
    <t>Aug 23, 2017 09:24 PM</t>
  </si>
  <si>
    <t>Aug 23, 2017 09:54 PM</t>
  </si>
  <si>
    <t>Aug 23, 2017 09:55 PM</t>
  </si>
  <si>
    <t>Aug 24, 2017 11:02 AM</t>
  </si>
  <si>
    <t>Aug 24, 2017 11:03 AM</t>
  </si>
  <si>
    <t>Aug 24, 2017 11:04 AM</t>
  </si>
  <si>
    <t>Aug 24, 2017 11:05 AM</t>
  </si>
  <si>
    <t>Aug 24, 2017 12:06 PM</t>
  </si>
  <si>
    <t>Aug 24, 2017 12:07 PM</t>
  </si>
  <si>
    <t>Aug 24, 2017 12:16 PM</t>
  </si>
  <si>
    <t>Aug 24, 2017 12:17 PM</t>
  </si>
  <si>
    <t>Aug 24, 2017 12:52 PM</t>
  </si>
  <si>
    <t>Aug 24, 2017 12:53 PM</t>
  </si>
  <si>
    <t>Keethen</t>
  </si>
  <si>
    <t>Aug 24, 2017 12:54 PM</t>
  </si>
  <si>
    <t>NUS student</t>
  </si>
  <si>
    <t>Aug 24, 2017 01:22 PM</t>
  </si>
  <si>
    <t>Aug 24, 2017 01:23 PM</t>
  </si>
  <si>
    <t>Aug 24, 2017 02:02 PM</t>
  </si>
  <si>
    <t>Aug 24, 2017 02:14 PM</t>
  </si>
  <si>
    <t>Aug 24, 2017 02:15 PM</t>
  </si>
  <si>
    <t>Aug 24, 2017 02:16 PM</t>
  </si>
  <si>
    <t>Aug 24, 2017 02:17 PM</t>
  </si>
  <si>
    <t>Aug 24, 2017 02:25 PM</t>
  </si>
  <si>
    <t>Aug 24, 2017 02:26 PM</t>
  </si>
  <si>
    <t>Aug 24, 2017 02:28 PM</t>
  </si>
  <si>
    <t>Aug 24, 2017 02:29 PM</t>
  </si>
  <si>
    <t>Aug 24, 2017 02:31 PM</t>
  </si>
  <si>
    <t>Aug 24, 2017 02:33 PM</t>
  </si>
  <si>
    <t>Aug 24, 2017 02:34 PM</t>
  </si>
  <si>
    <t>Aug 24, 2017 02:35 PM</t>
  </si>
  <si>
    <t>Aug 24, 2017 02:49 PM</t>
  </si>
  <si>
    <t>Aug 24, 2017 02:51 PM</t>
  </si>
  <si>
    <t>Aug 24, 2017 02:52 PM</t>
  </si>
  <si>
    <t>Aug 24, 2017 02:57 PM</t>
  </si>
  <si>
    <t>Aug 24, 2017 03:10 PM</t>
  </si>
  <si>
    <t>Aug 24, 2017 03:11 PM</t>
  </si>
  <si>
    <t>Aug 24, 2017 03:12 PM</t>
  </si>
  <si>
    <t>Aug 24, 2017 03:14 PM</t>
  </si>
  <si>
    <t>Aug 24, 2017 03:26 PM</t>
  </si>
  <si>
    <t>Aug 24, 2017 03:33 PM</t>
  </si>
  <si>
    <t>Aug 24, 2017 03:34 PM</t>
  </si>
  <si>
    <t>Aug 24, 2017 04:01 PM</t>
  </si>
  <si>
    <t>Aug 24, 2017 04:02 PM</t>
  </si>
  <si>
    <t>Aug 24, 2017 04:03 PM</t>
  </si>
  <si>
    <t>Aug 25, 2017 12:54 AM</t>
  </si>
  <si>
    <t>Aug 25, 2017 09:22 AM</t>
  </si>
  <si>
    <t>Aug 25, 2017 01:45 PM</t>
  </si>
  <si>
    <t>Aug 25, 2017 01:46 PM</t>
  </si>
  <si>
    <t>Aug 25, 2017 02:37 PM</t>
  </si>
  <si>
    <t>Aug 25, 2017 02:38 PM</t>
  </si>
  <si>
    <t>Aug 25, 2017 02:44 PM</t>
  </si>
  <si>
    <t>Aug 25, 2017 02:45 PM</t>
  </si>
  <si>
    <t>Aug 25, 2017 02:48 PM</t>
  </si>
  <si>
    <t>Aug 25, 2017 02:49 PM</t>
  </si>
  <si>
    <t>Aug 25, 2017 02:50 PM</t>
  </si>
  <si>
    <t>Aug 25, 2017 02:51 PM</t>
  </si>
  <si>
    <t>Aug 25, 2017 03:26 PM</t>
  </si>
  <si>
    <t>Susila Perumal</t>
  </si>
  <si>
    <t>Aug 25, 2017 03:27 PM</t>
  </si>
  <si>
    <t>Aug 25, 2017 04:50 PM</t>
  </si>
  <si>
    <t>Aug 25, 2017 04:51 PM</t>
  </si>
  <si>
    <t>Aug 26, 2017 08:28 AM</t>
  </si>
  <si>
    <t>Aug 26, 2017 08:29 AM</t>
  </si>
  <si>
    <t>Aug 26, 2017 09:32 AM</t>
  </si>
  <si>
    <t>Aug 26, 2017 09:33 AM</t>
  </si>
  <si>
    <t>Aug 26, 2017 09:36 AM</t>
  </si>
  <si>
    <t>Aug 26, 2017 06:09 PM</t>
  </si>
  <si>
    <t>Aug 26, 2017 06:10 PM</t>
  </si>
  <si>
    <t>Aug 26, 2017 06:11 PM</t>
  </si>
  <si>
    <t>Aug 26, 2017 07:47 PM</t>
  </si>
  <si>
    <t>Aug 26, 2017 07:48 PM</t>
  </si>
  <si>
    <t>Aug 26, 2017 07:49 PM</t>
  </si>
  <si>
    <t>Aug 26, 2017 09:28 PM</t>
  </si>
  <si>
    <t>Aug 26, 2017 09:29 PM</t>
  </si>
  <si>
    <t>Aug 27, 2017 12:42 AM</t>
  </si>
  <si>
    <t>Aug 27, 2017 03:14 PM</t>
  </si>
  <si>
    <t>Aug 27, 2017 03:15 PM</t>
  </si>
  <si>
    <t>Aug 27, 2017 03:17 PM</t>
  </si>
  <si>
    <t>Aug 27, 2017 03:21 PM</t>
  </si>
  <si>
    <t>Aug 27, 2017 03:22 PM</t>
  </si>
  <si>
    <t>Aug 27, 2017 03:24 PM</t>
  </si>
  <si>
    <t>Aug 27, 2017 03:25 PM</t>
  </si>
  <si>
    <t>Aug 27, 2017 03:26 PM</t>
  </si>
  <si>
    <t>Aug 27, 2017 03:27 PM</t>
  </si>
  <si>
    <t>Aug 27, 2017 05:27 PM</t>
  </si>
  <si>
    <t>Jie Ying Toh</t>
  </si>
  <si>
    <t>Aug 27, 2017 05:28 PM</t>
  </si>
  <si>
    <t>Aug 27, 2017 09:22 PM</t>
  </si>
  <si>
    <t>Aug 27, 2017 09:23 PM</t>
  </si>
  <si>
    <t>Aug 28, 2017 09:13 AM</t>
  </si>
  <si>
    <t>PEN</t>
  </si>
  <si>
    <t>Aug 28, 2017 09:19 AM</t>
  </si>
  <si>
    <t>PSA</t>
  </si>
  <si>
    <t>Aug 28, 2017 09:25 AM</t>
  </si>
  <si>
    <t>Dr S</t>
  </si>
  <si>
    <t>SSN</t>
  </si>
  <si>
    <t>Aug 28, 2017 09:28 AM</t>
  </si>
  <si>
    <t>N</t>
  </si>
  <si>
    <t>Aug 28, 2017 09:30 AM</t>
  </si>
  <si>
    <t>Aug 28, 2017 09:39 AM</t>
  </si>
  <si>
    <t>Aug 28, 2017 09:40 AM</t>
  </si>
  <si>
    <t>Aug 28, 2017 09:41 AM</t>
  </si>
  <si>
    <t>Dr Liu Jiaxuan</t>
  </si>
  <si>
    <t>Aug 28, 2017 10:18 AM</t>
  </si>
  <si>
    <t>Aug 28, 2017 10:19 AM</t>
  </si>
  <si>
    <t>Aug 28, 2017 10:20 AM</t>
  </si>
  <si>
    <t>Aug 28, 2017 10:37 AM</t>
  </si>
  <si>
    <t>Aug 28, 2017 10:38 AM</t>
  </si>
  <si>
    <t>Aug 28, 2017 10:39 AM</t>
  </si>
  <si>
    <t>Aug 28, 2017 11:41 AM</t>
  </si>
  <si>
    <t>Aug 28, 2017 11:42 AM</t>
  </si>
  <si>
    <t>Aug 28, 2017 02:07 PM</t>
  </si>
  <si>
    <t>Aug 28, 2017 02:11 PM</t>
  </si>
  <si>
    <t>Aug 28, 2017 02:12 PM</t>
  </si>
  <si>
    <t>Aug 28, 2017 02:15 PM</t>
  </si>
  <si>
    <t>Aug 28, 2017 02:19 PM</t>
  </si>
  <si>
    <t>Aug 28, 2017 02:20 PM</t>
  </si>
  <si>
    <t>Aug 28, 2017 02:21 PM</t>
  </si>
  <si>
    <t>Aug 28, 2017 03:00 PM</t>
  </si>
  <si>
    <t>Aug 28, 2017 03:54 PM</t>
  </si>
  <si>
    <t>Aug 28, 2017 03:56 PM</t>
  </si>
  <si>
    <t>Aug 28, 2017 04:11 PM</t>
  </si>
  <si>
    <t>Bai Xiangjing</t>
  </si>
  <si>
    <t>Aug 28, 2017 04:12 PM</t>
  </si>
  <si>
    <t>Farhana</t>
  </si>
  <si>
    <t>Madhavan</t>
  </si>
  <si>
    <t>Weixian</t>
  </si>
  <si>
    <t>Aug 28, 2017 04:13 PM</t>
  </si>
  <si>
    <t>Aug 28, 2017 06:05 PM</t>
  </si>
  <si>
    <t>Aug 28, 2017 06:06 PM</t>
  </si>
  <si>
    <t>Aug 28, 2017 06:07 PM</t>
  </si>
  <si>
    <t>Aug 29, 2017 08:48 AM</t>
  </si>
  <si>
    <t>Dr Du Wei</t>
  </si>
  <si>
    <t>Moment 1</t>
  </si>
  <si>
    <t>Moment 2</t>
  </si>
  <si>
    <t>Moment 3</t>
  </si>
  <si>
    <t>Moment 4</t>
  </si>
  <si>
    <t>Moment 5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</si>
</sst>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  <font>
      <b val="0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2">
    <border/>
    <border>
      <top style="thin">
        <color rgb="FF000000"/>
      </top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9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Summary!$AA$22</c:f>
              <c:strCache>
                <c:ptCount val="1"/>
                <c:pt idx="0">
                  <c:v>%</c:v>
                </c:pt>
              </c:strCache>
            </c:strRef>
          </c:tx>
          <c:invertIfNegative val="0"/>
          <c:cat>
            <c:strRef>
              <c:f>Summary!$X$23:$X$26</c:f>
              <c:strCache>
                <c:ptCount val="4"/>
                <c:pt idx="0">
                  <c:v>Doctor</c:v>
                </c:pt>
                <c:pt idx="1">
                  <c:v>Ancillary</c:v>
                </c:pt>
                <c:pt idx="2">
                  <c:v>Nurse</c:v>
                </c:pt>
                <c:pt idx="3">
                  <c:v>Allied Health</c:v>
                </c:pt>
              </c:strCache>
            </c:strRef>
          </c:cat>
          <c:val>
            <c:numRef>
              <c:f>Summary!$AA$23:$AA$26</c:f>
              <c:numCach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Count per Moment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Summary!$AD22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cat>
            <c:strRef>
              <c:f>Summary!$AC23:$AC27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Summary!$AD23:$AD27</c:f>
              <c:numCache>
                <c:ptCount val="5"/>
                <c:pt idx="0">
                  <c:v>N/A</c:v>
                </c:pt>
                <c:pt idx="1">
                  <c:v>N/A</c:v>
                </c:pt>
                <c:pt idx="2">
                  <c:v>N/A</c:v>
                </c:pt>
                <c:pt idx="3">
                  <c:v>N/A</c:v>
                </c:pt>
                <c:pt idx="4">
                  <c:v>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Location Level 1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Summary!$G$22</c:f>
              <c:strCache>
                <c:ptCount val="1"/>
                <c:pt idx="0">
                  <c:v>%</c:v>
                </c:pt>
              </c:strCache>
            </c:strRef>
          </c:tx>
          <c:invertIfNegative val="0"/>
          <c:cat>
            <c:strRef>
              <c:f>Summary!$D$23:$D$37</c:f>
              <c:strCache>
                <c:ptCount val="15"/>
                <c:pt idx="0">
                  <c:v>ASC</c:v>
                </c:pt>
                <c:pt idx="1">
                  <c:v>BOT/NHC OT /RY</c:v>
                </c:pt>
                <c:pt idx="2">
                  <c:v>DMC Podiatry</c:v>
                </c:pt>
                <c:pt idx="3">
                  <c:v>Dialysis/Peritoneal Dialysis</c:v>
                </c:pt>
                <c:pt idx="4">
                  <c:v>Emergency(A &amp; E)</c:v>
                </c:pt>
                <c:pt idx="5">
                  <c:v>Endoscopy Ctr</c:v>
                </c:pt>
                <c:pt idx="6">
                  <c:v>FPP Clinic</c:v>
                </c:pt>
                <c:pt idx="7">
                  <c:v>Health Assessment Center</c:v>
                </c:pt>
                <c:pt idx="8">
                  <c:v>MOT</c:v>
                </c:pt>
                <c:pt idx="9">
                  <c:v>Night Audit</c:v>
                </c:pt>
                <c:pt idx="10">
                  <c:v>Practise</c:v>
                </c:pt>
                <c:pt idx="11">
                  <c:v>SOC</c:v>
                </c:pt>
                <c:pt idx="12">
                  <c:v>Staff Centre</c:v>
                </c:pt>
                <c:pt idx="13">
                  <c:v>URO OT</c:v>
                </c:pt>
                <c:pt idx="14">
                  <c:v>Weekly Inpatient Audit</c:v>
                </c:pt>
              </c:strCache>
            </c:strRef>
          </c:cat>
          <c:val>
            <c:numRef>
              <c:f>Summary!$G$23:$G$37</c:f>
              <c:numCach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Location Level 2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Summary!$L$22</c:f>
              <c:strCache>
                <c:ptCount val="1"/>
                <c:pt idx="0">
                  <c:v>%</c:v>
                </c:pt>
              </c:strCache>
            </c:strRef>
          </c:tx>
          <c:invertIfNegative val="0"/>
          <c:cat>
            <c:strRef>
              <c:f>Summary!$I$23:$I$27</c:f>
              <c:strCache>
                <c:ptCount val="5"/>
                <c:pt idx="0">
                  <c:v>(skip)</c:v>
                </c:pt>
                <c:pt idx="1">
                  <c:v>OT</c:v>
                </c:pt>
                <c:pt idx="2">
                  <c:v>Out Patient</c:v>
                </c:pt>
                <c:pt idx="3">
                  <c:v>Podiatry</c:v>
                </c:pt>
                <c:pt idx="4">
                  <c:v>Practise</c:v>
                </c:pt>
              </c:strCache>
            </c:strRef>
          </c:cat>
          <c:val>
            <c:numRef>
              <c:f>Summary!$L$23:$L$27</c:f>
              <c:numCach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Location Level 3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Summary!$Q$22</c:f>
              <c:strCache>
                <c:ptCount val="1"/>
                <c:pt idx="0">
                  <c:v>%</c:v>
                </c:pt>
              </c:strCache>
            </c:strRef>
          </c:tx>
          <c:invertIfNegative val="0"/>
          <c:cat>
            <c:strRef>
              <c:f>Summary!$N$23:$N$26</c:f>
              <c:strCache>
                <c:ptCount val="4"/>
                <c:pt idx="0">
                  <c:v>(skip)</c:v>
                </c:pt>
                <c:pt idx="1">
                  <c:v>OT</c:v>
                </c:pt>
                <c:pt idx="2">
                  <c:v>Podiatry</c:v>
                </c:pt>
                <c:pt idx="3">
                  <c:v>Practise</c:v>
                </c:pt>
              </c:strCache>
            </c:strRef>
          </c:cat>
          <c:val>
            <c:numRef>
              <c:f>Summary!$Q$23:$Q$26</c:f>
              <c:numCach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Location Level 4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Summary!$V$22</c:f>
              <c:strCache>
                <c:ptCount val="1"/>
                <c:pt idx="0">
                  <c:v>%</c:v>
                </c:pt>
              </c:strCache>
            </c:strRef>
          </c:tx>
          <c:invertIfNegative val="0"/>
          <c:cat>
            <c:strRef>
              <c:f>Summary!$S$23:$S$89</c:f>
              <c:strCache>
                <c:ptCount val="67"/>
                <c:pt idx="0">
                  <c:v>ARC</c:v>
                </c:pt>
                <c:pt idx="1">
                  <c:v>BOT / NHC OT / RY</c:v>
                </c:pt>
                <c:pt idx="2">
                  <c:v>BVH</c:v>
                </c:pt>
                <c:pt idx="3">
                  <c:v>CARE / Prenatal Diagnostic Centre (PDC)</c:v>
                </c:pt>
                <c:pt idx="4">
                  <c:v>CDLD</c:v>
                </c:pt>
                <c:pt idx="5">
                  <c:v>Clinic A</c:v>
                </c:pt>
                <c:pt idx="6">
                  <c:v>Clinic B</c:v>
                </c:pt>
                <c:pt idx="7">
                  <c:v>Clinic H</c:v>
                </c:pt>
                <c:pt idx="8">
                  <c:v>Clinic J</c:v>
                </c:pt>
                <c:pt idx="9">
                  <c:v>Clinic K</c:v>
                </c:pt>
                <c:pt idx="10">
                  <c:v>Clinic L</c:v>
                </c:pt>
                <c:pt idx="11">
                  <c:v>Clinic M</c:v>
                </c:pt>
                <c:pt idx="12">
                  <c:v>Clinic P</c:v>
                </c:pt>
                <c:pt idx="13">
                  <c:v>DMC L1</c:v>
                </c:pt>
                <c:pt idx="14">
                  <c:v>DMC L3</c:v>
                </c:pt>
                <c:pt idx="15">
                  <c:v>DMC L4</c:v>
                </c:pt>
                <c:pt idx="16">
                  <c:v>DMC Podiatry</c:v>
                </c:pt>
                <c:pt idx="17">
                  <c:v>Dialysis Centre</c:v>
                </c:pt>
                <c:pt idx="18">
                  <c:v>ENT Centre</c:v>
                </c:pt>
                <c:pt idx="19">
                  <c:v>Emergency Medicine</c:v>
                </c:pt>
                <c:pt idx="20">
                  <c:v>Endoscopy Centre</c:v>
                </c:pt>
                <c:pt idx="21">
                  <c:v>FPP Clinic</c:v>
                </c:pt>
                <c:pt idx="22">
                  <c:v>Haematology Centre</c:v>
                </c:pt>
                <c:pt idx="23">
                  <c:v>Health Assessment Center</c:v>
                </c:pt>
                <c:pt idx="24">
                  <c:v>LIFE Centre</c:v>
                </c:pt>
                <c:pt idx="25">
                  <c:v>MOT scrub</c:v>
                </c:pt>
                <c:pt idx="26">
                  <c:v>Musculoskelatal Centre (MSC)</c:v>
                </c:pt>
                <c:pt idx="27">
                  <c:v>OGC</c:v>
                </c:pt>
                <c:pt idx="28">
                  <c:v>OPAT</c:v>
                </c:pt>
                <c:pt idx="29">
                  <c:v>OSJC</c:v>
                </c:pt>
                <c:pt idx="30">
                  <c:v>Peritoneal Dialysis Centre</c:v>
                </c:pt>
                <c:pt idx="31">
                  <c:v>Practise</c:v>
                </c:pt>
                <c:pt idx="32">
                  <c:v>SICU</c:v>
                </c:pt>
                <c:pt idx="33">
                  <c:v>Staff Centre</c:v>
                </c:pt>
                <c:pt idx="34">
                  <c:v>Transplant Centre</c:v>
                </c:pt>
                <c:pt idx="35">
                  <c:v>URO OT</c:v>
                </c:pt>
                <c:pt idx="36">
                  <c:v>Urology Centre</c:v>
                </c:pt>
                <c:pt idx="37">
                  <c:v>W42</c:v>
                </c:pt>
                <c:pt idx="38">
                  <c:v>W43</c:v>
                </c:pt>
                <c:pt idx="39">
                  <c:v>W45</c:v>
                </c:pt>
                <c:pt idx="40">
                  <c:v>W46</c:v>
                </c:pt>
                <c:pt idx="41">
                  <c:v>W47A</c:v>
                </c:pt>
                <c:pt idx="42">
                  <c:v>W48 HAE</c:v>
                </c:pt>
                <c:pt idx="43">
                  <c:v>W48 ONC</c:v>
                </c:pt>
                <c:pt idx="44">
                  <c:v>W52A</c:v>
                </c:pt>
                <c:pt idx="45">
                  <c:v>W52B </c:v>
                </c:pt>
                <c:pt idx="46">
                  <c:v>W53A</c:v>
                </c:pt>
                <c:pt idx="47">
                  <c:v>W53C</c:v>
                </c:pt>
                <c:pt idx="48">
                  <c:v>W54 Neo</c:v>
                </c:pt>
                <c:pt idx="49">
                  <c:v>W54D</c:v>
                </c:pt>
                <c:pt idx="50">
                  <c:v>W55 A&amp;B</c:v>
                </c:pt>
                <c:pt idx="51">
                  <c:v>W57</c:v>
                </c:pt>
                <c:pt idx="52">
                  <c:v>W58 SUR</c:v>
                </c:pt>
                <c:pt idx="53">
                  <c:v>W58B ID</c:v>
                </c:pt>
                <c:pt idx="54">
                  <c:v>W63A</c:v>
                </c:pt>
                <c:pt idx="55">
                  <c:v>W63B</c:v>
                </c:pt>
                <c:pt idx="56">
                  <c:v>W64A</c:v>
                </c:pt>
                <c:pt idx="57">
                  <c:v>W64C</c:v>
                </c:pt>
                <c:pt idx="58">
                  <c:v>W64F (Cohort room)</c:v>
                </c:pt>
                <c:pt idx="59">
                  <c:v>W66</c:v>
                </c:pt>
                <c:pt idx="60">
                  <c:v>W67</c:v>
                </c:pt>
                <c:pt idx="61">
                  <c:v>W68</c:v>
                </c:pt>
                <c:pt idx="62">
                  <c:v>W72</c:v>
                </c:pt>
                <c:pt idx="63">
                  <c:v>W73</c:v>
                </c:pt>
                <c:pt idx="64">
                  <c:v>W74</c:v>
                </c:pt>
                <c:pt idx="65">
                  <c:v>W75</c:v>
                </c:pt>
                <c:pt idx="66">
                  <c:v>W76</c:v>
                </c:pt>
              </c:strCache>
            </c:strRef>
          </c:cat>
          <c:val>
            <c:numRef>
              <c:f>Summary!$V$23:$V$89</c:f>
              <c:numCach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Compliance by Moment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Summary!$AL$22</c:f>
              <c:strCache>
                <c:ptCount val="1"/>
                <c:pt idx="0">
                  <c:v>%</c:v>
                </c:pt>
              </c:strCache>
            </c:strRef>
          </c:tx>
          <c:invertIfNegative val="0"/>
          <c:cat>
            <c:strRef>
              <c:f>Summary!$AH$23:$AH$27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Summary!$AL$23:$AL$27</c:f>
              <c:numCach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R89"/>
  <sheetViews>
    <sheetView tabSelected="1" workbookViewId="0" showGridLines="true" showRowColHeaders="1">
      <selection activeCell="AL28" sqref="AL28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  <col min="27" max="27" width="11" customWidth="true" style="0"/>
    <col min="28" max="28" width="11" customWidth="true" style="0"/>
    <col min="29" max="29" width="11" customWidth="true" style="0"/>
    <col min="30" max="30" width="11" customWidth="true" style="0"/>
    <col min="31" max="31" width="11" customWidth="true" style="0"/>
    <col min="32" max="32" width="11" customWidth="true" style="0"/>
    <col min="33" max="33" width="11" customWidth="true" style="0"/>
    <col min="34" max="34" width="11" customWidth="true" style="0"/>
    <col min="35" max="35" width="11" customWidth="true" style="0"/>
    <col min="36" max="36" width="11" customWidth="true" style="0"/>
    <col min="37" max="37" width="11" customWidth="true" style="0"/>
    <col min="38" max="38" width="11" customWidth="true" style="0"/>
    <col min="39" max="39" width="11" customWidth="true" style="0"/>
    <col min="40" max="40" width="11" customWidth="true" style="0"/>
    <col min="41" max="41" width="11" customWidth="true" style="0"/>
    <col min="42" max="42" width="11" customWidth="true" style="0"/>
    <col min="43" max="43" width="11" customWidth="true" style="0"/>
    <col min="44" max="44" width="11" customWidth="true" style="0"/>
  </cols>
  <sheetData>
    <row r="2" spans="1:44">
      <c r="A2" s="1" t="s">
        <v>0</v>
      </c>
    </row>
    <row r="3" spans="1:44">
      <c r="A3" t="s">
        <v>1</v>
      </c>
      <c r="B3" t="s">
        <v>2</v>
      </c>
    </row>
    <row r="4" spans="1:44">
      <c r="A4" t="s">
        <v>3</v>
      </c>
      <c r="B4" t="s">
        <v>4</v>
      </c>
    </row>
    <row r="22" spans="1:44">
      <c r="D22" s="5" t="s">
        <v>5</v>
      </c>
      <c r="E22" s="5" t="s">
        <v>6</v>
      </c>
      <c r="F22" s="5" t="s">
        <v>7</v>
      </c>
      <c r="G22" s="5" t="s">
        <v>8</v>
      </c>
      <c r="I22" s="5" t="s">
        <v>9</v>
      </c>
      <c r="J22" s="5" t="s">
        <v>6</v>
      </c>
      <c r="K22" s="5" t="s">
        <v>7</v>
      </c>
      <c r="L22" s="5" t="s">
        <v>8</v>
      </c>
      <c r="N22" s="5" t="s">
        <v>10</v>
      </c>
      <c r="O22" s="5" t="s">
        <v>6</v>
      </c>
      <c r="P22" s="5" t="s">
        <v>7</v>
      </c>
      <c r="Q22" s="5" t="s">
        <v>8</v>
      </c>
      <c r="S22" s="5" t="s">
        <v>11</v>
      </c>
      <c r="T22" s="5" t="s">
        <v>6</v>
      </c>
      <c r="U22" s="5" t="s">
        <v>7</v>
      </c>
      <c r="V22" s="5" t="s">
        <v>8</v>
      </c>
      <c r="X22" s="5" t="s">
        <v>12</v>
      </c>
      <c r="Y22" s="5" t="s">
        <v>6</v>
      </c>
      <c r="Z22" s="5" t="s">
        <v>7</v>
      </c>
      <c r="AA22" s="5" t="s">
        <v>8</v>
      </c>
      <c r="AC22" s="5" t="s">
        <v>13</v>
      </c>
      <c r="AD22" s="5" t="s">
        <v>14</v>
      </c>
      <c r="AH22" s="5" t="s">
        <v>13</v>
      </c>
      <c r="AI22" s="5" t="s">
        <v>7</v>
      </c>
      <c r="AJ22" s="5" t="s">
        <v>6</v>
      </c>
      <c r="AK22" s="5" t="s">
        <v>15</v>
      </c>
      <c r="AL22" s="5" t="s">
        <v>8</v>
      </c>
    </row>
    <row r="23" spans="1:44">
      <c r="D23" t="s">
        <v>16</v>
      </c>
      <c r="E23" t="str">
        <f>COUNTIFS(Details!$P$3:$P$5000,"Passed",Details!$D$3:$D$5000,"ASC")</f>
        <v>0</v>
      </c>
      <c r="F23" t="str">
        <f>COUNTIF(Details!$D$3:$D$5000, "ASC")</f>
        <v>0</v>
      </c>
      <c r="G23" s="6" t="str">
        <f>e23/f23</f>
        <v>0</v>
      </c>
      <c r="I23" t="s">
        <v>17</v>
      </c>
      <c r="J23" t="str">
        <f>COUNTIFS(Details!$P$3:$P$5000,"Passed",Details!$E$3:$E$5000,"(skip)")</f>
        <v>0</v>
      </c>
      <c r="K23" t="str">
        <f>COUNTIF(Details!$E$3:$E$5000, "(skip)")</f>
        <v>0</v>
      </c>
      <c r="L23" s="6" t="str">
        <f>j23/k23</f>
        <v>0</v>
      </c>
      <c r="N23" t="s">
        <v>17</v>
      </c>
      <c r="O23" t="str">
        <f>COUNTIFS(Details!$P$3:$P$5000,"Passed",Details!$F$3:$F$5000,"(skip)")</f>
        <v>0</v>
      </c>
      <c r="P23" t="str">
        <f>COUNTIF(Details!$F$3:$F$5000, "(skip)")</f>
        <v>0</v>
      </c>
      <c r="Q23" s="6" t="str">
        <f>o23/p23</f>
        <v>0</v>
      </c>
      <c r="S23" t="s">
        <v>18</v>
      </c>
      <c r="T23" t="str">
        <f>COUNTIFS(Details!$P$3:$P$5000,"Passed",Details!$G$3:$G$5000,"ARC")</f>
        <v>0</v>
      </c>
      <c r="U23" t="str">
        <f>COUNTIF(Details!$G$3:$G$5000, "ARC")</f>
        <v>0</v>
      </c>
      <c r="V23" s="6" t="str">
        <f>t23/u23</f>
        <v>0</v>
      </c>
      <c r="X23" t="s">
        <v>19</v>
      </c>
      <c r="Y23" t="str">
        <f>COUNTIFS(Details!$P$3:$P$5000,"Passed",Details!$H$3:$H$5000,"Doctor")</f>
        <v>0</v>
      </c>
      <c r="Z23" t="str">
        <f>COUNTIF(Details!$H$3:$H$5000, "Doctor")</f>
        <v>0</v>
      </c>
      <c r="AA23" s="6" t="str">
        <f>y23/z23</f>
        <v>0</v>
      </c>
      <c r="AC23">
        <v>1</v>
      </c>
      <c r="AD23" t="str">
        <f>IF(COUNTIF(Details!$J$3:$J$5000,1)=0, "N/A", COUNTIF(Details!$J$3:$J$5000,1))</f>
        <v>0</v>
      </c>
      <c r="AH23">
        <v>1</v>
      </c>
      <c r="AI23" t="str">
        <f>COUNTIF(Details!$J$3:$J$5000, "1")</f>
        <v>0</v>
      </c>
      <c r="AJ23" t="str">
        <f>COUNTIFS(Details!$P$3:$P$5000,"Passed",Details!$J$3:$J$5000,"1")</f>
        <v>0</v>
      </c>
      <c r="AK23" t="str">
        <f>COUNTIFS(Details!$P$3:$P$5000,"Failed",Details!$J$3:$J$5000,"1")</f>
        <v>0</v>
      </c>
      <c r="AL23" s="6" t="str">
        <f>aj23/ai23</f>
        <v>0</v>
      </c>
    </row>
    <row r="24" spans="1:44">
      <c r="D24" t="s">
        <v>20</v>
      </c>
      <c r="E24" t="str">
        <f>COUNTIFS(Details!$P$3:$P$5000,"Passed",Details!$D$3:$D$5000,"BOT/NHC OT /RY")</f>
        <v>0</v>
      </c>
      <c r="F24" t="str">
        <f>COUNTIF(Details!$D$3:$D$5000, "BOT/NHC OT /RY")</f>
        <v>0</v>
      </c>
      <c r="G24" s="6" t="str">
        <f>e24/f24</f>
        <v>0</v>
      </c>
      <c r="I24" t="s">
        <v>21</v>
      </c>
      <c r="J24" t="str">
        <f>COUNTIFS(Details!$P$3:$P$5000,"Passed",Details!$E$3:$E$5000,"OT")</f>
        <v>0</v>
      </c>
      <c r="K24" t="str">
        <f>COUNTIF(Details!$E$3:$E$5000, "OT")</f>
        <v>0</v>
      </c>
      <c r="L24" s="6" t="str">
        <f>j24/k24</f>
        <v>0</v>
      </c>
      <c r="N24" t="s">
        <v>21</v>
      </c>
      <c r="O24" t="str">
        <f>COUNTIFS(Details!$P$3:$P$5000,"Passed",Details!$F$3:$F$5000,"OT")</f>
        <v>0</v>
      </c>
      <c r="P24" t="str">
        <f>COUNTIF(Details!$F$3:$F$5000, "OT")</f>
        <v>0</v>
      </c>
      <c r="Q24" s="6" t="str">
        <f>o24/p24</f>
        <v>0</v>
      </c>
      <c r="S24" t="s">
        <v>22</v>
      </c>
      <c r="T24" t="str">
        <f>COUNTIFS(Details!$P$3:$P$5000,"Passed",Details!$G$3:$G$5000,"BOT / NHC OT / RY")</f>
        <v>0</v>
      </c>
      <c r="U24" t="str">
        <f>COUNTIF(Details!$G$3:$G$5000, "BOT / NHC OT / RY")</f>
        <v>0</v>
      </c>
      <c r="V24" s="6" t="str">
        <f>t24/u24</f>
        <v>0</v>
      </c>
      <c r="X24" t="s">
        <v>23</v>
      </c>
      <c r="Y24" t="str">
        <f>COUNTIFS(Details!$P$3:$P$5000,"Passed",Details!$H$3:$H$5000,"Ancillary")</f>
        <v>0</v>
      </c>
      <c r="Z24" t="str">
        <f>COUNTIF(Details!$H$3:$H$5000, "Ancillary")</f>
        <v>0</v>
      </c>
      <c r="AA24" s="6" t="str">
        <f>y24/z24</f>
        <v>0</v>
      </c>
      <c r="AC24">
        <v>2</v>
      </c>
      <c r="AD24" t="str">
        <f>IF(COUNTIF(Details!$K$3:$K$5000,2)=0, "N/A", COUNTIF(Details!$K$3:$K$5000,2))</f>
        <v>0</v>
      </c>
      <c r="AH24">
        <v>2</v>
      </c>
      <c r="AI24" t="str">
        <f>COUNTIF(Details!$K$3:$K$5000, "2")</f>
        <v>0</v>
      </c>
      <c r="AJ24" t="str">
        <f>COUNTIFS(Details!$P$3:$P$5000,"Passed",Details!$K$3:$K$5000,"2")</f>
        <v>0</v>
      </c>
      <c r="AK24" t="str">
        <f>COUNTIFS(Details!$P$3:$P$5000,"Failed",Details!$K$3:$K$5000,"2")</f>
        <v>0</v>
      </c>
      <c r="AL24" s="6" t="str">
        <f>aj24/ai24</f>
        <v>0</v>
      </c>
    </row>
    <row r="25" spans="1:44">
      <c r="D25" t="s">
        <v>24</v>
      </c>
      <c r="E25" t="str">
        <f>COUNTIFS(Details!$P$3:$P$5000,"Passed",Details!$D$3:$D$5000,"DMC Podiatry")</f>
        <v>0</v>
      </c>
      <c r="F25" t="str">
        <f>COUNTIF(Details!$D$3:$D$5000, "DMC Podiatry")</f>
        <v>0</v>
      </c>
      <c r="G25" s="6" t="str">
        <f>e25/f25</f>
        <v>0</v>
      </c>
      <c r="I25" t="s">
        <v>25</v>
      </c>
      <c r="J25" t="str">
        <f>COUNTIFS(Details!$P$3:$P$5000,"Passed",Details!$E$3:$E$5000,"Out Patient")</f>
        <v>0</v>
      </c>
      <c r="K25" t="str">
        <f>COUNTIF(Details!$E$3:$E$5000, "Out Patient")</f>
        <v>0</v>
      </c>
      <c r="L25" s="6" t="str">
        <f>j25/k25</f>
        <v>0</v>
      </c>
      <c r="N25" t="s">
        <v>26</v>
      </c>
      <c r="O25" t="str">
        <f>COUNTIFS(Details!$P$3:$P$5000,"Passed",Details!$F$3:$F$5000,"Podiatry")</f>
        <v>0</v>
      </c>
      <c r="P25" t="str">
        <f>COUNTIF(Details!$F$3:$F$5000, "Podiatry")</f>
        <v>0</v>
      </c>
      <c r="Q25" s="6" t="str">
        <f>o25/p25</f>
        <v>0</v>
      </c>
      <c r="S25" t="s">
        <v>27</v>
      </c>
      <c r="T25" t="str">
        <f>COUNTIFS(Details!$P$3:$P$5000,"Passed",Details!$G$3:$G$5000,"BVH")</f>
        <v>0</v>
      </c>
      <c r="U25" t="str">
        <f>COUNTIF(Details!$G$3:$G$5000, "BVH")</f>
        <v>0</v>
      </c>
      <c r="V25" s="6" t="str">
        <f>t25/u25</f>
        <v>0</v>
      </c>
      <c r="X25" t="s">
        <v>28</v>
      </c>
      <c r="Y25" t="str">
        <f>COUNTIFS(Details!$P$3:$P$5000,"Passed",Details!$H$3:$H$5000,"Nurse")</f>
        <v>0</v>
      </c>
      <c r="Z25" t="str">
        <f>COUNTIF(Details!$H$3:$H$5000, "Nurse")</f>
        <v>0</v>
      </c>
      <c r="AA25" s="6" t="str">
        <f>y25/z25</f>
        <v>0</v>
      </c>
      <c r="AC25">
        <v>3</v>
      </c>
      <c r="AD25" t="str">
        <f>IF(COUNTIF(Details!$L$3:$L$5000,3)=0, "N/A", COUNTIF(Details!$L$3:$L$5000,3))</f>
        <v>0</v>
      </c>
      <c r="AH25">
        <v>3</v>
      </c>
      <c r="AI25" t="str">
        <f>COUNTIF(Details!$L$3:$L$5000, "3")</f>
        <v>0</v>
      </c>
      <c r="AJ25" t="str">
        <f>COUNTIFS(Details!$P$3:$P$5000,"Passed",Details!$L$3:$L$5000,"3")</f>
        <v>0</v>
      </c>
      <c r="AK25" t="str">
        <f>COUNTIFS(Details!$P$3:$P$5000,"Failed",Details!$L$3:$L$5000,"3")</f>
        <v>0</v>
      </c>
      <c r="AL25" s="6" t="str">
        <f>aj25/ai25</f>
        <v>0</v>
      </c>
    </row>
    <row r="26" spans="1:44">
      <c r="D26" t="s">
        <v>29</v>
      </c>
      <c r="E26" t="str">
        <f>COUNTIFS(Details!$P$3:$P$5000,"Passed",Details!$D$3:$D$5000,"Dialysis/Peritoneal Dialysis")</f>
        <v>0</v>
      </c>
      <c r="F26" t="str">
        <f>COUNTIF(Details!$D$3:$D$5000, "Dialysis/Peritoneal Dialysis")</f>
        <v>0</v>
      </c>
      <c r="G26" s="6" t="str">
        <f>e26/f26</f>
        <v>0</v>
      </c>
      <c r="I26" t="s">
        <v>26</v>
      </c>
      <c r="J26" t="str">
        <f>COUNTIFS(Details!$P$3:$P$5000,"Passed",Details!$E$3:$E$5000,"Podiatry")</f>
        <v>0</v>
      </c>
      <c r="K26" t="str">
        <f>COUNTIF(Details!$E$3:$E$5000, "Podiatry")</f>
        <v>0</v>
      </c>
      <c r="L26" s="6" t="str">
        <f>j26/k26</f>
        <v>0</v>
      </c>
      <c r="N26" t="s">
        <v>30</v>
      </c>
      <c r="O26" t="str">
        <f>COUNTIFS(Details!$P$3:$P$5000,"Passed",Details!$F$3:$F$5000,"Practise")</f>
        <v>0</v>
      </c>
      <c r="P26" t="str">
        <f>COUNTIF(Details!$F$3:$F$5000, "Practise")</f>
        <v>0</v>
      </c>
      <c r="Q26" s="6" t="str">
        <f>o26/p26</f>
        <v>0</v>
      </c>
      <c r="S26" t="s">
        <v>31</v>
      </c>
      <c r="T26" t="str">
        <f>COUNTIFS(Details!$P$3:$P$5000,"Passed",Details!$G$3:$G$5000,"CARE / Prenatal Diagnostic Centre (PDC)")</f>
        <v>0</v>
      </c>
      <c r="U26" t="str">
        <f>COUNTIF(Details!$G$3:$G$5000, "CARE / Prenatal Diagnostic Centre (PDC)")</f>
        <v>0</v>
      </c>
      <c r="V26" s="6" t="str">
        <f>t26/u26</f>
        <v>0</v>
      </c>
      <c r="X26" t="s">
        <v>32</v>
      </c>
      <c r="Y26" t="str">
        <f>COUNTIFS(Details!$P$3:$P$5000,"Passed",Details!$H$3:$H$5000,"Allied Health")</f>
        <v>0</v>
      </c>
      <c r="Z26" t="str">
        <f>COUNTIF(Details!$H$3:$H$5000, "Allied Health")</f>
        <v>0</v>
      </c>
      <c r="AA26" s="6" t="str">
        <f>y26/z26</f>
        <v>0</v>
      </c>
      <c r="AC26">
        <v>4</v>
      </c>
      <c r="AD26" t="str">
        <f>IF(COUNTIF(Details!$M$3:$M$5000,4)=0, "N/A", COUNTIF(Details!$M$3:$M$5000,4))</f>
        <v>0</v>
      </c>
      <c r="AH26">
        <v>4</v>
      </c>
      <c r="AI26" t="str">
        <f>COUNTIF(Details!$M$3:$M$5000, "4")</f>
        <v>0</v>
      </c>
      <c r="AJ26" t="str">
        <f>COUNTIFS(Details!$P$3:$P$5000,"Passed",Details!$M$3:$M$5000,"4")</f>
        <v>0</v>
      </c>
      <c r="AK26" t="str">
        <f>COUNTIFS(Details!$P$3:$P$5000,"Failed",Details!$M$3:$M$5000,"4")</f>
        <v>0</v>
      </c>
      <c r="AL26" s="6" t="str">
        <f>aj26/ai26</f>
        <v>0</v>
      </c>
    </row>
    <row r="27" spans="1:44">
      <c r="D27" t="s">
        <v>33</v>
      </c>
      <c r="E27" t="str">
        <f>COUNTIFS(Details!$P$3:$P$5000,"Passed",Details!$D$3:$D$5000,"Emergency(A &amp; E)")</f>
        <v>0</v>
      </c>
      <c r="F27" t="str">
        <f>COUNTIF(Details!$D$3:$D$5000, "Emergency(A &amp; E)")</f>
        <v>0</v>
      </c>
      <c r="G27" s="6" t="str">
        <f>e27/f27</f>
        <v>0</v>
      </c>
      <c r="I27" t="s">
        <v>30</v>
      </c>
      <c r="J27" t="str">
        <f>COUNTIFS(Details!$P$3:$P$5000,"Passed",Details!$E$3:$E$5000,"Practise")</f>
        <v>0</v>
      </c>
      <c r="K27" t="str">
        <f>COUNTIF(Details!$E$3:$E$5000, "Practise")</f>
        <v>0</v>
      </c>
      <c r="L27" s="6" t="str">
        <f>j27/k27</f>
        <v>0</v>
      </c>
      <c r="S27" t="s">
        <v>34</v>
      </c>
      <c r="T27" t="str">
        <f>COUNTIFS(Details!$P$3:$P$5000,"Passed",Details!$G$3:$G$5000,"CDLD")</f>
        <v>0</v>
      </c>
      <c r="U27" t="str">
        <f>COUNTIF(Details!$G$3:$G$5000, "CDLD")</f>
        <v>0</v>
      </c>
      <c r="V27" s="6" t="str">
        <f>t27/u27</f>
        <v>0</v>
      </c>
      <c r="AC27">
        <v>5</v>
      </c>
      <c r="AD27" t="str">
        <f>IF(COUNTIF(Details!$N$3:$N$5000,5)=0, "N/A", COUNTIF(Details!$N$3:$N$5000,5))</f>
        <v>0</v>
      </c>
      <c r="AH27">
        <v>5</v>
      </c>
      <c r="AI27" t="str">
        <f>COUNTIF(Details!$N$3:$N$5000, "5")</f>
        <v>0</v>
      </c>
      <c r="AJ27" t="str">
        <f>COUNTIFS(Details!$P$3:$P$5000,"Passed",Details!$N$3:$N$5000,"5")</f>
        <v>0</v>
      </c>
      <c r="AK27" t="str">
        <f>COUNTIFS(Details!$P$3:$P$5000,"Failed",Details!$N$3:$N$5000,"5")</f>
        <v>0</v>
      </c>
      <c r="AL27" s="6" t="str">
        <f>aj27/ai27</f>
        <v>0</v>
      </c>
    </row>
    <row r="28" spans="1:44">
      <c r="D28" t="s">
        <v>35</v>
      </c>
      <c r="E28" t="str">
        <f>COUNTIFS(Details!$P$3:$P$5000,"Passed",Details!$D$3:$D$5000,"Endoscopy Ctr")</f>
        <v>0</v>
      </c>
      <c r="F28" t="str">
        <f>COUNTIF(Details!$D$3:$D$5000, "Endoscopy Ctr")</f>
        <v>0</v>
      </c>
      <c r="G28" s="6" t="str">
        <f>e28/f28</f>
        <v>0</v>
      </c>
      <c r="S28" t="s">
        <v>36</v>
      </c>
      <c r="T28" t="str">
        <f>COUNTIFS(Details!$P$3:$P$5000,"Passed",Details!$G$3:$G$5000,"Clinic A")</f>
        <v>0</v>
      </c>
      <c r="U28" t="str">
        <f>COUNTIF(Details!$G$3:$G$5000, "Clinic A")</f>
        <v>0</v>
      </c>
      <c r="V28" s="6" t="str">
        <f>t28/u28</f>
        <v>0</v>
      </c>
      <c r="AH28" t="s">
        <v>7</v>
      </c>
      <c r="AL28" s="6" t="str">
        <f>AVERAGE(AL23:AL22)</f>
        <v>0</v>
      </c>
    </row>
    <row r="29" spans="1:44">
      <c r="D29" t="s">
        <v>37</v>
      </c>
      <c r="E29" t="str">
        <f>COUNTIFS(Details!$P$3:$P$5000,"Passed",Details!$D$3:$D$5000,"FPP Clinic")</f>
        <v>0</v>
      </c>
      <c r="F29" t="str">
        <f>COUNTIF(Details!$D$3:$D$5000, "FPP Clinic")</f>
        <v>0</v>
      </c>
      <c r="G29" s="6" t="str">
        <f>e29/f29</f>
        <v>0</v>
      </c>
      <c r="S29" t="s">
        <v>38</v>
      </c>
      <c r="T29" t="str">
        <f>COUNTIFS(Details!$P$3:$P$5000,"Passed",Details!$G$3:$G$5000,"Clinic B")</f>
        <v>0</v>
      </c>
      <c r="U29" t="str">
        <f>COUNTIF(Details!$G$3:$G$5000, "Clinic B")</f>
        <v>0</v>
      </c>
      <c r="V29" s="6" t="str">
        <f>t29/u29</f>
        <v>0</v>
      </c>
    </row>
    <row r="30" spans="1:44">
      <c r="D30" t="s">
        <v>39</v>
      </c>
      <c r="E30" t="str">
        <f>COUNTIFS(Details!$P$3:$P$5000,"Passed",Details!$D$3:$D$5000,"Health Assessment Center")</f>
        <v>0</v>
      </c>
      <c r="F30" t="str">
        <f>COUNTIF(Details!$D$3:$D$5000, "Health Assessment Center")</f>
        <v>0</v>
      </c>
      <c r="G30" s="6" t="str">
        <f>e30/f30</f>
        <v>0</v>
      </c>
      <c r="S30" t="s">
        <v>40</v>
      </c>
      <c r="T30" t="str">
        <f>COUNTIFS(Details!$P$3:$P$5000,"Passed",Details!$G$3:$G$5000,"Clinic H")</f>
        <v>0</v>
      </c>
      <c r="U30" t="str">
        <f>COUNTIF(Details!$G$3:$G$5000, "Clinic H")</f>
        <v>0</v>
      </c>
      <c r="V30" s="6" t="str">
        <f>t30/u30</f>
        <v>0</v>
      </c>
    </row>
    <row r="31" spans="1:44">
      <c r="D31" t="s">
        <v>41</v>
      </c>
      <c r="E31" t="str">
        <f>COUNTIFS(Details!$P$3:$P$5000,"Passed",Details!$D$3:$D$5000,"MOT")</f>
        <v>0</v>
      </c>
      <c r="F31" t="str">
        <f>COUNTIF(Details!$D$3:$D$5000, "MOT")</f>
        <v>0</v>
      </c>
      <c r="G31" s="6" t="str">
        <f>e31/f31</f>
        <v>0</v>
      </c>
      <c r="S31" t="s">
        <v>42</v>
      </c>
      <c r="T31" t="str">
        <f>COUNTIFS(Details!$P$3:$P$5000,"Passed",Details!$G$3:$G$5000,"Clinic J")</f>
        <v>0</v>
      </c>
      <c r="U31" t="str">
        <f>COUNTIF(Details!$G$3:$G$5000, "Clinic J")</f>
        <v>0</v>
      </c>
      <c r="V31" s="6" t="str">
        <f>t31/u31</f>
        <v>0</v>
      </c>
    </row>
    <row r="32" spans="1:44">
      <c r="D32" t="s">
        <v>43</v>
      </c>
      <c r="E32" t="str">
        <f>COUNTIFS(Details!$P$3:$P$5000,"Passed",Details!$D$3:$D$5000,"Night Audit")</f>
        <v>0</v>
      </c>
      <c r="F32" t="str">
        <f>COUNTIF(Details!$D$3:$D$5000, "Night Audit")</f>
        <v>0</v>
      </c>
      <c r="G32" s="6" t="str">
        <f>e32/f32</f>
        <v>0</v>
      </c>
      <c r="S32" t="s">
        <v>44</v>
      </c>
      <c r="T32" t="str">
        <f>COUNTIFS(Details!$P$3:$P$5000,"Passed",Details!$G$3:$G$5000,"Clinic K")</f>
        <v>0</v>
      </c>
      <c r="U32" t="str">
        <f>COUNTIF(Details!$G$3:$G$5000, "Clinic K")</f>
        <v>0</v>
      </c>
      <c r="V32" s="6" t="str">
        <f>t32/u32</f>
        <v>0</v>
      </c>
    </row>
    <row r="33" spans="1:44">
      <c r="D33" t="s">
        <v>30</v>
      </c>
      <c r="E33" t="str">
        <f>COUNTIFS(Details!$P$3:$P$5000,"Passed",Details!$D$3:$D$5000,"Practise")</f>
        <v>0</v>
      </c>
      <c r="F33" t="str">
        <f>COUNTIF(Details!$D$3:$D$5000, "Practise")</f>
        <v>0</v>
      </c>
      <c r="G33" s="6" t="str">
        <f>e33/f33</f>
        <v>0</v>
      </c>
      <c r="S33" t="s">
        <v>45</v>
      </c>
      <c r="T33" t="str">
        <f>COUNTIFS(Details!$P$3:$P$5000,"Passed",Details!$G$3:$G$5000,"Clinic L")</f>
        <v>0</v>
      </c>
      <c r="U33" t="str">
        <f>COUNTIF(Details!$G$3:$G$5000, "Clinic L")</f>
        <v>0</v>
      </c>
      <c r="V33" s="6" t="str">
        <f>t33/u33</f>
        <v>0</v>
      </c>
    </row>
    <row r="34" spans="1:44">
      <c r="D34" t="s">
        <v>46</v>
      </c>
      <c r="E34" t="str">
        <f>COUNTIFS(Details!$P$3:$P$5000,"Passed",Details!$D$3:$D$5000,"SOC")</f>
        <v>0</v>
      </c>
      <c r="F34" t="str">
        <f>COUNTIF(Details!$D$3:$D$5000, "SOC")</f>
        <v>0</v>
      </c>
      <c r="G34" s="6" t="str">
        <f>e34/f34</f>
        <v>0</v>
      </c>
      <c r="S34" t="s">
        <v>47</v>
      </c>
      <c r="T34" t="str">
        <f>COUNTIFS(Details!$P$3:$P$5000,"Passed",Details!$G$3:$G$5000,"Clinic M")</f>
        <v>0</v>
      </c>
      <c r="U34" t="str">
        <f>COUNTIF(Details!$G$3:$G$5000, "Clinic M")</f>
        <v>0</v>
      </c>
      <c r="V34" s="6" t="str">
        <f>t34/u34</f>
        <v>0</v>
      </c>
    </row>
    <row r="35" spans="1:44">
      <c r="D35" t="s">
        <v>48</v>
      </c>
      <c r="E35" t="str">
        <f>COUNTIFS(Details!$P$3:$P$5000,"Passed",Details!$D$3:$D$5000,"Staff Centre")</f>
        <v>0</v>
      </c>
      <c r="F35" t="str">
        <f>COUNTIF(Details!$D$3:$D$5000, "Staff Centre")</f>
        <v>0</v>
      </c>
      <c r="G35" s="6" t="str">
        <f>e35/f35</f>
        <v>0</v>
      </c>
      <c r="S35" t="s">
        <v>49</v>
      </c>
      <c r="T35" t="str">
        <f>COUNTIFS(Details!$P$3:$P$5000,"Passed",Details!$G$3:$G$5000,"Clinic P")</f>
        <v>0</v>
      </c>
      <c r="U35" t="str">
        <f>COUNTIF(Details!$G$3:$G$5000, "Clinic P")</f>
        <v>0</v>
      </c>
      <c r="V35" s="6" t="str">
        <f>t35/u35</f>
        <v>0</v>
      </c>
    </row>
    <row r="36" spans="1:44">
      <c r="D36" t="s">
        <v>50</v>
      </c>
      <c r="E36" t="str">
        <f>COUNTIFS(Details!$P$3:$P$5000,"Passed",Details!$D$3:$D$5000,"URO OT")</f>
        <v>0</v>
      </c>
      <c r="F36" t="str">
        <f>COUNTIF(Details!$D$3:$D$5000, "URO OT")</f>
        <v>0</v>
      </c>
      <c r="G36" s="6" t="str">
        <f>e36/f36</f>
        <v>0</v>
      </c>
      <c r="S36" t="s">
        <v>51</v>
      </c>
      <c r="T36" t="str">
        <f>COUNTIFS(Details!$P$3:$P$5000,"Passed",Details!$G$3:$G$5000,"DMC L1")</f>
        <v>0</v>
      </c>
      <c r="U36" t="str">
        <f>COUNTIF(Details!$G$3:$G$5000, "DMC L1")</f>
        <v>0</v>
      </c>
      <c r="V36" s="6" t="str">
        <f>t36/u36</f>
        <v>0</v>
      </c>
    </row>
    <row r="37" spans="1:44">
      <c r="D37" t="s">
        <v>52</v>
      </c>
      <c r="E37" t="str">
        <f>COUNTIFS(Details!$P$3:$P$5000,"Passed",Details!$D$3:$D$5000,"Weekly Inpatient Audit")</f>
        <v>0</v>
      </c>
      <c r="F37" t="str">
        <f>COUNTIF(Details!$D$3:$D$5000, "Weekly Inpatient Audit")</f>
        <v>0</v>
      </c>
      <c r="G37" s="6" t="str">
        <f>e37/f37</f>
        <v>0</v>
      </c>
      <c r="S37" t="s">
        <v>53</v>
      </c>
      <c r="T37" t="str">
        <f>COUNTIFS(Details!$P$3:$P$5000,"Passed",Details!$G$3:$G$5000,"DMC L3")</f>
        <v>0</v>
      </c>
      <c r="U37" t="str">
        <f>COUNTIF(Details!$G$3:$G$5000, "DMC L3")</f>
        <v>0</v>
      </c>
      <c r="V37" s="6" t="str">
        <f>t37/u37</f>
        <v>0</v>
      </c>
    </row>
    <row r="38" spans="1:44">
      <c r="S38" t="s">
        <v>54</v>
      </c>
      <c r="T38" t="str">
        <f>COUNTIFS(Details!$P$3:$P$5000,"Passed",Details!$G$3:$G$5000,"DMC L4")</f>
        <v>0</v>
      </c>
      <c r="U38" t="str">
        <f>COUNTIF(Details!$G$3:$G$5000, "DMC L4")</f>
        <v>0</v>
      </c>
      <c r="V38" s="6" t="str">
        <f>t38/u38</f>
        <v>0</v>
      </c>
    </row>
    <row r="39" spans="1:44">
      <c r="S39" t="s">
        <v>24</v>
      </c>
      <c r="T39" t="str">
        <f>COUNTIFS(Details!$P$3:$P$5000,"Passed",Details!$G$3:$G$5000,"DMC Podiatry")</f>
        <v>0</v>
      </c>
      <c r="U39" t="str">
        <f>COUNTIF(Details!$G$3:$G$5000, "DMC Podiatry")</f>
        <v>0</v>
      </c>
      <c r="V39" s="6" t="str">
        <f>t39/u39</f>
        <v>0</v>
      </c>
    </row>
    <row r="40" spans="1:44">
      <c r="S40" t="s">
        <v>55</v>
      </c>
      <c r="T40" t="str">
        <f>COUNTIFS(Details!$P$3:$P$5000,"Passed",Details!$G$3:$G$5000,"Dialysis Centre")</f>
        <v>0</v>
      </c>
      <c r="U40" t="str">
        <f>COUNTIF(Details!$G$3:$G$5000, "Dialysis Centre")</f>
        <v>0</v>
      </c>
      <c r="V40" s="6" t="str">
        <f>t40/u40</f>
        <v>0</v>
      </c>
    </row>
    <row r="41" spans="1:44">
      <c r="S41" t="s">
        <v>56</v>
      </c>
      <c r="T41" t="str">
        <f>COUNTIFS(Details!$P$3:$P$5000,"Passed",Details!$G$3:$G$5000,"ENT Centre")</f>
        <v>0</v>
      </c>
      <c r="U41" t="str">
        <f>COUNTIF(Details!$G$3:$G$5000, "ENT Centre")</f>
        <v>0</v>
      </c>
      <c r="V41" s="6" t="str">
        <f>t41/u41</f>
        <v>0</v>
      </c>
    </row>
    <row r="42" spans="1:44">
      <c r="S42" t="s">
        <v>57</v>
      </c>
      <c r="T42" t="str">
        <f>COUNTIFS(Details!$P$3:$P$5000,"Passed",Details!$G$3:$G$5000,"Emergency Medicine")</f>
        <v>0</v>
      </c>
      <c r="U42" t="str">
        <f>COUNTIF(Details!$G$3:$G$5000, "Emergency Medicine")</f>
        <v>0</v>
      </c>
      <c r="V42" s="6" t="str">
        <f>t42/u42</f>
        <v>0</v>
      </c>
    </row>
    <row r="43" spans="1:44">
      <c r="S43" t="s">
        <v>58</v>
      </c>
      <c r="T43" t="str">
        <f>COUNTIFS(Details!$P$3:$P$5000,"Passed",Details!$G$3:$G$5000,"Endoscopy Centre")</f>
        <v>0</v>
      </c>
      <c r="U43" t="str">
        <f>COUNTIF(Details!$G$3:$G$5000, "Endoscopy Centre")</f>
        <v>0</v>
      </c>
      <c r="V43" s="6" t="str">
        <f>t43/u43</f>
        <v>0</v>
      </c>
    </row>
    <row r="44" spans="1:44">
      <c r="S44" t="s">
        <v>37</v>
      </c>
      <c r="T44" t="str">
        <f>COUNTIFS(Details!$P$3:$P$5000,"Passed",Details!$G$3:$G$5000,"FPP Clinic")</f>
        <v>0</v>
      </c>
      <c r="U44" t="str">
        <f>COUNTIF(Details!$G$3:$G$5000, "FPP Clinic")</f>
        <v>0</v>
      </c>
      <c r="V44" s="6" t="str">
        <f>t44/u44</f>
        <v>0</v>
      </c>
    </row>
    <row r="45" spans="1:44">
      <c r="S45" t="s">
        <v>59</v>
      </c>
      <c r="T45" t="str">
        <f>COUNTIFS(Details!$P$3:$P$5000,"Passed",Details!$G$3:$G$5000,"Haematology Centre")</f>
        <v>0</v>
      </c>
      <c r="U45" t="str">
        <f>COUNTIF(Details!$G$3:$G$5000, "Haematology Centre")</f>
        <v>0</v>
      </c>
      <c r="V45" s="6" t="str">
        <f>t45/u45</f>
        <v>0</v>
      </c>
    </row>
    <row r="46" spans="1:44">
      <c r="S46" t="s">
        <v>39</v>
      </c>
      <c r="T46" t="str">
        <f>COUNTIFS(Details!$P$3:$P$5000,"Passed",Details!$G$3:$G$5000,"Health Assessment Center")</f>
        <v>0</v>
      </c>
      <c r="U46" t="str">
        <f>COUNTIF(Details!$G$3:$G$5000, "Health Assessment Center")</f>
        <v>0</v>
      </c>
      <c r="V46" s="6" t="str">
        <f>t46/u46</f>
        <v>0</v>
      </c>
    </row>
    <row r="47" spans="1:44">
      <c r="S47" t="s">
        <v>60</v>
      </c>
      <c r="T47" t="str">
        <f>COUNTIFS(Details!$P$3:$P$5000,"Passed",Details!$G$3:$G$5000,"LIFE Centre")</f>
        <v>0</v>
      </c>
      <c r="U47" t="str">
        <f>COUNTIF(Details!$G$3:$G$5000, "LIFE Centre")</f>
        <v>0</v>
      </c>
      <c r="V47" s="6" t="str">
        <f>t47/u47</f>
        <v>0</v>
      </c>
    </row>
    <row r="48" spans="1:44">
      <c r="S48" t="s">
        <v>61</v>
      </c>
      <c r="T48" t="str">
        <f>COUNTIFS(Details!$P$3:$P$5000,"Passed",Details!$G$3:$G$5000,"MOT scrub")</f>
        <v>0</v>
      </c>
      <c r="U48" t="str">
        <f>COUNTIF(Details!$G$3:$G$5000, "MOT scrub")</f>
        <v>0</v>
      </c>
      <c r="V48" s="6" t="str">
        <f>t48/u48</f>
        <v>0</v>
      </c>
    </row>
    <row r="49" spans="1:44">
      <c r="S49" t="s">
        <v>62</v>
      </c>
      <c r="T49" t="str">
        <f>COUNTIFS(Details!$P$3:$P$5000,"Passed",Details!$G$3:$G$5000,"Musculoskelatal Centre (MSC)")</f>
        <v>0</v>
      </c>
      <c r="U49" t="str">
        <f>COUNTIF(Details!$G$3:$G$5000, "Musculoskelatal Centre (MSC)")</f>
        <v>0</v>
      </c>
      <c r="V49" s="6" t="str">
        <f>t49/u49</f>
        <v>0</v>
      </c>
    </row>
    <row r="50" spans="1:44">
      <c r="S50" t="s">
        <v>63</v>
      </c>
      <c r="T50" t="str">
        <f>COUNTIFS(Details!$P$3:$P$5000,"Passed",Details!$G$3:$G$5000,"OGC")</f>
        <v>0</v>
      </c>
      <c r="U50" t="str">
        <f>COUNTIF(Details!$G$3:$G$5000, "OGC")</f>
        <v>0</v>
      </c>
      <c r="V50" s="6" t="str">
        <f>t50/u50</f>
        <v>0</v>
      </c>
    </row>
    <row r="51" spans="1:44">
      <c r="S51" t="s">
        <v>64</v>
      </c>
      <c r="T51" t="str">
        <f>COUNTIFS(Details!$P$3:$P$5000,"Passed",Details!$G$3:$G$5000,"OPAT")</f>
        <v>0</v>
      </c>
      <c r="U51" t="str">
        <f>COUNTIF(Details!$G$3:$G$5000, "OPAT")</f>
        <v>0</v>
      </c>
      <c r="V51" s="6" t="str">
        <f>t51/u51</f>
        <v>0</v>
      </c>
    </row>
    <row r="52" spans="1:44">
      <c r="S52" t="s">
        <v>65</v>
      </c>
      <c r="T52" t="str">
        <f>COUNTIFS(Details!$P$3:$P$5000,"Passed",Details!$G$3:$G$5000,"OSJC")</f>
        <v>0</v>
      </c>
      <c r="U52" t="str">
        <f>COUNTIF(Details!$G$3:$G$5000, "OSJC")</f>
        <v>0</v>
      </c>
      <c r="V52" s="6" t="str">
        <f>t52/u52</f>
        <v>0</v>
      </c>
    </row>
    <row r="53" spans="1:44">
      <c r="S53" t="s">
        <v>66</v>
      </c>
      <c r="T53" t="str">
        <f>COUNTIFS(Details!$P$3:$P$5000,"Passed",Details!$G$3:$G$5000,"Peritoneal Dialysis Centre")</f>
        <v>0</v>
      </c>
      <c r="U53" t="str">
        <f>COUNTIF(Details!$G$3:$G$5000, "Peritoneal Dialysis Centre")</f>
        <v>0</v>
      </c>
      <c r="V53" s="6" t="str">
        <f>t53/u53</f>
        <v>0</v>
      </c>
    </row>
    <row r="54" spans="1:44">
      <c r="S54" t="s">
        <v>30</v>
      </c>
      <c r="T54" t="str">
        <f>COUNTIFS(Details!$P$3:$P$5000,"Passed",Details!$G$3:$G$5000,"Practise")</f>
        <v>0</v>
      </c>
      <c r="U54" t="str">
        <f>COUNTIF(Details!$G$3:$G$5000, "Practise")</f>
        <v>0</v>
      </c>
      <c r="V54" s="6" t="str">
        <f>t54/u54</f>
        <v>0</v>
      </c>
    </row>
    <row r="55" spans="1:44">
      <c r="S55" t="s">
        <v>67</v>
      </c>
      <c r="T55" t="str">
        <f>COUNTIFS(Details!$P$3:$P$5000,"Passed",Details!$G$3:$G$5000,"SICU")</f>
        <v>0</v>
      </c>
      <c r="U55" t="str">
        <f>COUNTIF(Details!$G$3:$G$5000, "SICU")</f>
        <v>0</v>
      </c>
      <c r="V55" s="6" t="str">
        <f>t55/u55</f>
        <v>0</v>
      </c>
    </row>
    <row r="56" spans="1:44">
      <c r="S56" t="s">
        <v>48</v>
      </c>
      <c r="T56" t="str">
        <f>COUNTIFS(Details!$P$3:$P$5000,"Passed",Details!$G$3:$G$5000,"Staff Centre")</f>
        <v>0</v>
      </c>
      <c r="U56" t="str">
        <f>COUNTIF(Details!$G$3:$G$5000, "Staff Centre")</f>
        <v>0</v>
      </c>
      <c r="V56" s="6" t="str">
        <f>t56/u56</f>
        <v>0</v>
      </c>
    </row>
    <row r="57" spans="1:44">
      <c r="S57" t="s">
        <v>68</v>
      </c>
      <c r="T57" t="str">
        <f>COUNTIFS(Details!$P$3:$P$5000,"Passed",Details!$G$3:$G$5000,"Transplant Centre")</f>
        <v>0</v>
      </c>
      <c r="U57" t="str">
        <f>COUNTIF(Details!$G$3:$G$5000, "Transplant Centre")</f>
        <v>0</v>
      </c>
      <c r="V57" s="6" t="str">
        <f>t57/u57</f>
        <v>0</v>
      </c>
    </row>
    <row r="58" spans="1:44">
      <c r="S58" t="s">
        <v>50</v>
      </c>
      <c r="T58" t="str">
        <f>COUNTIFS(Details!$P$3:$P$5000,"Passed",Details!$G$3:$G$5000,"URO OT")</f>
        <v>0</v>
      </c>
      <c r="U58" t="str">
        <f>COUNTIF(Details!$G$3:$G$5000, "URO OT")</f>
        <v>0</v>
      </c>
      <c r="V58" s="6" t="str">
        <f>t58/u58</f>
        <v>0</v>
      </c>
    </row>
    <row r="59" spans="1:44">
      <c r="S59" t="s">
        <v>69</v>
      </c>
      <c r="T59" t="str">
        <f>COUNTIFS(Details!$P$3:$P$5000,"Passed",Details!$G$3:$G$5000,"Urology Centre")</f>
        <v>0</v>
      </c>
      <c r="U59" t="str">
        <f>COUNTIF(Details!$G$3:$G$5000, "Urology Centre")</f>
        <v>0</v>
      </c>
      <c r="V59" s="6" t="str">
        <f>t59/u59</f>
        <v>0</v>
      </c>
    </row>
    <row r="60" spans="1:44">
      <c r="S60" t="s">
        <v>70</v>
      </c>
      <c r="T60" t="str">
        <f>COUNTIFS(Details!$P$3:$P$5000,"Passed",Details!$G$3:$G$5000,"W42")</f>
        <v>0</v>
      </c>
      <c r="U60" t="str">
        <f>COUNTIF(Details!$G$3:$G$5000, "W42")</f>
        <v>0</v>
      </c>
      <c r="V60" s="6" t="str">
        <f>t60/u60</f>
        <v>0</v>
      </c>
    </row>
    <row r="61" spans="1:44">
      <c r="S61" t="s">
        <v>71</v>
      </c>
      <c r="T61" t="str">
        <f>COUNTIFS(Details!$P$3:$P$5000,"Passed",Details!$G$3:$G$5000,"W43")</f>
        <v>0</v>
      </c>
      <c r="U61" t="str">
        <f>COUNTIF(Details!$G$3:$G$5000, "W43")</f>
        <v>0</v>
      </c>
      <c r="V61" s="6" t="str">
        <f>t61/u61</f>
        <v>0</v>
      </c>
    </row>
    <row r="62" spans="1:44">
      <c r="S62" t="s">
        <v>72</v>
      </c>
      <c r="T62" t="str">
        <f>COUNTIFS(Details!$P$3:$P$5000,"Passed",Details!$G$3:$G$5000,"W45")</f>
        <v>0</v>
      </c>
      <c r="U62" t="str">
        <f>COUNTIF(Details!$G$3:$G$5000, "W45")</f>
        <v>0</v>
      </c>
      <c r="V62" s="6" t="str">
        <f>t62/u62</f>
        <v>0</v>
      </c>
    </row>
    <row r="63" spans="1:44">
      <c r="S63" t="s">
        <v>73</v>
      </c>
      <c r="T63" t="str">
        <f>COUNTIFS(Details!$P$3:$P$5000,"Passed",Details!$G$3:$G$5000,"W46")</f>
        <v>0</v>
      </c>
      <c r="U63" t="str">
        <f>COUNTIF(Details!$G$3:$G$5000, "W46")</f>
        <v>0</v>
      </c>
      <c r="V63" s="6" t="str">
        <f>t63/u63</f>
        <v>0</v>
      </c>
    </row>
    <row r="64" spans="1:44">
      <c r="S64" t="s">
        <v>74</v>
      </c>
      <c r="T64" t="str">
        <f>COUNTIFS(Details!$P$3:$P$5000,"Passed",Details!$G$3:$G$5000,"W47A")</f>
        <v>0</v>
      </c>
      <c r="U64" t="str">
        <f>COUNTIF(Details!$G$3:$G$5000, "W47A")</f>
        <v>0</v>
      </c>
      <c r="V64" s="6" t="str">
        <f>t64/u64</f>
        <v>0</v>
      </c>
    </row>
    <row r="65" spans="1:44">
      <c r="S65" t="s">
        <v>75</v>
      </c>
      <c r="T65" t="str">
        <f>COUNTIFS(Details!$P$3:$P$5000,"Passed",Details!$G$3:$G$5000,"W48 HAE")</f>
        <v>0</v>
      </c>
      <c r="U65" t="str">
        <f>COUNTIF(Details!$G$3:$G$5000, "W48 HAE")</f>
        <v>0</v>
      </c>
      <c r="V65" s="6" t="str">
        <f>t65/u65</f>
        <v>0</v>
      </c>
    </row>
    <row r="66" spans="1:44">
      <c r="S66" t="s">
        <v>76</v>
      </c>
      <c r="T66" t="str">
        <f>COUNTIFS(Details!$P$3:$P$5000,"Passed",Details!$G$3:$G$5000,"W48 ONC")</f>
        <v>0</v>
      </c>
      <c r="U66" t="str">
        <f>COUNTIF(Details!$G$3:$G$5000, "W48 ONC")</f>
        <v>0</v>
      </c>
      <c r="V66" s="6" t="str">
        <f>t66/u66</f>
        <v>0</v>
      </c>
    </row>
    <row r="67" spans="1:44">
      <c r="S67" t="s">
        <v>77</v>
      </c>
      <c r="T67" t="str">
        <f>COUNTIFS(Details!$P$3:$P$5000,"Passed",Details!$G$3:$G$5000,"W52A")</f>
        <v>0</v>
      </c>
      <c r="U67" t="str">
        <f>COUNTIF(Details!$G$3:$G$5000, "W52A")</f>
        <v>0</v>
      </c>
      <c r="V67" s="6" t="str">
        <f>t67/u67</f>
        <v>0</v>
      </c>
    </row>
    <row r="68" spans="1:44">
      <c r="S68" t="s">
        <v>78</v>
      </c>
      <c r="T68" t="str">
        <f>COUNTIFS(Details!$P$3:$P$5000,"Passed",Details!$G$3:$G$5000,"W52B ")</f>
        <v>0</v>
      </c>
      <c r="U68" t="str">
        <f>COUNTIF(Details!$G$3:$G$5000, "W52B ")</f>
        <v>0</v>
      </c>
      <c r="V68" s="6" t="str">
        <f>t68/u68</f>
        <v>0</v>
      </c>
    </row>
    <row r="69" spans="1:44">
      <c r="S69" t="s">
        <v>79</v>
      </c>
      <c r="T69" t="str">
        <f>COUNTIFS(Details!$P$3:$P$5000,"Passed",Details!$G$3:$G$5000,"W53A")</f>
        <v>0</v>
      </c>
      <c r="U69" t="str">
        <f>COUNTIF(Details!$G$3:$G$5000, "W53A")</f>
        <v>0</v>
      </c>
      <c r="V69" s="6" t="str">
        <f>t69/u69</f>
        <v>0</v>
      </c>
    </row>
    <row r="70" spans="1:44">
      <c r="S70" t="s">
        <v>80</v>
      </c>
      <c r="T70" t="str">
        <f>COUNTIFS(Details!$P$3:$P$5000,"Passed",Details!$G$3:$G$5000,"W53C")</f>
        <v>0</v>
      </c>
      <c r="U70" t="str">
        <f>COUNTIF(Details!$G$3:$G$5000, "W53C")</f>
        <v>0</v>
      </c>
      <c r="V70" s="6" t="str">
        <f>t70/u70</f>
        <v>0</v>
      </c>
    </row>
    <row r="71" spans="1:44">
      <c r="S71" t="s">
        <v>81</v>
      </c>
      <c r="T71" t="str">
        <f>COUNTIFS(Details!$P$3:$P$5000,"Passed",Details!$G$3:$G$5000,"W54 Neo")</f>
        <v>0</v>
      </c>
      <c r="U71" t="str">
        <f>COUNTIF(Details!$G$3:$G$5000, "W54 Neo")</f>
        <v>0</v>
      </c>
      <c r="V71" s="6" t="str">
        <f>t71/u71</f>
        <v>0</v>
      </c>
    </row>
    <row r="72" spans="1:44">
      <c r="S72" t="s">
        <v>82</v>
      </c>
      <c r="T72" t="str">
        <f>COUNTIFS(Details!$P$3:$P$5000,"Passed",Details!$G$3:$G$5000,"W54D")</f>
        <v>0</v>
      </c>
      <c r="U72" t="str">
        <f>COUNTIF(Details!$G$3:$G$5000, "W54D")</f>
        <v>0</v>
      </c>
      <c r="V72" s="6" t="str">
        <f>t72/u72</f>
        <v>0</v>
      </c>
    </row>
    <row r="73" spans="1:44">
      <c r="S73" t="s">
        <v>83</v>
      </c>
      <c r="T73" t="str">
        <f>COUNTIFS(Details!$P$3:$P$5000,"Passed",Details!$G$3:$G$5000,"W55 A&amp;B")</f>
        <v>0</v>
      </c>
      <c r="U73" t="str">
        <f>COUNTIF(Details!$G$3:$G$5000, "W55 A&amp;B")</f>
        <v>0</v>
      </c>
      <c r="V73" s="6" t="str">
        <f>t73/u73</f>
        <v>0</v>
      </c>
    </row>
    <row r="74" spans="1:44">
      <c r="S74" t="s">
        <v>84</v>
      </c>
      <c r="T74" t="str">
        <f>COUNTIFS(Details!$P$3:$P$5000,"Passed",Details!$G$3:$G$5000,"W57")</f>
        <v>0</v>
      </c>
      <c r="U74" t="str">
        <f>COUNTIF(Details!$G$3:$G$5000, "W57")</f>
        <v>0</v>
      </c>
      <c r="V74" s="6" t="str">
        <f>t74/u74</f>
        <v>0</v>
      </c>
    </row>
    <row r="75" spans="1:44">
      <c r="S75" t="s">
        <v>85</v>
      </c>
      <c r="T75" t="str">
        <f>COUNTIFS(Details!$P$3:$P$5000,"Passed",Details!$G$3:$G$5000,"W58 SUR")</f>
        <v>0</v>
      </c>
      <c r="U75" t="str">
        <f>COUNTIF(Details!$G$3:$G$5000, "W58 SUR")</f>
        <v>0</v>
      </c>
      <c r="V75" s="6" t="str">
        <f>t75/u75</f>
        <v>0</v>
      </c>
    </row>
    <row r="76" spans="1:44">
      <c r="S76" t="s">
        <v>86</v>
      </c>
      <c r="T76" t="str">
        <f>COUNTIFS(Details!$P$3:$P$5000,"Passed",Details!$G$3:$G$5000,"W58B ID")</f>
        <v>0</v>
      </c>
      <c r="U76" t="str">
        <f>COUNTIF(Details!$G$3:$G$5000, "W58B ID")</f>
        <v>0</v>
      </c>
      <c r="V76" s="6" t="str">
        <f>t76/u76</f>
        <v>0</v>
      </c>
    </row>
    <row r="77" spans="1:44">
      <c r="S77" t="s">
        <v>87</v>
      </c>
      <c r="T77" t="str">
        <f>COUNTIFS(Details!$P$3:$P$5000,"Passed",Details!$G$3:$G$5000,"W63A")</f>
        <v>0</v>
      </c>
      <c r="U77" t="str">
        <f>COUNTIF(Details!$G$3:$G$5000, "W63A")</f>
        <v>0</v>
      </c>
      <c r="V77" s="6" t="str">
        <f>t77/u77</f>
        <v>0</v>
      </c>
    </row>
    <row r="78" spans="1:44">
      <c r="S78" t="s">
        <v>88</v>
      </c>
      <c r="T78" t="str">
        <f>COUNTIFS(Details!$P$3:$P$5000,"Passed",Details!$G$3:$G$5000,"W63B")</f>
        <v>0</v>
      </c>
      <c r="U78" t="str">
        <f>COUNTIF(Details!$G$3:$G$5000, "W63B")</f>
        <v>0</v>
      </c>
      <c r="V78" s="6" t="str">
        <f>t78/u78</f>
        <v>0</v>
      </c>
    </row>
    <row r="79" spans="1:44">
      <c r="S79" t="s">
        <v>89</v>
      </c>
      <c r="T79" t="str">
        <f>COUNTIFS(Details!$P$3:$P$5000,"Passed",Details!$G$3:$G$5000,"W64A")</f>
        <v>0</v>
      </c>
      <c r="U79" t="str">
        <f>COUNTIF(Details!$G$3:$G$5000, "W64A")</f>
        <v>0</v>
      </c>
      <c r="V79" s="6" t="str">
        <f>t79/u79</f>
        <v>0</v>
      </c>
    </row>
    <row r="80" spans="1:44">
      <c r="S80" t="s">
        <v>90</v>
      </c>
      <c r="T80" t="str">
        <f>COUNTIFS(Details!$P$3:$P$5000,"Passed",Details!$G$3:$G$5000,"W64C")</f>
        <v>0</v>
      </c>
      <c r="U80" t="str">
        <f>COUNTIF(Details!$G$3:$G$5000, "W64C")</f>
        <v>0</v>
      </c>
      <c r="V80" s="6" t="str">
        <f>t80/u80</f>
        <v>0</v>
      </c>
    </row>
    <row r="81" spans="1:44">
      <c r="S81" t="s">
        <v>91</v>
      </c>
      <c r="T81" t="str">
        <f>COUNTIFS(Details!$P$3:$P$5000,"Passed",Details!$G$3:$G$5000,"W64F (Cohort room)")</f>
        <v>0</v>
      </c>
      <c r="U81" t="str">
        <f>COUNTIF(Details!$G$3:$G$5000, "W64F (Cohort room)")</f>
        <v>0</v>
      </c>
      <c r="V81" s="6" t="str">
        <f>t81/u81</f>
        <v>0</v>
      </c>
    </row>
    <row r="82" spans="1:44">
      <c r="S82" t="s">
        <v>92</v>
      </c>
      <c r="T82" t="str">
        <f>COUNTIFS(Details!$P$3:$P$5000,"Passed",Details!$G$3:$G$5000,"W66")</f>
        <v>0</v>
      </c>
      <c r="U82" t="str">
        <f>COUNTIF(Details!$G$3:$G$5000, "W66")</f>
        <v>0</v>
      </c>
      <c r="V82" s="6" t="str">
        <f>t82/u82</f>
        <v>0</v>
      </c>
    </row>
    <row r="83" spans="1:44">
      <c r="S83" t="s">
        <v>93</v>
      </c>
      <c r="T83" t="str">
        <f>COUNTIFS(Details!$P$3:$P$5000,"Passed",Details!$G$3:$G$5000,"W67")</f>
        <v>0</v>
      </c>
      <c r="U83" t="str">
        <f>COUNTIF(Details!$G$3:$G$5000, "W67")</f>
        <v>0</v>
      </c>
      <c r="V83" s="6" t="str">
        <f>t83/u83</f>
        <v>0</v>
      </c>
    </row>
    <row r="84" spans="1:44">
      <c r="S84" t="s">
        <v>94</v>
      </c>
      <c r="T84" t="str">
        <f>COUNTIFS(Details!$P$3:$P$5000,"Passed",Details!$G$3:$G$5000,"W68")</f>
        <v>0</v>
      </c>
      <c r="U84" t="str">
        <f>COUNTIF(Details!$G$3:$G$5000, "W68")</f>
        <v>0</v>
      </c>
      <c r="V84" s="6" t="str">
        <f>t84/u84</f>
        <v>0</v>
      </c>
    </row>
    <row r="85" spans="1:44">
      <c r="S85" t="s">
        <v>95</v>
      </c>
      <c r="T85" t="str">
        <f>COUNTIFS(Details!$P$3:$P$5000,"Passed",Details!$G$3:$G$5000,"W72")</f>
        <v>0</v>
      </c>
      <c r="U85" t="str">
        <f>COUNTIF(Details!$G$3:$G$5000, "W72")</f>
        <v>0</v>
      </c>
      <c r="V85" s="6" t="str">
        <f>t85/u85</f>
        <v>0</v>
      </c>
    </row>
    <row r="86" spans="1:44">
      <c r="S86" t="s">
        <v>96</v>
      </c>
      <c r="T86" t="str">
        <f>COUNTIFS(Details!$P$3:$P$5000,"Passed",Details!$G$3:$G$5000,"W73")</f>
        <v>0</v>
      </c>
      <c r="U86" t="str">
        <f>COUNTIF(Details!$G$3:$G$5000, "W73")</f>
        <v>0</v>
      </c>
      <c r="V86" s="6" t="str">
        <f>t86/u86</f>
        <v>0</v>
      </c>
    </row>
    <row r="87" spans="1:44">
      <c r="S87" t="s">
        <v>97</v>
      </c>
      <c r="T87" t="str">
        <f>COUNTIFS(Details!$P$3:$P$5000,"Passed",Details!$G$3:$G$5000,"W74")</f>
        <v>0</v>
      </c>
      <c r="U87" t="str">
        <f>COUNTIF(Details!$G$3:$G$5000, "W74")</f>
        <v>0</v>
      </c>
      <c r="V87" s="6" t="str">
        <f>t87/u87</f>
        <v>0</v>
      </c>
    </row>
    <row r="88" spans="1:44">
      <c r="S88" t="s">
        <v>98</v>
      </c>
      <c r="T88" t="str">
        <f>COUNTIFS(Details!$P$3:$P$5000,"Passed",Details!$G$3:$G$5000,"W75")</f>
        <v>0</v>
      </c>
      <c r="U88" t="str">
        <f>COUNTIF(Details!$G$3:$G$5000, "W75")</f>
        <v>0</v>
      </c>
      <c r="V88" s="6" t="str">
        <f>t88/u88</f>
        <v>0</v>
      </c>
    </row>
    <row r="89" spans="1:44">
      <c r="S89" t="s">
        <v>99</v>
      </c>
      <c r="T89" t="str">
        <f>COUNTIFS(Details!$P$3:$P$5000,"Passed",Details!$G$3:$G$5000,"W76")</f>
        <v>0</v>
      </c>
      <c r="U89" t="str">
        <f>COUNTIF(Details!$G$3:$G$5000, "W76")</f>
        <v>0</v>
      </c>
      <c r="V89" s="6" t="str">
        <f>t89/u89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Details</vt:lpstr>
      <vt:lpstr>Moment-HCW</vt:lpstr>
      <vt:lpstr>LocLevel1</vt:lpstr>
      <vt:lpstr>LocLevel2</vt:lpstr>
      <vt:lpstr>LocLevel3</vt:lpstr>
      <vt:lpstr>LocLevel4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2017-08-29T10:11:26+08:00</dcterms:created>
  <dcterms:modified xsi:type="dcterms:W3CDTF">2017-08-29T10:11:26+08:00</dcterms:modified>
  <dc:title>HHAT Compliance Data</dc:title>
  <dc:description>System Generated Reports</dc:description>
  <dc:subject>HHAT Reports</dc:subject>
  <cp:keywords/>
  <cp:category/>
</cp:coreProperties>
</file>