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Details" sheetId="2" r:id="rId5"/>
    <sheet name="Moment-HCW" sheetId="3" r:id="rId6"/>
    <sheet name="LocLevel1" sheetId="4" r:id="rId7"/>
    <sheet name="LocLevel2" sheetId="5" r:id="rId8"/>
    <sheet name="LocLevel3" sheetId="6" r:id="rId9"/>
    <sheet name="LocLevel4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<sst xmlns="http://schemas.openxmlformats.org/spreadsheetml/2006/main" uniqueCount="1280">
  <si>
    <t>Filters Used:</t>
  </si>
  <si>
    <t>Date From</t>
  </si>
  <si>
    <t>11-13-2017</t>
  </si>
  <si>
    <t>Date To</t>
  </si>
  <si>
    <t>11-30-2017</t>
  </si>
  <si>
    <t>Loc Level 1</t>
  </si>
  <si>
    <t>Passed</t>
  </si>
  <si>
    <t>Total</t>
  </si>
  <si>
    <t>%</t>
  </si>
  <si>
    <t>Loc Level 2</t>
  </si>
  <si>
    <t>Loc Level 3</t>
  </si>
  <si>
    <t>Loc Level 4</t>
  </si>
  <si>
    <t>HCW Type</t>
  </si>
  <si>
    <t>Moment</t>
  </si>
  <si>
    <t>Count</t>
  </si>
  <si>
    <t>Failed</t>
  </si>
  <si>
    <t>Dialysis/Peritoneal Dialysis</t>
  </si>
  <si>
    <t>(skip)</t>
  </si>
  <si>
    <t>AIC Advanced Imaging Centre</t>
  </si>
  <si>
    <t>Nurse</t>
  </si>
  <si>
    <t>Emergency(A &amp; E)</t>
  </si>
  <si>
    <t>OT</t>
  </si>
  <si>
    <t>Practise</t>
  </si>
  <si>
    <t>ARC</t>
  </si>
  <si>
    <t>Doctor</t>
  </si>
  <si>
    <t>NHCS Ambulatory Care</t>
  </si>
  <si>
    <t>Out Patient</t>
  </si>
  <si>
    <t>ASC</t>
  </si>
  <si>
    <t>Ancillary</t>
  </si>
  <si>
    <t>NHCS Inpatient Wards</t>
  </si>
  <si>
    <t>AU/EN GP/HCA</t>
  </si>
  <si>
    <t>Allied Health</t>
  </si>
  <si>
    <t>Night Audit</t>
  </si>
  <si>
    <t>Ambulatory Endoscopy Centre</t>
  </si>
  <si>
    <t>BOT / NHC OT / RY</t>
  </si>
  <si>
    <t>SDA Same Day Admission</t>
  </si>
  <si>
    <t>BVH</t>
  </si>
  <si>
    <t>SGH DDR Centres</t>
  </si>
  <si>
    <t>CARE / Prenatal Diagnostic Centre (PDC)</t>
  </si>
  <si>
    <t>SGH OT services</t>
  </si>
  <si>
    <t>CCU</t>
  </si>
  <si>
    <t>SOC</t>
  </si>
  <si>
    <t>CDLD</t>
  </si>
  <si>
    <t>Weekly Inpatient Audit</t>
  </si>
  <si>
    <t>CTICU</t>
  </si>
  <si>
    <t>CTOT</t>
  </si>
  <si>
    <t>Cardiac Clinics A &amp; B  and SAF</t>
  </si>
  <si>
    <t xml:space="preserve">Cardiac Laboratory </t>
  </si>
  <si>
    <t xml:space="preserve">Cardiac Radiology and Nuclear Imaging </t>
  </si>
  <si>
    <t xml:space="preserve">Cardiac Rehab &amp; Physio </t>
  </si>
  <si>
    <t>Cath Lab</t>
  </si>
  <si>
    <t>Clinic A</t>
  </si>
  <si>
    <t>Clinic B</t>
  </si>
  <si>
    <t>Clinic H</t>
  </si>
  <si>
    <t>Clinic J</t>
  </si>
  <si>
    <t>Clinic K</t>
  </si>
  <si>
    <t>Clinic L</t>
  </si>
  <si>
    <t>Clinic P</t>
  </si>
  <si>
    <t>DMC L1</t>
  </si>
  <si>
    <t>DMC L4</t>
  </si>
  <si>
    <t>Dialysis Centre</t>
  </si>
  <si>
    <t>ENT Centre</t>
  </si>
  <si>
    <t>Emergency Medicine</t>
  </si>
  <si>
    <t>FPP Clinic</t>
  </si>
  <si>
    <t>GIC General Imaging Centre</t>
  </si>
  <si>
    <t>Haematology Centre</t>
  </si>
  <si>
    <t>Head &amp; Neck Centre</t>
  </si>
  <si>
    <t>Health Assessment Center</t>
  </si>
  <si>
    <t>IIC Inpatient Imaging Centre</t>
  </si>
  <si>
    <t>INS Interventional Nephrology Suite</t>
  </si>
  <si>
    <t xml:space="preserve">IRC Interventional Radiology Centre  </t>
  </si>
  <si>
    <t>L2 Clinical Lab instead of Phlebotomy</t>
  </si>
  <si>
    <t>LIFE Centre</t>
  </si>
  <si>
    <t>MOT scrub</t>
  </si>
  <si>
    <t>Musculoskelatal Centre (MSC)</t>
  </si>
  <si>
    <t>OGC</t>
  </si>
  <si>
    <t>OIC Outpatient Imaging Centre</t>
  </si>
  <si>
    <t>OPAT</t>
  </si>
  <si>
    <t>OSJC</t>
  </si>
  <si>
    <t>PACU &amp; Recovery</t>
  </si>
  <si>
    <t>Peritoneal Dialysis Centre</t>
  </si>
  <si>
    <t>SICU</t>
  </si>
  <si>
    <t>SSU</t>
  </si>
  <si>
    <t>Staff Clinic</t>
  </si>
  <si>
    <t>Urology Centre</t>
  </si>
  <si>
    <t>W42</t>
  </si>
  <si>
    <t>W43</t>
  </si>
  <si>
    <t>W44</t>
  </si>
  <si>
    <t>W45</t>
  </si>
  <si>
    <t>W46</t>
  </si>
  <si>
    <t>W47A</t>
  </si>
  <si>
    <t>W47B</t>
  </si>
  <si>
    <t>W48 HAE</t>
  </si>
  <si>
    <t>W48 ONC</t>
  </si>
  <si>
    <t>W52A</t>
  </si>
  <si>
    <t xml:space="preserve">W52B </t>
  </si>
  <si>
    <t>W53A</t>
  </si>
  <si>
    <t>W53C</t>
  </si>
  <si>
    <t>W54 Neo</t>
  </si>
  <si>
    <t>W54D</t>
  </si>
  <si>
    <t>W55 A&amp;B</t>
  </si>
  <si>
    <t>W56</t>
  </si>
  <si>
    <t>W57</t>
  </si>
  <si>
    <t>W58 SUR</t>
  </si>
  <si>
    <t>W58B ID</t>
  </si>
  <si>
    <t>W63A</t>
  </si>
  <si>
    <t>W63B</t>
  </si>
  <si>
    <t>W64A</t>
  </si>
  <si>
    <t>W64C</t>
  </si>
  <si>
    <t>W64F (Cohort room)</t>
  </si>
  <si>
    <t>W66</t>
  </si>
  <si>
    <t>W67</t>
  </si>
  <si>
    <t>W68</t>
  </si>
  <si>
    <t>W72</t>
  </si>
  <si>
    <t>W73</t>
  </si>
  <si>
    <t>W74</t>
  </si>
  <si>
    <t>W75</t>
  </si>
  <si>
    <t>W76</t>
  </si>
  <si>
    <t>LOCATION LEVEL</t>
  </si>
  <si>
    <t>HEALTHCARE WORKER</t>
  </si>
  <si>
    <t>HAND HYGIENE COMPLIANCE</t>
  </si>
  <si>
    <t>Occupational</t>
  </si>
  <si>
    <t>Date &amp; Time</t>
  </si>
  <si>
    <t>Auditor</t>
  </si>
  <si>
    <t>Title</t>
  </si>
  <si>
    <t>Name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</si>
  <si>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</si>
  <si>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</si>
  <si>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</si>
  <si>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</si>
  <si>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</si>
  <si>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</si>
  <si>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</si>
  <si>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</si>
  <si>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Nov 13, 2017 01:10 PM</t>
  </si>
  <si>
    <t>Nor Suhana  Binte Jahir</t>
  </si>
  <si>
    <t>rub</t>
  </si>
  <si>
    <t>-</t>
  </si>
  <si>
    <t>Nurul Nabilah Binte Jauhari</t>
  </si>
  <si>
    <t>Dr Bob</t>
  </si>
  <si>
    <t>Nov 13, 2017 01:12 PM</t>
  </si>
  <si>
    <t>Sivaran Mohan</t>
  </si>
  <si>
    <t>Droplet</t>
  </si>
  <si>
    <t>YES</t>
  </si>
  <si>
    <t>Surgical</t>
  </si>
  <si>
    <t>wash</t>
  </si>
  <si>
    <t>Nov 13, 2017 01:13 PM</t>
  </si>
  <si>
    <t>Nov 13, 2017 01:21 PM</t>
  </si>
  <si>
    <t>Lay Choon Yeo</t>
  </si>
  <si>
    <t>Dr Ros T,ay</t>
  </si>
  <si>
    <t>Nov 13, 2017 01:24 PM</t>
  </si>
  <si>
    <t>Yinling Dong</t>
  </si>
  <si>
    <t>Venus</t>
  </si>
  <si>
    <t>Rufen Xu</t>
  </si>
  <si>
    <t>Nurul</t>
  </si>
  <si>
    <t>Nov 13, 2017 02:02 PM</t>
  </si>
  <si>
    <t>Dr Tay Rossana</t>
  </si>
  <si>
    <t>Nov 13, 2017 02:03 PM</t>
  </si>
  <si>
    <t>Irene Goh</t>
  </si>
  <si>
    <t>SSN loh Lee Kiang</t>
  </si>
  <si>
    <t>Nov 13, 2017 02:36 PM</t>
  </si>
  <si>
    <t>Asiah Bte Hassan</t>
  </si>
  <si>
    <t>NO</t>
  </si>
  <si>
    <t>Nov 13, 2017 02:37 PM</t>
  </si>
  <si>
    <t>Nov 13, 2017 02:39 PM</t>
  </si>
  <si>
    <t>Nov 13, 2017 02:40 PM</t>
  </si>
  <si>
    <t>Nov 13, 2017 02:41 PM</t>
  </si>
  <si>
    <t>Nov 13, 2017 02:46 PM</t>
  </si>
  <si>
    <t>Nov 13, 2017 02:58 PM</t>
  </si>
  <si>
    <t>Nov 13, 2017 03:00 PM</t>
  </si>
  <si>
    <t>Puspa Devi D/O Ramparch</t>
  </si>
  <si>
    <t>Contact</t>
  </si>
  <si>
    <t>Nov 13, 2017 03:01 PM</t>
  </si>
  <si>
    <t>missed</t>
  </si>
  <si>
    <t>Nov 13, 2017 03:02 PM</t>
  </si>
  <si>
    <t>Nov 13, 2017 03:03 PM</t>
  </si>
  <si>
    <t>Nov 13, 2017 03:04 PM</t>
  </si>
  <si>
    <t>Nov 13, 2017 03:05 PM</t>
  </si>
  <si>
    <t>Physio Joseph chen</t>
  </si>
  <si>
    <t>Nov 13, 2017 04:01 PM</t>
  </si>
  <si>
    <t>Alyssa Ng Yee Ling</t>
  </si>
  <si>
    <t>Nov 13, 2017 04:42 PM</t>
  </si>
  <si>
    <t>Venus Marasigan Bancoro</t>
  </si>
  <si>
    <t>Dr. Toh Qi</t>
  </si>
  <si>
    <t>Nov 13, 2017 05:16 PM</t>
  </si>
  <si>
    <t>Loh Lee Kiang</t>
  </si>
  <si>
    <t>Suhana</t>
  </si>
  <si>
    <t>Nov 13, 2017 05:17 PM</t>
  </si>
  <si>
    <t>Dr Benjamin</t>
  </si>
  <si>
    <t>Nov 13, 2017 07:03 PM</t>
  </si>
  <si>
    <t>Elaine Lee May Lin Lin</t>
  </si>
  <si>
    <t>Nov 13, 2017 07:05 PM</t>
  </si>
  <si>
    <t>Nov 13, 2017 07:09 PM</t>
  </si>
  <si>
    <t>Did not handrub between patient</t>
  </si>
  <si>
    <t>Nov 14, 2017 08:46 AM</t>
  </si>
  <si>
    <t xml:space="preserve"> Mazuin Binte Maat</t>
  </si>
  <si>
    <t>Nov 14, 2017 09:11 AM</t>
  </si>
  <si>
    <t>Nur Syahida Bte Abdullah</t>
  </si>
  <si>
    <t>Nov 14, 2017 09:12 AM</t>
  </si>
  <si>
    <t>Nov 14, 2017 09:13 AM</t>
  </si>
  <si>
    <t>Nov 14, 2017 09:26 AM</t>
  </si>
  <si>
    <t>Rosliah Jufri</t>
  </si>
  <si>
    <t>Nov 14, 2017 09:27 AM</t>
  </si>
  <si>
    <t>Nov 14, 2017 09:28 AM</t>
  </si>
  <si>
    <t>Nov 14, 2017 09:29 AM</t>
  </si>
  <si>
    <t>Nov 14, 2017 10:03 AM</t>
  </si>
  <si>
    <t>Ai Na Aina Chow</t>
  </si>
  <si>
    <t>Nov 14, 2017 10:04 AM</t>
  </si>
  <si>
    <t>Nov 14, 2017 10:05 AM</t>
  </si>
  <si>
    <t>Venkata</t>
  </si>
  <si>
    <t>Nov 14, 2017 10:07 AM</t>
  </si>
  <si>
    <t>Dr. Venkata</t>
  </si>
  <si>
    <t>Nov 14, 2017 10:08 AM</t>
  </si>
  <si>
    <t>Karen Chan</t>
  </si>
  <si>
    <t>Nov 14, 2017 10:23 AM</t>
  </si>
  <si>
    <t>Nov 14, 2017 10:28 AM</t>
  </si>
  <si>
    <t>Nov 14, 2017 10:29 AM</t>
  </si>
  <si>
    <t>Nov 14, 2017 01:11 PM</t>
  </si>
  <si>
    <t>Lee kiang</t>
  </si>
  <si>
    <t>Nov 14, 2017 01:13 PM</t>
  </si>
  <si>
    <t>Nov 14, 2017 01:14 PM</t>
  </si>
  <si>
    <t>Nov 14, 2017 01:15 PM</t>
  </si>
  <si>
    <t>Gowri D/O Loganathan</t>
  </si>
  <si>
    <t>Nov 14, 2017 01:30 PM</t>
  </si>
  <si>
    <t>Nov 14, 2017 03:10 PM</t>
  </si>
  <si>
    <t>Janet Fung</t>
  </si>
  <si>
    <t>Nov 14, 2017 03:11 PM</t>
  </si>
  <si>
    <t>Siti Riniroyani Binte Roslan</t>
  </si>
  <si>
    <t>Nov 14, 2017 03:12 PM</t>
  </si>
  <si>
    <t>Nov 14, 2017 03:13 PM</t>
  </si>
  <si>
    <t>Nov 14, 2017 03:20 PM</t>
  </si>
  <si>
    <t>Nurul Atikah Rosni</t>
  </si>
  <si>
    <t>Nov 14, 2017 03:21 PM</t>
  </si>
  <si>
    <t>Nov 14, 2017 03:22 PM</t>
  </si>
  <si>
    <t>Nor Shaliza Ahmad</t>
  </si>
  <si>
    <t>Nov 14, 2017 03:50 PM</t>
  </si>
  <si>
    <t>Nov 14, 2017 04:45 PM</t>
  </si>
  <si>
    <t>Dr Rossana Tay</t>
  </si>
  <si>
    <t>Nov 14, 2017 05:15 PM</t>
  </si>
  <si>
    <t>Virginia Jr Abano Sy</t>
  </si>
  <si>
    <t>Nov 14, 2017 05:18 PM</t>
  </si>
  <si>
    <t>Nov 14, 2017 05:20 PM</t>
  </si>
  <si>
    <t>Nov 14, 2017 05:22 PM</t>
  </si>
  <si>
    <t>Nov 14, 2017 09:45 PM</t>
  </si>
  <si>
    <t>Neo Ah Hoe</t>
  </si>
  <si>
    <t>Nov 14, 2017 09:46 PM</t>
  </si>
  <si>
    <t>Nov 14, 2017 09:47 PM</t>
  </si>
  <si>
    <t>Nov 15, 2017 03:06 AM</t>
  </si>
  <si>
    <t>Melissa Aquino</t>
  </si>
  <si>
    <t>Nov 15, 2017 07:41 AM</t>
  </si>
  <si>
    <t>Nov 15, 2017 07:42 AM</t>
  </si>
  <si>
    <t>Nov 15, 2017 08:27 AM</t>
  </si>
  <si>
    <t>Nadiah Bte Mohamed Rahim</t>
  </si>
  <si>
    <t>Nov 15, 2017 08:30 AM</t>
  </si>
  <si>
    <t>Nov 15, 2017 08:33 AM</t>
  </si>
  <si>
    <t>Dangail</t>
  </si>
  <si>
    <t>Nov 15, 2017 08:36 AM</t>
  </si>
  <si>
    <t>Nov 15, 2017 08:39 AM</t>
  </si>
  <si>
    <t>Nov 15, 2017 09:22 AM</t>
  </si>
  <si>
    <t>Yvonne Ng</t>
  </si>
  <si>
    <t>Nov 15, 2017 09:23 AM</t>
  </si>
  <si>
    <t>Nov 15, 2017 09:29 AM</t>
  </si>
  <si>
    <t>Xiao Zhang</t>
  </si>
  <si>
    <t>Nov 15, 2017 09:30 AM</t>
  </si>
  <si>
    <t>Nov 15, 2017 09:32 AM</t>
  </si>
  <si>
    <t>Nov 15, 2017 09:33 AM</t>
  </si>
  <si>
    <t>Nov 15, 2017 09:56 AM</t>
  </si>
  <si>
    <t>Muhd Azri Johari</t>
  </si>
  <si>
    <t>Nov 15, 2017 09:57 AM</t>
  </si>
  <si>
    <t>Nov 15, 2017 01:37 PM</t>
  </si>
  <si>
    <t>Cherry Pincel Bacani</t>
  </si>
  <si>
    <t>Nov 15, 2017 01:38 PM</t>
  </si>
  <si>
    <t>Nov 15, 2017 01:39 PM</t>
  </si>
  <si>
    <t>Nov 15, 2017 01:40 PM</t>
  </si>
  <si>
    <t>Nov 15, 2017 01:41 PM</t>
  </si>
  <si>
    <t>Nov 15, 2017 02:15 PM</t>
  </si>
  <si>
    <t>Nisaaini Ahmad Misdi</t>
  </si>
  <si>
    <t>Nov 15, 2017 02:16 PM</t>
  </si>
  <si>
    <t>Nov 15, 2017 02:17 PM</t>
  </si>
  <si>
    <t>Nov 15, 2017 02:41 PM</t>
  </si>
  <si>
    <t>Beevifatimah D/O Ahamed Sha</t>
  </si>
  <si>
    <t>Nov 15, 2017 02:42 PM</t>
  </si>
  <si>
    <t>Nov 15, 2017 02:43 PM</t>
  </si>
  <si>
    <t>Nov 15, 2017 03:00 PM</t>
  </si>
  <si>
    <t>Ann Chan</t>
  </si>
  <si>
    <t>Nov 15, 2017 03:32 PM</t>
  </si>
  <si>
    <t>Nov 15, 2017 03:33 PM</t>
  </si>
  <si>
    <t>Haslinda Hassan</t>
  </si>
  <si>
    <t>Nov 15, 2017 03:34 PM</t>
  </si>
  <si>
    <t>Nov 15, 2017 03:35 PM</t>
  </si>
  <si>
    <t>Nov 15, 2017 03:43 PM</t>
  </si>
  <si>
    <t>Suriani Zahari</t>
  </si>
  <si>
    <t>Nov 15, 2017 03:44 PM</t>
  </si>
  <si>
    <t>Nov 15, 2017 03:45 PM</t>
  </si>
  <si>
    <t>Kate Quilan Chen</t>
  </si>
  <si>
    <t>Nov 15, 2017 03:46 PM</t>
  </si>
  <si>
    <t>Nov 15, 2017 03:49 PM</t>
  </si>
  <si>
    <t>Nov 15, 2017 03:52 PM</t>
  </si>
  <si>
    <t>Nov 15, 2017 04:35 PM</t>
  </si>
  <si>
    <t>Nurul Nabilah</t>
  </si>
  <si>
    <t>Nov 15, 2017 04:36 PM</t>
  </si>
  <si>
    <t>Lim Zhan Ye</t>
  </si>
  <si>
    <t>Nov 15, 2017 04:37 PM</t>
  </si>
  <si>
    <t>Nov 15, 2017 06:19 PM</t>
  </si>
  <si>
    <t>Kyrene Pizana</t>
  </si>
  <si>
    <t>Nov 15, 2017 06:20 PM</t>
  </si>
  <si>
    <t>Nov 15, 2017 07:40 PM</t>
  </si>
  <si>
    <t>Choh Sun Chua</t>
  </si>
  <si>
    <t>Nov 15, 2017 07:41 PM</t>
  </si>
  <si>
    <t>Nov 15, 2017 07:43 PM</t>
  </si>
  <si>
    <t>Nov 15, 2017 08:09 PM</t>
  </si>
  <si>
    <t>Zulailah</t>
  </si>
  <si>
    <t>Nov 15, 2017 08:28 PM</t>
  </si>
  <si>
    <t>Jayanthi Sivam Pillay</t>
  </si>
  <si>
    <t>Nov 15, 2017 08:29 PM</t>
  </si>
  <si>
    <t>Nov 15, 2017 08:30 PM</t>
  </si>
  <si>
    <t>Nov 15, 2017 08:32 PM</t>
  </si>
  <si>
    <t>Nov 15, 2017 08:33 PM</t>
  </si>
  <si>
    <t>Nov 15, 2017 08:42 PM</t>
  </si>
  <si>
    <t>Nov 15, 2017 08:44 PM</t>
  </si>
  <si>
    <t>Nov 15, 2017 08:45 PM</t>
  </si>
  <si>
    <t>Nov 15, 2017 09:35 PM</t>
  </si>
  <si>
    <t>Lijia Wu</t>
  </si>
  <si>
    <t>Nov 15, 2017 09:36 PM</t>
  </si>
  <si>
    <t>Nov 15, 2017 09:37 PM</t>
  </si>
  <si>
    <t>Nov 15, 2017 09:49 PM</t>
  </si>
  <si>
    <t>Huibo Zhang</t>
  </si>
  <si>
    <t>Nov 15, 2017 09:50 PM</t>
  </si>
  <si>
    <t>Nov 15, 2017 09:51 PM</t>
  </si>
  <si>
    <t>Nov 16, 2017 12:30 AM</t>
  </si>
  <si>
    <t>Sock Ching Loh</t>
  </si>
  <si>
    <t>Nov 16, 2017 12:31 AM</t>
  </si>
  <si>
    <t>Nov 16, 2017 12:33 AM</t>
  </si>
  <si>
    <t>Nov 16, 2017 12:34 AM</t>
  </si>
  <si>
    <t>Nov 16, 2017 12:35 AM</t>
  </si>
  <si>
    <t>Nov 16, 2017 12:36 AM</t>
  </si>
  <si>
    <t>Nov 16, 2017 12:37 AM</t>
  </si>
  <si>
    <t>Nov 16, 2017 01:42 AM</t>
  </si>
  <si>
    <t>Sok Hiang Jolene Guek</t>
  </si>
  <si>
    <t>Nov 16, 2017 01:43 AM</t>
  </si>
  <si>
    <t>Nov 16, 2017 01:44 AM</t>
  </si>
  <si>
    <t>Nov 16, 2017 01:45 AM</t>
  </si>
  <si>
    <t>Nov 16, 2017 08:27 AM</t>
  </si>
  <si>
    <t>Nov 16, 2017 08:28 AM</t>
  </si>
  <si>
    <t>Nov 16, 2017 10:07 AM</t>
  </si>
  <si>
    <t>Nov 16, 2017 10:28 AM</t>
  </si>
  <si>
    <t>Nov 16, 2017 10:29 AM</t>
  </si>
  <si>
    <t>Nov 16, 2017 11:03 AM</t>
  </si>
  <si>
    <t>Dr Ros Tay</t>
  </si>
  <si>
    <t>Nov 16, 2017 11:15 AM</t>
  </si>
  <si>
    <t>Gracia Tuang</t>
  </si>
  <si>
    <t>Nov 16, 2017 11:16 AM</t>
  </si>
  <si>
    <t>Nov 16, 2017 11:20 AM</t>
  </si>
  <si>
    <t>Nov 16, 2017 11:34 AM</t>
  </si>
  <si>
    <t>Nov 16, 2017 12:27 PM</t>
  </si>
  <si>
    <t>Nov 16, 2017 12:28 PM</t>
  </si>
  <si>
    <t>Nov 16, 2017 01:05 PM</t>
  </si>
  <si>
    <t>Nov 16, 2017 01:06 PM</t>
  </si>
  <si>
    <t>Nov 16, 2017 01:08 PM</t>
  </si>
  <si>
    <t>Nov 16, 2017 01:09 PM</t>
  </si>
  <si>
    <t>Vankata</t>
  </si>
  <si>
    <t>Nov 16, 2017 01:10 PM</t>
  </si>
  <si>
    <t>Dong Yinling</t>
  </si>
  <si>
    <t>Dr. Ventaka</t>
  </si>
  <si>
    <t>Nov 16, 2017 01:11 PM</t>
  </si>
  <si>
    <t>Nov 16, 2017 01:12 PM</t>
  </si>
  <si>
    <t>Nov 16, 2017 01:13 PM</t>
  </si>
  <si>
    <t>Nov 16, 2017 02:29 PM</t>
  </si>
  <si>
    <t>Sharon Ng</t>
  </si>
  <si>
    <t>Nov 16, 2017 02:30 PM</t>
  </si>
  <si>
    <t>Nov 16, 2017 02:31 PM</t>
  </si>
  <si>
    <t>Nov 16, 2017 02:32 PM</t>
  </si>
  <si>
    <t>Nov 16, 2017 03:14 PM</t>
  </si>
  <si>
    <t>Nov 16, 2017 03:17 PM</t>
  </si>
  <si>
    <t>Nov 16, 2017 03:19 PM</t>
  </si>
  <si>
    <t>Nov 16, 2017 03:21 PM</t>
  </si>
  <si>
    <t>Suan Choo Tan</t>
  </si>
  <si>
    <t>Nov 16, 2017 03:22 PM</t>
  </si>
  <si>
    <t>Nov 16, 2017 03:26 PM</t>
  </si>
  <si>
    <t>Sony Gundati</t>
  </si>
  <si>
    <t>Nov 16, 2017 03:27 PM</t>
  </si>
  <si>
    <t>Nov 16, 2017 04:04 PM</t>
  </si>
  <si>
    <t>Ramijah Dari</t>
  </si>
  <si>
    <t>Nov 16, 2017 04:05 PM</t>
  </si>
  <si>
    <t>Nov 16, 2017 04:06 PM</t>
  </si>
  <si>
    <t>Nov 16, 2017 04:07 PM</t>
  </si>
  <si>
    <t>Nov 16, 2017 04:19 PM</t>
  </si>
  <si>
    <t>Ruhaya Rahmat</t>
  </si>
  <si>
    <t>Nov 16, 2017 04:20 PM</t>
  </si>
  <si>
    <t>Nov 16, 2017 04:21 PM</t>
  </si>
  <si>
    <t>Nov 16, 2017 04:22 PM</t>
  </si>
  <si>
    <t>Nov 16, 2017 04:24 PM</t>
  </si>
  <si>
    <t>Vasuki Pillay</t>
  </si>
  <si>
    <t>Nov 16, 2017 04:25 PM</t>
  </si>
  <si>
    <t>Nov 16, 2017 04:26 PM</t>
  </si>
  <si>
    <t>Nov 16, 2017 05:12 PM</t>
  </si>
  <si>
    <t>Nur Liyana Binte Abdul Rahim</t>
  </si>
  <si>
    <t>Nov 16, 2017 05:15 PM</t>
  </si>
  <si>
    <t>Dr Du Jing Zeng reinforced regarding hand hygiene. Verbal warning given.</t>
  </si>
  <si>
    <t>Nov 16, 2017 05:16 PM</t>
  </si>
  <si>
    <t>Nov 16, 2017 05:17 PM</t>
  </si>
  <si>
    <t>Nov 16, 2017 06:18 PM</t>
  </si>
  <si>
    <t>Anne Tok</t>
  </si>
  <si>
    <t>Vijaya Letchmi Sankaran</t>
  </si>
  <si>
    <t>Nov 16, 2017 06:19 PM</t>
  </si>
  <si>
    <t>Nov 16, 2017 06:20 PM</t>
  </si>
  <si>
    <t>Nov 16, 2017 06:21 PM</t>
  </si>
  <si>
    <t>Nov 16, 2017 06:23 PM</t>
  </si>
  <si>
    <t>Nov 16, 2017 06:24 PM</t>
  </si>
  <si>
    <t>Nov 16, 2017 06:25 PM</t>
  </si>
  <si>
    <t>Nov 16, 2017 06:47 PM</t>
  </si>
  <si>
    <t>Nur Fadillah</t>
  </si>
  <si>
    <t>Nov 16, 2017 06:48 PM</t>
  </si>
  <si>
    <t>Nov 16, 2017 06:49 PM</t>
  </si>
  <si>
    <t>Nov 16, 2017 06:50 PM</t>
  </si>
  <si>
    <t>Nov 16, 2017 08:06 PM</t>
  </si>
  <si>
    <t>Shahidah Bte Roslan</t>
  </si>
  <si>
    <t>Nov 16, 2017 08:07 PM</t>
  </si>
  <si>
    <t>Nov 16, 2017 08:08 PM</t>
  </si>
  <si>
    <t>Nov 16, 2017 08:53 PM</t>
  </si>
  <si>
    <t>Linda Guo</t>
  </si>
  <si>
    <t>Nov 16, 2017 08:54 PM</t>
  </si>
  <si>
    <t>Nov 16, 2017 08:55 PM</t>
  </si>
  <si>
    <t>Nov 17, 2017 06:39 AM</t>
  </si>
  <si>
    <t>Hazel Manon Mani</t>
  </si>
  <si>
    <t>Nov 17, 2017 11:44 AM</t>
  </si>
  <si>
    <t>Nov 17, 2017 11:45 AM</t>
  </si>
  <si>
    <t>Nov 17, 2017 11:46 AM</t>
  </si>
  <si>
    <t>Nov 17, 2017 12:31 PM</t>
  </si>
  <si>
    <t>Ying Hao Loy</t>
  </si>
  <si>
    <t>Nov 17, 2017 12:32 PM</t>
  </si>
  <si>
    <t>Nov 17, 2017 12:33 PM</t>
  </si>
  <si>
    <t>Nov 17, 2017 01:07 PM</t>
  </si>
  <si>
    <t>Nadine Foo</t>
  </si>
  <si>
    <t>Nov 17, 2017 01:08 PM</t>
  </si>
  <si>
    <t>Aina Chow</t>
  </si>
  <si>
    <t>Nov 17, 2017 01:09 PM</t>
  </si>
  <si>
    <t>Nov 17, 2017 02:44 PM</t>
  </si>
  <si>
    <t>Nov 17, 2017 02:45 PM</t>
  </si>
  <si>
    <t>Nov 17, 2017 03:21 PM</t>
  </si>
  <si>
    <t>Shijing Ma</t>
  </si>
  <si>
    <t>Nov 17, 2017 03:22 PM</t>
  </si>
  <si>
    <t>Nov 17, 2017 03:27 PM</t>
  </si>
  <si>
    <t>Nov 17, 2017 05:19 PM</t>
  </si>
  <si>
    <t>Juraihah Hj Mohd Saleh</t>
  </si>
  <si>
    <t>Norwati Hussin</t>
  </si>
  <si>
    <t>Nov 17, 2017 05:20 PM</t>
  </si>
  <si>
    <t>Nov 17, 2017 05:21 PM</t>
  </si>
  <si>
    <t>Nov 17, 2017 05:22 PM</t>
  </si>
  <si>
    <t>Nov 17, 2017 06:09 PM</t>
  </si>
  <si>
    <t>Xiao Ting Lim</t>
  </si>
  <si>
    <t>Nov 17, 2017 06:10 PM</t>
  </si>
  <si>
    <t>Nov 18, 2017 06:08 AM</t>
  </si>
  <si>
    <t>Nov 18, 2017 06:09 AM</t>
  </si>
  <si>
    <t>Nov 18, 2017 08:10 AM</t>
  </si>
  <si>
    <t>Dr Nicolas</t>
  </si>
  <si>
    <t>Nov 18, 2017 12:29 PM</t>
  </si>
  <si>
    <t>Nov 18, 2017 12:41 PM</t>
  </si>
  <si>
    <t>Maryanne Roxas Guoc</t>
  </si>
  <si>
    <t>Nov 18, 2017 12:42 PM</t>
  </si>
  <si>
    <t>Dr. Lee Si Jia missed and put on clean gloves.</t>
  </si>
  <si>
    <t>Nov 18, 2017 12:43 PM</t>
  </si>
  <si>
    <t>Nov 18, 2017 12:44 PM</t>
  </si>
  <si>
    <t>Nov 18, 2017 12:45 PM</t>
  </si>
  <si>
    <t>Nov 18, 2017 12:46 PM</t>
  </si>
  <si>
    <t>Nov 18, 2017 12:49 PM</t>
  </si>
  <si>
    <t>Staff removed the blanket from patient without washing hands/hand rub after disposal of blanket.</t>
  </si>
  <si>
    <t>Nov 18, 2017 12:52 PM</t>
  </si>
  <si>
    <t>Staff missed to handrub/hand wash after pushing patients trolley inside the induction room.</t>
  </si>
  <si>
    <t>Nov 18, 2017 01:00 PM</t>
  </si>
  <si>
    <t>Siti Zubaidah</t>
  </si>
  <si>
    <t>Serene</t>
  </si>
  <si>
    <t>Airborne</t>
  </si>
  <si>
    <t>Nov 18, 2017 02:51 PM</t>
  </si>
  <si>
    <t>Nur Saidah Mohamed Saini</t>
  </si>
  <si>
    <t>Nov 18, 2017 03:27 PM</t>
  </si>
  <si>
    <t>Nov 18, 2017 03:28 PM</t>
  </si>
  <si>
    <t>Nov 18, 2017 04:01 PM</t>
  </si>
  <si>
    <t>Eunice Chua</t>
  </si>
  <si>
    <t>Nov 18, 2017 04:02 PM</t>
  </si>
  <si>
    <t>Nov 18, 2017 04:41 PM</t>
  </si>
  <si>
    <t>Muhammad Hafiz Bin Hadi</t>
  </si>
  <si>
    <t>Nov 18, 2017 04:42 PM</t>
  </si>
  <si>
    <t>Nov 18, 2017 04:43 PM</t>
  </si>
  <si>
    <t>Nov 18, 2017 04:44 PM</t>
  </si>
  <si>
    <t>Nov 18, 2017 04:45 PM</t>
  </si>
  <si>
    <t>Nov 18, 2017 05:06 PM</t>
  </si>
  <si>
    <t>Maliga Riaki Chinniah</t>
  </si>
  <si>
    <t>Nov 18, 2017 05:07 PM</t>
  </si>
  <si>
    <t>Nov 18, 2017 05:08 PM</t>
  </si>
  <si>
    <t>Nov 19, 2017 09:47 AM</t>
  </si>
  <si>
    <t>Siti Norfarain Rusley</t>
  </si>
  <si>
    <t>Nov 19, 2017 09:48 AM</t>
  </si>
  <si>
    <t>Nov 19, 2017 09:49 AM</t>
  </si>
  <si>
    <t>Nov 19, 2017 09:50 AM</t>
  </si>
  <si>
    <t>Nov 19, 2017 09:51 AM</t>
  </si>
  <si>
    <t>Nov 19, 2017 08:45 PM</t>
  </si>
  <si>
    <t>Nov 19, 2017 08:46 PM</t>
  </si>
  <si>
    <t>Nov 19, 2017 08:47 PM</t>
  </si>
  <si>
    <t>Nov 20, 2017 10:25 AM</t>
  </si>
  <si>
    <t>Nov 20, 2017 10:27 AM</t>
  </si>
  <si>
    <t>Nov 20, 2017 10:32 AM</t>
  </si>
  <si>
    <t>Nov 20, 2017 10:35 AM</t>
  </si>
  <si>
    <t>Nov 20, 2017 10:42 AM</t>
  </si>
  <si>
    <t>Nov 20, 2017 11:52 AM</t>
  </si>
  <si>
    <t>Loh Lee kiang</t>
  </si>
  <si>
    <t>Nov 20, 2017 12:24 PM</t>
  </si>
  <si>
    <t>Nov 20, 2017 12:25 PM</t>
  </si>
  <si>
    <t>Nov 20, 2017 01:09 PM</t>
  </si>
  <si>
    <t>Dr Jimmy</t>
  </si>
  <si>
    <t>Nov 20, 2017 01:11 PM</t>
  </si>
  <si>
    <t>Nov 20, 2017 01:12 PM</t>
  </si>
  <si>
    <t>Timonthy</t>
  </si>
  <si>
    <t>Nov 20, 2017 02:09 PM</t>
  </si>
  <si>
    <t>Norsyahida Sapari</t>
  </si>
  <si>
    <t>Shaliza</t>
  </si>
  <si>
    <t>Lee Hwa</t>
  </si>
  <si>
    <t>Sabariah</t>
  </si>
  <si>
    <t>Nov 20, 2017 02:10 PM</t>
  </si>
  <si>
    <t>Mariatul</t>
  </si>
  <si>
    <t>Nov 20, 2017 02:31 PM</t>
  </si>
  <si>
    <t>Nov 20, 2017 02:32 PM</t>
  </si>
  <si>
    <t>Nov 20, 2017 02:33 PM</t>
  </si>
  <si>
    <t>Nov 20, 2017 02:34 PM</t>
  </si>
  <si>
    <t>Nov 20, 2017 02:53 PM</t>
  </si>
  <si>
    <t>Sui Shing Ching</t>
  </si>
  <si>
    <t>7/11/2017</t>
  </si>
  <si>
    <t>Nov 20, 2017 02:54 PM</t>
  </si>
  <si>
    <t>Nov 20, 2017 02:55 PM</t>
  </si>
  <si>
    <t>Nov 20, 2017 02:56 PM</t>
  </si>
  <si>
    <t>Nov 20, 2017 02:57 PM</t>
  </si>
  <si>
    <t>Nov 20, 2017 02:59 PM</t>
  </si>
  <si>
    <t>12/11/2017</t>
  </si>
  <si>
    <t>Nov 20, 2017 03:00 PM</t>
  </si>
  <si>
    <t>Nuo Li</t>
  </si>
  <si>
    <t>Nov 20, 2017 03:01 PM</t>
  </si>
  <si>
    <t>Nov 20, 2017 03:02 PM</t>
  </si>
  <si>
    <t>15/11/2017</t>
  </si>
  <si>
    <t>Nov 20, 2017 03:03 PM</t>
  </si>
  <si>
    <t>Nov 20, 2017 03:04 PM</t>
  </si>
  <si>
    <t>Nov 20, 2017 03:05 PM</t>
  </si>
  <si>
    <t>Nov 20, 2017 03:06 PM</t>
  </si>
  <si>
    <t>Nov 20, 2017 03:07 PM</t>
  </si>
  <si>
    <t>Nov 20, 2017 03:38 PM</t>
  </si>
  <si>
    <t>Feng Fangfang</t>
  </si>
  <si>
    <t>Nov 20, 2017 03:42 PM</t>
  </si>
  <si>
    <t>Dr Lye Si yu</t>
  </si>
  <si>
    <t>Nov 20, 2017 03:47 PM</t>
  </si>
  <si>
    <t>Nov 20, 2017 03:50 PM</t>
  </si>
  <si>
    <t>Dr Geoffrey Lew did not perform the hand hygiene after contact Pt. I didn’t indicate the name for second non compliance doctor</t>
  </si>
  <si>
    <t>Nov 20, 2017 03:51 PM</t>
  </si>
  <si>
    <t>En Mystelle</t>
  </si>
  <si>
    <t>Nov 20, 2017 03:52 PM</t>
  </si>
  <si>
    <t>Nov 20, 2017 03:53 PM</t>
  </si>
  <si>
    <t>Nov 20, 2017 03:54 PM</t>
  </si>
  <si>
    <t>Ying Li</t>
  </si>
  <si>
    <t>Nov 20, 2017 03:56 PM</t>
  </si>
  <si>
    <t>Nov 20, 2017 03:57 PM</t>
  </si>
  <si>
    <t>Nov 20, 2017 03:58 PM</t>
  </si>
  <si>
    <t>Nov 20, 2017 03:59 PM</t>
  </si>
  <si>
    <t>Nov 20, 2017 04:00 PM</t>
  </si>
  <si>
    <t>Nov 21, 2017 12:41 AM</t>
  </si>
  <si>
    <t>Nov 21, 2017 12:51 AM</t>
  </si>
  <si>
    <t>Nov 21, 2017 12:52 AM</t>
  </si>
  <si>
    <t>Nov 21, 2017 08:50 AM</t>
  </si>
  <si>
    <t>Neela Kanagasundaram</t>
  </si>
  <si>
    <t>Nov 21, 2017 08:51 AM</t>
  </si>
  <si>
    <t>Nov 21, 2017 09:52 AM</t>
  </si>
  <si>
    <t>Nov 21, 2017 09:53 AM</t>
  </si>
  <si>
    <t>Nov 21, 2017 02:12 PM</t>
  </si>
  <si>
    <t>Nov 21, 2017 02:13 PM</t>
  </si>
  <si>
    <t>Nov 21, 2017 02:14 PM</t>
  </si>
  <si>
    <t>Nov 21, 2017 02:15 PM</t>
  </si>
  <si>
    <t>Nov 21, 2017 02:28 PM</t>
  </si>
  <si>
    <t>GOH ching</t>
  </si>
  <si>
    <t>Nov 21, 2017 02:32 PM</t>
  </si>
  <si>
    <t>Nov 21, 2017 02:33 PM</t>
  </si>
  <si>
    <t>Nov 21, 2017 02:34 PM</t>
  </si>
  <si>
    <t>Nov 21, 2017 02:38 PM</t>
  </si>
  <si>
    <t>Nov 21, 2017 02:44 PM</t>
  </si>
  <si>
    <t>Nov 21, 2017 02:45 PM</t>
  </si>
  <si>
    <t>Nov 21, 2017 02:47 PM</t>
  </si>
  <si>
    <t>Nov 21, 2017 02:49 PM</t>
  </si>
  <si>
    <t>Nov 21, 2017 02:50 PM</t>
  </si>
  <si>
    <t>Nov 21, 2017 03:12 PM</t>
  </si>
  <si>
    <t>Nov 21, 2017 03:13 PM</t>
  </si>
  <si>
    <t>Nov 21, 2017 04:05 PM</t>
  </si>
  <si>
    <t>Mangaikarasi Sunderajoo</t>
  </si>
  <si>
    <t>Nov 21, 2017 04:07 PM</t>
  </si>
  <si>
    <t>Nov 21, 2017 04:08 PM</t>
  </si>
  <si>
    <t>Nov 21, 2017 04:09 PM</t>
  </si>
  <si>
    <t>Nov 21, 2017 04:10 PM</t>
  </si>
  <si>
    <t>Nov 21, 2017 04:11 PM</t>
  </si>
  <si>
    <t>Nov 21, 2017 04:12 PM</t>
  </si>
  <si>
    <t>Nov 21, 2017 04:13 PM</t>
  </si>
  <si>
    <t>Nov 21, 2017 04:14 PM</t>
  </si>
  <si>
    <t>Nov 21, 2017 04:15 PM</t>
  </si>
  <si>
    <t>Nov 21, 2017 04:38 PM</t>
  </si>
  <si>
    <t>Nov 21, 2017 05:09 PM</t>
  </si>
  <si>
    <t>Dr Agnes Lim</t>
  </si>
  <si>
    <t>Nov 21, 2017 09:15 PM</t>
  </si>
  <si>
    <t>Nov 22, 2017 08:31 AM</t>
  </si>
  <si>
    <t>PEN Yeo Lay Choon</t>
  </si>
  <si>
    <t>Feedback given</t>
  </si>
  <si>
    <t>Nov 22, 2017 08:32 AM</t>
  </si>
  <si>
    <t>Physiotherapist-William Yeo</t>
  </si>
  <si>
    <t>Nov 22, 2017 08:33 AM</t>
  </si>
  <si>
    <t>SSN Loh Lee Kiang</t>
  </si>
  <si>
    <t>Nov 22, 2017 08:57 AM</t>
  </si>
  <si>
    <t>Nurul Huda Kamaruzaman</t>
  </si>
  <si>
    <t>Nov 22, 2017 08:58 AM</t>
  </si>
  <si>
    <t>Nov 22, 2017 08:59 AM</t>
  </si>
  <si>
    <t>Nov 22, 2017 09:00 AM</t>
  </si>
  <si>
    <t>Nov 22, 2017 09:14 AM</t>
  </si>
  <si>
    <t>Siti Zahirah Zazali</t>
  </si>
  <si>
    <t>Nov 22, 2017 09:15 AM</t>
  </si>
  <si>
    <t>Nov 22, 2017 09:16 AM</t>
  </si>
  <si>
    <t>Rei force to perform hand hygiene</t>
  </si>
  <si>
    <t>Nov 22, 2017 09:17 AM</t>
  </si>
  <si>
    <t>After in contact with patient, staff touch is face and specs</t>
  </si>
  <si>
    <t>Nov 22, 2017 09:18 AM</t>
  </si>
  <si>
    <t>Remind to perform handhygiene</t>
  </si>
  <si>
    <t>Nov 22, 2017 09:19 AM</t>
  </si>
  <si>
    <t>Inform to remove watch and perform handhygiene</t>
  </si>
  <si>
    <t>Nov 22, 2017 09:21 AM</t>
  </si>
  <si>
    <t>Advise to perform HH</t>
  </si>
  <si>
    <t>Advise to remove jacket n perform HH</t>
  </si>
  <si>
    <t>Nov 22, 2017 09:22 AM</t>
  </si>
  <si>
    <t>Nov 22, 2017 09:48 AM</t>
  </si>
  <si>
    <t>Susila Perumal</t>
  </si>
  <si>
    <t>Nov 22, 2017 09:49 AM</t>
  </si>
  <si>
    <t>Nov 22, 2017 10:17 AM</t>
  </si>
  <si>
    <t>Jun Xia Ma</t>
  </si>
  <si>
    <t>Nov 22, 2017 10:18 AM</t>
  </si>
  <si>
    <t>Nov 22, 2017 10:19 AM</t>
  </si>
  <si>
    <t>Nov 22, 2017 10:34 AM</t>
  </si>
  <si>
    <t>Nov 22, 2017 10:36 AM</t>
  </si>
  <si>
    <t>Nov 22, 2017 10:37 AM</t>
  </si>
  <si>
    <t>Nov 22, 2017 10:38 AM</t>
  </si>
  <si>
    <t>Nov 22, 2017 10:39 AM</t>
  </si>
  <si>
    <t>Nov 22, 2017 10:41 AM</t>
  </si>
  <si>
    <t>Nov 22, 2017 10:43 AM</t>
  </si>
  <si>
    <t>Nov 22, 2017 11:16 AM</t>
  </si>
  <si>
    <t>Nov 22, 2017 11:32 AM</t>
  </si>
  <si>
    <t>Nov 22, 2017 11:33 AM</t>
  </si>
  <si>
    <t>Nov 22, 2017 02:22 PM</t>
  </si>
  <si>
    <t>Hwee Hong Koh</t>
  </si>
  <si>
    <t>Nov 22, 2017 02:23 PM</t>
  </si>
  <si>
    <t>Nov 22, 2017 02:29 PM</t>
  </si>
  <si>
    <t>Sau Lai Wong</t>
  </si>
  <si>
    <t>Nov 22, 2017 02:35 PM</t>
  </si>
  <si>
    <t>Nov 22, 2017 02:36 PM</t>
  </si>
  <si>
    <t>Nov 22, 2017 02:38 PM</t>
  </si>
  <si>
    <t>Nov 22, 2017 02:52 PM</t>
  </si>
  <si>
    <t>Jia Hui Sim</t>
  </si>
  <si>
    <t>Nov 22, 2017 02:53 PM</t>
  </si>
  <si>
    <t>Nov 22, 2017 02:54 PM</t>
  </si>
  <si>
    <t>Bency Saji Koshy</t>
  </si>
  <si>
    <t>Nov 22, 2017 02:55 PM</t>
  </si>
  <si>
    <t>Nov 22, 2017 02:56 PM</t>
  </si>
  <si>
    <t>Nov 22, 2017 02:57 PM</t>
  </si>
  <si>
    <t>Crystal Patricia Nerva</t>
  </si>
  <si>
    <t>Nov 22, 2017 02:58 PM</t>
  </si>
  <si>
    <t>Nov 22, 2017 02:59 PM</t>
  </si>
  <si>
    <t>Nov 22, 2017 03:00 PM</t>
  </si>
  <si>
    <t>Nov 22, 2017 03:01 PM</t>
  </si>
  <si>
    <t>Thanam Balakrishnan</t>
  </si>
  <si>
    <t>SEN Vivian Zhang</t>
  </si>
  <si>
    <t>Nov 22, 2017 03:02 PM</t>
  </si>
  <si>
    <t>Nov 22, 2017 03:06 PM</t>
  </si>
  <si>
    <t>Nov 22, 2017 03:07 PM</t>
  </si>
  <si>
    <t>Nov 22, 2017 03:08 PM</t>
  </si>
  <si>
    <t>Nov 22, 2017 03:09 PM</t>
  </si>
  <si>
    <t>Nov 22, 2017 03:10 PM</t>
  </si>
  <si>
    <t>Nov 22, 2017 03:11 PM</t>
  </si>
  <si>
    <t>Nov 22, 2017 03:12 PM</t>
  </si>
  <si>
    <t>Thilagavathi Muthukrishnan</t>
  </si>
  <si>
    <t>Nov 22, 2017 03:13 PM</t>
  </si>
  <si>
    <t>Nov 22, 2017 03:17 PM</t>
  </si>
  <si>
    <t>Tamilchalvie S</t>
  </si>
  <si>
    <t>Nov 22, 2017 03:19 PM</t>
  </si>
  <si>
    <t>Nov 22, 2017 03:20 PM</t>
  </si>
  <si>
    <t>Nov 22, 2017 03:26 PM</t>
  </si>
  <si>
    <t>Nurmaria Bte Aksin</t>
  </si>
  <si>
    <t>Nov 22, 2017 03:28 PM</t>
  </si>
  <si>
    <t>Nov 22, 2017 03:33 PM</t>
  </si>
  <si>
    <t>Aziah Bte Abdul Bakar</t>
  </si>
  <si>
    <t>Nov 22, 2017 03:34 PM</t>
  </si>
  <si>
    <t>Nov 22, 2017 03:40 PM</t>
  </si>
  <si>
    <t>Krishnaveni Sellappan</t>
  </si>
  <si>
    <t>Nov 22, 2017 03:41 PM</t>
  </si>
  <si>
    <t>Nov 22, 2017 03:42 PM</t>
  </si>
  <si>
    <t>Nov 22, 2017 03:43 PM</t>
  </si>
  <si>
    <t>Nov 22, 2017 03:44 PM</t>
  </si>
  <si>
    <t>Nov 22, 2017 03:45 PM</t>
  </si>
  <si>
    <t>Nov 22, 2017 03:46 PM</t>
  </si>
  <si>
    <t>Nov 22, 2017 04:00 PM</t>
  </si>
  <si>
    <t>Pei San Lee</t>
  </si>
  <si>
    <t>Sri</t>
  </si>
  <si>
    <t>Nov 22, 2017 04:01 PM</t>
  </si>
  <si>
    <t>Nov 22, 2017 04:02 PM</t>
  </si>
  <si>
    <t>Nov 22, 2017 04:04 PM</t>
  </si>
  <si>
    <t>Nov 22, 2017 04:05 PM</t>
  </si>
  <si>
    <t>Nov 22, 2017 04:16 PM</t>
  </si>
  <si>
    <t>Nov 22, 2017 04:22 PM</t>
  </si>
  <si>
    <t>Boon Theng Tan</t>
  </si>
  <si>
    <t>Nov 22, 2017 04:41 PM</t>
  </si>
  <si>
    <t>Nov 22, 2017 04:42 PM</t>
  </si>
  <si>
    <t>Nov 22, 2017 04:43 PM</t>
  </si>
  <si>
    <t>Nov 22, 2017 04:48 PM</t>
  </si>
  <si>
    <t>Dr Jared</t>
  </si>
  <si>
    <t>Nov 22, 2017 04:49 PM</t>
  </si>
  <si>
    <t>Xu Rufen</t>
  </si>
  <si>
    <t>Nov 22, 2017 05:24 PM</t>
  </si>
  <si>
    <t>Angelina Lee</t>
  </si>
  <si>
    <t>Nov 22, 2017 05:25 PM</t>
  </si>
  <si>
    <t>Nov 22, 2017 05:26 PM</t>
  </si>
  <si>
    <t>Nov 22, 2017 05:27 PM</t>
  </si>
  <si>
    <t>Nov 22, 2017 05:28 PM</t>
  </si>
  <si>
    <t>Nov 22, 2017 05:29 PM</t>
  </si>
  <si>
    <t>Nov 22, 2017 05:42 PM</t>
  </si>
  <si>
    <t>Yen Yee Teo</t>
  </si>
  <si>
    <t>Nov 22, 2017 05:43 PM</t>
  </si>
  <si>
    <t>Nov 22, 2017 05:45 PM</t>
  </si>
  <si>
    <t>Nov 22, 2017 05:46 PM</t>
  </si>
  <si>
    <t>Nov 22, 2017 05:51 PM</t>
  </si>
  <si>
    <t>Ah Biah Tan</t>
  </si>
  <si>
    <t>Nov 22, 2017 07:00 PM</t>
  </si>
  <si>
    <t>Siti Mardina Maiman</t>
  </si>
  <si>
    <t>Nov 22, 2017 07:01 PM</t>
  </si>
  <si>
    <t>Nov 23, 2017 07:39 AM</t>
  </si>
  <si>
    <t>Nov 23, 2017 07:42 AM</t>
  </si>
  <si>
    <t>Dr Wang Luo Kai</t>
  </si>
  <si>
    <t>Dr Wang was given verbal warning 3 times before decision made to report. Dr Wang was non compliant to proper donning of PPE and hand hygiene.</t>
  </si>
  <si>
    <t>Nov 23, 2017 07:43 AM</t>
  </si>
  <si>
    <t>Nov 23, 2017 08:19 AM</t>
  </si>
  <si>
    <t>Jayarani Paramasivam</t>
  </si>
  <si>
    <t>Nov 23, 2017 08:20 AM</t>
  </si>
  <si>
    <t>Dr Joel</t>
  </si>
  <si>
    <t>Nov 23, 2017 08:21 AM</t>
  </si>
  <si>
    <t>Physio</t>
  </si>
  <si>
    <t>Nov 23, 2017 08:22 AM</t>
  </si>
  <si>
    <t>SGH Radiographer</t>
  </si>
  <si>
    <t>Housekeeping</t>
  </si>
  <si>
    <t>Nov 23, 2017 08:23 AM</t>
  </si>
  <si>
    <t>Nov 23, 2017 08:33 AM</t>
  </si>
  <si>
    <t>Nov 23, 2017 08:34 AM</t>
  </si>
  <si>
    <t>Nov 23, 2017 08:35 AM</t>
  </si>
  <si>
    <t>Nov 23, 2017 08:36 AM</t>
  </si>
  <si>
    <t>Sigh Radiographer</t>
  </si>
  <si>
    <t>Nov 23, 2017 08:37 AM</t>
  </si>
  <si>
    <t>Nov 23, 2017 08:38 AM</t>
  </si>
  <si>
    <t>Nov 23, 2017 08:54 AM</t>
  </si>
  <si>
    <t xml:space="preserve">Dayang Parni Bte Abdullah </t>
  </si>
  <si>
    <t>Nov 23, 2017 09:07 AM</t>
  </si>
  <si>
    <t>OTO HO Dr Alvin Tan</t>
  </si>
  <si>
    <t>Nov 23, 2017 09:11 AM</t>
  </si>
  <si>
    <t>Nov 23, 2017 09:12 AM</t>
  </si>
  <si>
    <t>Nov 23, 2017 09:31 AM</t>
  </si>
  <si>
    <t>Huay Siah Soon</t>
  </si>
  <si>
    <t>Nov 23, 2017 09:32 AM</t>
  </si>
  <si>
    <t>Nov 23, 2017 09:33 AM</t>
  </si>
  <si>
    <t>Nov 23, 2017 09:35 AM</t>
  </si>
  <si>
    <t>Nov 23, 2017 09:57 AM</t>
  </si>
  <si>
    <t>Jie Ying Toh</t>
  </si>
  <si>
    <t>Nov 23, 2017 09:58 AM</t>
  </si>
  <si>
    <t>Nov 23, 2017 09:59 AM</t>
  </si>
  <si>
    <t>Nov 23, 2017 10:00 AM</t>
  </si>
  <si>
    <t>Nov 23, 2017 10:09 AM</t>
  </si>
  <si>
    <t>Nov 23, 2017 10:10 AM</t>
  </si>
  <si>
    <t>Nov 23, 2017 10:40 AM</t>
  </si>
  <si>
    <t>Nov 23, 2017 10:41 AM</t>
  </si>
  <si>
    <t>Banupreya D/O Kannathasan</t>
  </si>
  <si>
    <t>Nov 23, 2017 10:42 AM</t>
  </si>
  <si>
    <t>Nov 23, 2017 10:43 AM</t>
  </si>
  <si>
    <t>Nov 23, 2017 10:44 AM</t>
  </si>
  <si>
    <t>Nov 23, 2017 10:45 AM</t>
  </si>
  <si>
    <t>Nov 23, 2017 10:46 AM</t>
  </si>
  <si>
    <t>Nov 23, 2017 10:47 AM</t>
  </si>
  <si>
    <t>Nov 23, 2017 10:48 AM</t>
  </si>
  <si>
    <t>Nov 23, 2017 10:50 AM</t>
  </si>
  <si>
    <t>Nov 23, 2017 11:02 AM</t>
  </si>
  <si>
    <t>Nov 23, 2017 11:08 AM</t>
  </si>
  <si>
    <t>Nov 23, 2017 11:09 AM</t>
  </si>
  <si>
    <t>Nov 23, 2017 11:10 AM</t>
  </si>
  <si>
    <t>Nov 23, 2017 11:11 AM</t>
  </si>
  <si>
    <t>Nov 23, 2017 11:12 AM</t>
  </si>
  <si>
    <t>Nov 23, 2017 11:13 AM</t>
  </si>
  <si>
    <t>Nov 23, 2017 11:14 AM</t>
  </si>
  <si>
    <t>Nov 23, 2017 11:38 AM</t>
  </si>
  <si>
    <t>Yean Ling Lai</t>
  </si>
  <si>
    <t>Nov 23, 2017 11:39 AM</t>
  </si>
  <si>
    <t>Nov 23, 2017 11:40 AM</t>
  </si>
  <si>
    <t>Nov 23, 2017 11:41 AM</t>
  </si>
  <si>
    <t>Nov 23, 2017 12:58 PM</t>
  </si>
  <si>
    <t>Nov 23, 2017 12:59 PM</t>
  </si>
  <si>
    <t>Nov 23, 2017 01:06 PM</t>
  </si>
  <si>
    <t>Koh Sze Leng</t>
  </si>
  <si>
    <t>Nov 23, 2017 01:07 PM</t>
  </si>
  <si>
    <t>Dr Julian Tok</t>
  </si>
  <si>
    <t>Nov 23, 2017 02:03 PM</t>
  </si>
  <si>
    <t>Jared Yeo</t>
  </si>
  <si>
    <t>Nov 23, 2017 02:04 PM</t>
  </si>
  <si>
    <t>Nov 23, 2017 02:44 PM</t>
  </si>
  <si>
    <t>Maria Adora Gonzales Concepcion</t>
  </si>
  <si>
    <t>Nov 23, 2017 02:45 PM</t>
  </si>
  <si>
    <t>Nov 23, 2017 02:46 PM</t>
  </si>
  <si>
    <t>Nov 23, 2017 02:47 PM</t>
  </si>
  <si>
    <t>Ang</t>
  </si>
  <si>
    <t>Nov 23, 2017 02:48 PM</t>
  </si>
  <si>
    <t>Nov 23, 2017 03:12 PM</t>
  </si>
  <si>
    <t>Chaoqun Li</t>
  </si>
  <si>
    <t>Khadijah Hussien</t>
  </si>
  <si>
    <t>Nov 23, 2017 03:13 PM</t>
  </si>
  <si>
    <t>Nov 23, 2017 03:14 PM</t>
  </si>
  <si>
    <t>Nov 23, 2017 03:24 PM</t>
  </si>
  <si>
    <t>Nov 23, 2017 04:03 PM</t>
  </si>
  <si>
    <t>Rupinder Pal Kaur</t>
  </si>
  <si>
    <t>Nov 23, 2017 04:04 PM</t>
  </si>
  <si>
    <t>Nov 23, 2017 04:06 PM</t>
  </si>
  <si>
    <t>Nov 23, 2017 04:07 PM</t>
  </si>
  <si>
    <t>Nov 23, 2017 04:39 PM</t>
  </si>
  <si>
    <t>Nurul Huda Mohd Eunos</t>
  </si>
  <si>
    <t>Nov 23, 2017 04:40 PM</t>
  </si>
  <si>
    <t>Nov 23, 2017 04:50 PM</t>
  </si>
  <si>
    <t>Winnie Ong</t>
  </si>
  <si>
    <t>Dr Vrushal</t>
  </si>
  <si>
    <t>After Procedure removed gloves no handrub</t>
  </si>
  <si>
    <t>Nov 23, 2017 04:51 PM</t>
  </si>
  <si>
    <t>Nov 23, 2017 04:52 PM</t>
  </si>
  <si>
    <t>Nov 23, 2017 04:54 PM</t>
  </si>
  <si>
    <t>Lim Geok Kim</t>
  </si>
  <si>
    <t>Lim Geok Khim from Business Office did not handrub after moment 5</t>
  </si>
  <si>
    <t>Nov 23, 2017 04:55 PM</t>
  </si>
  <si>
    <t>Nov 23, 2017 04:56 PM</t>
  </si>
  <si>
    <t>Nov 23, 2017 04:57 PM</t>
  </si>
  <si>
    <t>Nov 23, 2017 05:07 PM</t>
  </si>
  <si>
    <t>Janet Khoo</t>
  </si>
  <si>
    <t>Nov 23, 2017 05:08 PM</t>
  </si>
  <si>
    <t>Nov 23, 2017 05:09 PM</t>
  </si>
  <si>
    <t>Nov 23, 2017 05:10 PM</t>
  </si>
  <si>
    <t>Nov 23, 2017 05:21 PM</t>
  </si>
  <si>
    <t>Nov 23, 2017 05:22 PM</t>
  </si>
  <si>
    <t>Nov 23, 2017 05:23 PM</t>
  </si>
  <si>
    <t>Nov 23, 2017 05:37 PM</t>
  </si>
  <si>
    <t>Tay Yih Yann</t>
  </si>
  <si>
    <t>Nov 23, 2017 05:38 PM</t>
  </si>
  <si>
    <t>Nov 23, 2017 05:39 PM</t>
  </si>
  <si>
    <t>Nov 23, 2017 09:44 PM</t>
  </si>
  <si>
    <t>Wei Long Cheong</t>
  </si>
  <si>
    <t>Nov 23, 2017 09:45 PM</t>
  </si>
  <si>
    <t>Nov 23, 2017 09:48 PM</t>
  </si>
  <si>
    <t>Nov 23, 2017 09:50 PM</t>
  </si>
  <si>
    <t>Nov 23, 2017 10:36 PM</t>
  </si>
  <si>
    <t>Li Yang</t>
  </si>
  <si>
    <t>Nov 23, 2017 10:37 PM</t>
  </si>
  <si>
    <t>Nov 23, 2017 10:38 PM</t>
  </si>
  <si>
    <t>Nov 24, 2017 06:47 AM</t>
  </si>
  <si>
    <t>Nov 24, 2017 06:48 AM</t>
  </si>
  <si>
    <t>Nov 24, 2017 06:49 AM</t>
  </si>
  <si>
    <t>Nov 24, 2017 06:50 AM</t>
  </si>
  <si>
    <t>Nov 24, 2017 08:47 AM</t>
  </si>
  <si>
    <t>Nov 24, 2017 08:48 AM</t>
  </si>
  <si>
    <t>Nov 24, 2017 09:50 AM</t>
  </si>
  <si>
    <t>Nov 24, 2017 09:51 AM</t>
  </si>
  <si>
    <t>Nov 24, 2017 09:52 AM</t>
  </si>
  <si>
    <t>Nov 24, 2017 01:04 PM</t>
  </si>
  <si>
    <t>Yuhe</t>
  </si>
  <si>
    <t>Nov 24, 2017 01:05 PM</t>
  </si>
  <si>
    <t>Ke Yuhr</t>
  </si>
  <si>
    <t>Nov 24, 2017 01:06 PM</t>
  </si>
  <si>
    <t>Nov 24, 2017 01:23 PM</t>
  </si>
  <si>
    <t>Dr Alvin Tan</t>
  </si>
  <si>
    <t>Nov 24, 2017 03:06 PM</t>
  </si>
  <si>
    <t>S. Rajaletchimi Shanmugam</t>
  </si>
  <si>
    <t>Nov 24, 2017 03:07 PM</t>
  </si>
  <si>
    <t>Nov 24, 2017 03:41 PM</t>
  </si>
  <si>
    <t>Nov 24, 2017 03:43 PM</t>
  </si>
  <si>
    <t>Nov 24, 2017 03:45 PM</t>
  </si>
  <si>
    <t>Nov 24, 2017 03:46 PM</t>
  </si>
  <si>
    <t>Nov 24, 2017 04:00 PM</t>
  </si>
  <si>
    <t>Nov 24, 2017 04:01 PM</t>
  </si>
  <si>
    <t>Nov 24, 2017 04:02 PM</t>
  </si>
  <si>
    <t>Nov 24, 2017 04:07 PM</t>
  </si>
  <si>
    <t>Dr Alvin tan</t>
  </si>
  <si>
    <t>Nov 24, 2017 04:09 PM</t>
  </si>
  <si>
    <t>Nov 24, 2017 04:56 PM</t>
  </si>
  <si>
    <t>Nov 24, 2017 04:57 PM</t>
  </si>
  <si>
    <t>Nov 24, 2017 05:21 PM</t>
  </si>
  <si>
    <t>Nov 24, 2017 05:22 PM</t>
  </si>
  <si>
    <t>Nov 24, 2017 07:04 PM</t>
  </si>
  <si>
    <t>Ju Xia zhang</t>
  </si>
  <si>
    <t>Nov 24, 2017 07:05 PM</t>
  </si>
  <si>
    <t>Nov 24, 2017 07:06 PM</t>
  </si>
  <si>
    <t>Nov 24, 2017 07:07 PM</t>
  </si>
  <si>
    <t>Nov 24, 2017 07:18 PM</t>
  </si>
  <si>
    <t>Nov 24, 2017 07:19 PM</t>
  </si>
  <si>
    <t>Nov 24, 2017 07:20 PM</t>
  </si>
  <si>
    <t>Nov 24, 2017 10:07 PM</t>
  </si>
  <si>
    <t>Nov 24, 2017 10:08 PM</t>
  </si>
  <si>
    <t>Nov 25, 2017 02:37 AM</t>
  </si>
  <si>
    <t>Nov 25, 2017 02:38 AM</t>
  </si>
  <si>
    <t>Nov 25, 2017 02:39 AM</t>
  </si>
  <si>
    <t>Nov 25, 2017 07:35 AM</t>
  </si>
  <si>
    <t>Ng Peng</t>
  </si>
  <si>
    <t>Nov 25, 2017 07:36 AM</t>
  </si>
  <si>
    <t>Alvin Tan</t>
  </si>
  <si>
    <t>Nov 25, 2017 10:57 AM</t>
  </si>
  <si>
    <t>Yong Wei Tee</t>
  </si>
  <si>
    <t>Nov 25, 2017 11:04 AM</t>
  </si>
  <si>
    <t>Nov 25, 2017 11:06 AM</t>
  </si>
  <si>
    <t>Nov 25, 2017 12:20 PM</t>
  </si>
  <si>
    <t>Nov 25, 2017 04:45 PM</t>
  </si>
  <si>
    <t>Wen Hui Ng</t>
  </si>
  <si>
    <t>Nov 25, 2017 04:46 PM</t>
  </si>
  <si>
    <t>Nov 25, 2017 04:47 PM</t>
  </si>
  <si>
    <t>Nov 26, 2017 07:40 AM</t>
  </si>
  <si>
    <t>Nov 26, 2017 07:05 PM</t>
  </si>
  <si>
    <t>Nov 27, 2017 07:57 AM</t>
  </si>
  <si>
    <t>26/11/2017</t>
  </si>
  <si>
    <t>Nov 27, 2017 07:58 AM</t>
  </si>
  <si>
    <t>Nov 27, 2017 08:00 AM</t>
  </si>
  <si>
    <t>Nov 27, 2017 08:01 AM</t>
  </si>
  <si>
    <t>Nov 27, 2017 08:06 AM</t>
  </si>
  <si>
    <t>Nov 27, 2017 08:07 AM</t>
  </si>
  <si>
    <t>Nov 27, 2017 08:17 AM</t>
  </si>
  <si>
    <t>Nov 27, 2017 08:18 AM</t>
  </si>
  <si>
    <t>Nov 27, 2017 08:19 AM</t>
  </si>
  <si>
    <t>Nov 27, 2017 08:21 AM</t>
  </si>
  <si>
    <t>Nov 27, 2017 08:22 AM</t>
  </si>
  <si>
    <t>Amanda Wang</t>
  </si>
  <si>
    <t>Nov 27, 2017 08:23 AM</t>
  </si>
  <si>
    <t>Nov 27, 2017 08:24 AM</t>
  </si>
  <si>
    <t>Nov 27, 2017 08:25 AM</t>
  </si>
  <si>
    <t>Nov 27, 2017 08:26 AM</t>
  </si>
  <si>
    <t>Nov 27, 2017 08:27 AM</t>
  </si>
  <si>
    <t>Nov 27, 2017 08:28 AM</t>
  </si>
  <si>
    <t>Nov 27, 2017 08:29 AM</t>
  </si>
  <si>
    <t>Nov 27, 2017 08:30 AM</t>
  </si>
  <si>
    <t>Nov 27, 2017 08:31 AM</t>
  </si>
  <si>
    <t>Nov 27, 2017 09:24 AM</t>
  </si>
  <si>
    <t>Nov 27, 2017 09:25 AM</t>
  </si>
  <si>
    <t>Nov 27, 2017 11:36 AM</t>
  </si>
  <si>
    <t>Nov 27, 2017 11:46 AM</t>
  </si>
  <si>
    <t>Nov 27, 2017 11:47 AM</t>
  </si>
  <si>
    <t>Nov 27, 2017 12:53 PM</t>
  </si>
  <si>
    <t>Nov 27, 2017 12:54 PM</t>
  </si>
  <si>
    <t>Nov 27, 2017 01:21 PM</t>
  </si>
  <si>
    <t>Nov 27, 2017 01:22 PM</t>
  </si>
  <si>
    <t>Nov 27, 2017 01:46 PM</t>
  </si>
  <si>
    <t>Nov 27, 2017 01:47 PM</t>
  </si>
  <si>
    <t>Nov 27, 2017 02:28 PM</t>
  </si>
  <si>
    <t>Vir Kaur</t>
  </si>
  <si>
    <t>Nov 27, 2017 02:38 PM</t>
  </si>
  <si>
    <t>Srt</t>
  </si>
  <si>
    <t>Nov 27, 2017 02:50 PM</t>
  </si>
  <si>
    <t>Nov 27, 2017 02:51 PM</t>
  </si>
  <si>
    <t>Nov 27, 2017 03:19 PM</t>
  </si>
  <si>
    <t>Nov 27, 2017 03:20 PM</t>
  </si>
  <si>
    <t>Nuraini Lee Ismail Lee</t>
  </si>
  <si>
    <t>Nov 27, 2017 03:21 PM</t>
  </si>
  <si>
    <t>Nov 27, 2017 03:22 PM</t>
  </si>
  <si>
    <t>Nov 27, 2017 03:23 PM</t>
  </si>
  <si>
    <t>Nov 27, 2017 03:24 PM</t>
  </si>
  <si>
    <t>SN Leela entered pt room w/o putting on a N95 mask  who is airborne.</t>
  </si>
  <si>
    <t>Nov 27, 2017 03:25 PM</t>
  </si>
  <si>
    <t>Nov 27, 2017 03:30 PM</t>
  </si>
  <si>
    <t>Wan Jun Wong</t>
  </si>
  <si>
    <t>Nov 27, 2017 03:35 PM</t>
  </si>
  <si>
    <t>Nov 27, 2017 03:46 PM</t>
  </si>
  <si>
    <t>Nov 27, 2017 03:48 PM</t>
  </si>
  <si>
    <t>Angela</t>
  </si>
  <si>
    <t>Nov 27, 2017 03:56 PM</t>
  </si>
  <si>
    <t>Nov 27, 2017 03:57 PM</t>
  </si>
  <si>
    <t>Nov 27, 2017 03:58 PM</t>
  </si>
  <si>
    <t>Nov 27, 2017 03:59 PM</t>
  </si>
  <si>
    <t>Nora</t>
  </si>
  <si>
    <t>Nov 27, 2017 04:30 PM</t>
  </si>
  <si>
    <t>Nov 27, 2017 04:33 PM</t>
  </si>
  <si>
    <t>Nov 27, 2017 04:34 PM</t>
  </si>
  <si>
    <t>Nov 27, 2017 04:39 PM</t>
  </si>
  <si>
    <t>Nov 27, 2017 04:40 PM</t>
  </si>
  <si>
    <t>Nov 27, 2017 04:41 PM</t>
  </si>
  <si>
    <t>Nov 27, 2017 04:53 PM</t>
  </si>
  <si>
    <t>SUR HO Dr Tan Sher Yin</t>
  </si>
  <si>
    <t>Nov 27, 2017 04:54 PM</t>
  </si>
  <si>
    <t>Nov 27, 2017 05:47 PM</t>
  </si>
  <si>
    <t>Nov 27, 2017 05:48 PM</t>
  </si>
  <si>
    <t>Nov 27, 2017 05:49 PM</t>
  </si>
  <si>
    <t>Nov 27, 2017 05:50 PM</t>
  </si>
  <si>
    <t>Nov 27, 2017 05:51 PM</t>
  </si>
  <si>
    <t>Nov 27, 2017 05:52 PM</t>
  </si>
  <si>
    <t>Nov 27, 2017 07:03 PM</t>
  </si>
  <si>
    <t>Masziahton Mohamed Masodi</t>
  </si>
  <si>
    <t>Nov 27, 2017 07:04 PM</t>
  </si>
  <si>
    <t>Nov 27, 2017 07:05 PM</t>
  </si>
  <si>
    <t>Nov 27, 2017 07:06 PM</t>
  </si>
  <si>
    <t>Nov 27, 2017 07:07 PM</t>
  </si>
  <si>
    <t>Nov 27, 2017 07:14 PM</t>
  </si>
  <si>
    <t>Nov 27, 2017 07:15 PM</t>
  </si>
  <si>
    <t>Nov 27, 2017 07:16 PM</t>
  </si>
  <si>
    <t>Nov 27, 2017 08:51 PM</t>
  </si>
  <si>
    <t>Nov 27, 2017 09:47 PM</t>
  </si>
  <si>
    <t>Nov 27, 2017 11:58 PM</t>
  </si>
  <si>
    <t>Nov 27, 2017 11:59 PM</t>
  </si>
  <si>
    <t>Nov 28, 2017 12:00 AM</t>
  </si>
  <si>
    <t>Nov 28, 2017 12:54 AM</t>
  </si>
  <si>
    <t>Nur Sukarti Mostafa B Abdollah</t>
  </si>
  <si>
    <t>Nov 28, 2017 08:35 AM</t>
  </si>
  <si>
    <t>Nov 28, 2017 09:16 AM</t>
  </si>
  <si>
    <t>Christine</t>
  </si>
  <si>
    <t>Nov 28, 2017 09:58 AM</t>
  </si>
  <si>
    <t>Nov 28, 2017 09:59 AM</t>
  </si>
  <si>
    <t>Nov 28, 2017 10:16 AM</t>
  </si>
  <si>
    <t>Jasmine</t>
  </si>
  <si>
    <t>Nov 28, 2017 10:22 AM</t>
  </si>
  <si>
    <t>Nov 28, 2017 11:01 AM</t>
  </si>
  <si>
    <t>Soo Liang Lee</t>
  </si>
  <si>
    <t>Nov 28, 2017 11:02 AM</t>
  </si>
  <si>
    <t>Nov 28, 2017 11:31 AM</t>
  </si>
  <si>
    <t>Nov 28, 2017 11:49 AM</t>
  </si>
  <si>
    <t>Vir</t>
  </si>
  <si>
    <t>Shu Hui Yeo</t>
  </si>
  <si>
    <t>Nov 28, 2017 11:50 AM</t>
  </si>
  <si>
    <t>Nov 28, 2017 12:35 PM</t>
  </si>
  <si>
    <t>Nov 28, 2017 12:36 PM</t>
  </si>
  <si>
    <t>Nov 28, 2017 12:37 PM</t>
  </si>
  <si>
    <t>Nov 28, 2017 01:06 PM</t>
  </si>
  <si>
    <t>Yih Shan Tan</t>
  </si>
  <si>
    <t>Nov 28, 2017 01:08 PM</t>
  </si>
  <si>
    <t>Nov 28, 2017 01:10 PM</t>
  </si>
  <si>
    <t>Nov 28, 2017 01:12 PM</t>
  </si>
  <si>
    <t>Nov 28, 2017 01:14 PM</t>
  </si>
  <si>
    <t>Richard E</t>
  </si>
  <si>
    <t>Not wearing surgical mask. No flu ‘flu safe’ sticker.</t>
  </si>
  <si>
    <t>Nov 28, 2017 01:20 PM</t>
  </si>
  <si>
    <t>Pei Yun Geraldine Lim</t>
  </si>
  <si>
    <t>Nov 28, 2017 01:21 PM</t>
  </si>
  <si>
    <t>Nov 28, 2017 01:22 PM</t>
  </si>
  <si>
    <t>Nov 28, 2017 01:24 PM</t>
  </si>
  <si>
    <t>Assessment</t>
  </si>
  <si>
    <t>Nov 28, 2017 01:25 PM</t>
  </si>
  <si>
    <t>Nov 28, 2017 01:26 PM</t>
  </si>
  <si>
    <t>Nov 28, 2017 01:27 PM</t>
  </si>
  <si>
    <t>Nov 28, 2017 02:00 PM</t>
  </si>
  <si>
    <t>Sakinah Binte Mohd Farid</t>
  </si>
  <si>
    <t>Nov 28, 2017 02:01 PM</t>
  </si>
  <si>
    <t>Kai Li Lim</t>
  </si>
  <si>
    <t>Nov 28, 2017 02:02 PM</t>
  </si>
  <si>
    <t>Dr Joey didn’t hand rub or wash after de don the gloves</t>
  </si>
  <si>
    <t>Nov 28, 2017 02:05 PM</t>
  </si>
  <si>
    <t>Nov 28, 2017 02:40 PM</t>
  </si>
  <si>
    <t>Nov 28, 2017 02:42 PM</t>
  </si>
  <si>
    <t>Nov 28, 2017 02:43 PM</t>
  </si>
  <si>
    <t>Nov 28, 2017 02:44 PM</t>
  </si>
  <si>
    <t>Nov 28, 2017 03:27 PM</t>
  </si>
  <si>
    <t>Nov 28, 2017 03:29 PM</t>
  </si>
  <si>
    <t>Nov 28, 2017 03:30 PM</t>
  </si>
  <si>
    <t>Nov 28, 2017 03:35 PM</t>
  </si>
  <si>
    <t>Chuan Inn Liew</t>
  </si>
  <si>
    <t>Nov 28, 2017 03:36 PM</t>
  </si>
  <si>
    <t>Nov 28, 2017 03:37 PM</t>
  </si>
  <si>
    <t>Nov 28, 2017 03:47 PM</t>
  </si>
  <si>
    <t>Nov 28, 2017 03:48 PM</t>
  </si>
  <si>
    <t>Nov 28, 2017 03:49 PM</t>
  </si>
  <si>
    <t>Nov 28, 2017 03:51 PM</t>
  </si>
  <si>
    <t>Nov 28, 2017 03:53 PM</t>
  </si>
  <si>
    <t>Nov 28, 2017 03:54 PM</t>
  </si>
  <si>
    <t>Nov 28, 2017 03:56 PM</t>
  </si>
  <si>
    <t>Nov 28, 2017 03:57 PM</t>
  </si>
  <si>
    <t>Nov 28, 2017 04:37 PM</t>
  </si>
  <si>
    <t>Nov 28, 2017 04:38 PM</t>
  </si>
  <si>
    <t>Nov 28, 2017 04:39 PM</t>
  </si>
  <si>
    <t>Nov 28, 2017 04:51 PM</t>
  </si>
  <si>
    <t>Dr Lim Sue Lynn</t>
  </si>
  <si>
    <t>Nov 28, 2017 05:14 PM</t>
  </si>
  <si>
    <t>Dewi Hafifah Bashri</t>
  </si>
  <si>
    <t>Nov 28, 2017 05:15 PM</t>
  </si>
  <si>
    <t>Nov 28, 2017 05:40 PM</t>
  </si>
  <si>
    <t>Nov 28, 2017 05:41 PM</t>
  </si>
  <si>
    <t>Nov 28, 2017 05:42 PM</t>
  </si>
  <si>
    <t>Nov 28, 2017 05:44 PM</t>
  </si>
  <si>
    <t>Nov 28, 2017 05:45 PM</t>
  </si>
  <si>
    <t>Nov 28, 2017 05:46 PM</t>
  </si>
  <si>
    <t>Nov 28, 2017 09:22 PM</t>
  </si>
  <si>
    <t>Chew si yuan</t>
  </si>
  <si>
    <t>Sewa</t>
  </si>
  <si>
    <t>Nov 28, 2017 09:23 PM</t>
  </si>
  <si>
    <t>Nov 28, 2017 09:28 PM</t>
  </si>
  <si>
    <t>Nov 28, 2017 09:29 PM</t>
  </si>
  <si>
    <t>Nov 28, 2017 09:30 PM</t>
  </si>
  <si>
    <t>Nov 28, 2017 09:46 PM</t>
  </si>
  <si>
    <t>Dr. Seah Bin Joey</t>
  </si>
  <si>
    <t>Nov 28, 2017 09:52 PM</t>
  </si>
  <si>
    <t>Nov 29, 2017 09:36 AM</t>
  </si>
  <si>
    <t>Nov 29, 2017 09:44 AM</t>
  </si>
  <si>
    <t>Nov 29, 2017 09:49 AM</t>
  </si>
  <si>
    <t>Nov 29, 2017 09:51 AM</t>
  </si>
  <si>
    <t>Nov 29, 2017 10:10 AM</t>
  </si>
  <si>
    <t>Nov 29, 2017 10:11 AM</t>
  </si>
  <si>
    <t>Nov 29, 2017 10:42 AM</t>
  </si>
  <si>
    <t>21/11/2017</t>
  </si>
  <si>
    <t>Nov 29, 2017 10:43 AM</t>
  </si>
  <si>
    <t>Nov 29, 2017 10:52 AM</t>
  </si>
  <si>
    <t>Jing Fu</t>
  </si>
  <si>
    <t>Nov 29, 2017 10:53 AM</t>
  </si>
  <si>
    <t>Nov 29, 2017 10:54 AM</t>
  </si>
  <si>
    <t>Nov 29, 2017 10:55 AM</t>
  </si>
  <si>
    <t>Nov 29, 2017 11:03 AM</t>
  </si>
  <si>
    <t>Nov 29, 2017 11:04 AM</t>
  </si>
  <si>
    <t>Nov 29, 2017 11:09 AM</t>
  </si>
  <si>
    <t>Nov 29, 2017 11:10 AM</t>
  </si>
  <si>
    <t>Nov 29, 2017 11:19 AM</t>
  </si>
  <si>
    <t>Nov 29, 2017 11:20 AM</t>
  </si>
  <si>
    <t>Nov 29, 2017 11:48 AM</t>
  </si>
  <si>
    <t>Siti</t>
  </si>
  <si>
    <t>Nov 29, 2017 01:19 PM</t>
  </si>
  <si>
    <t>Cuirong Cheng</t>
  </si>
  <si>
    <t>Nov 29, 2017 01:20 PM</t>
  </si>
  <si>
    <t>Nov 29, 2017 01:25 PM</t>
  </si>
  <si>
    <t>Nov 29, 2017 01:29 PM</t>
  </si>
  <si>
    <t>Nov 29, 2017 01:37 PM</t>
  </si>
  <si>
    <t>Nov 29, 2017 01:38 PM</t>
  </si>
  <si>
    <t>Nov 29, 2017 01:44 PM</t>
  </si>
  <si>
    <t>Nov 29, 2017 01:45 PM</t>
  </si>
  <si>
    <t>Nov 29, 2017 01:47 PM</t>
  </si>
  <si>
    <t>Ward doctor</t>
  </si>
  <si>
    <t>Nov 29, 2017 01:48 PM</t>
  </si>
  <si>
    <t>Nov 29, 2017 01:57 PM</t>
  </si>
  <si>
    <t>Nov 29, 2017 02:00 PM</t>
  </si>
  <si>
    <t>Nov 29, 2017 02:01 PM</t>
  </si>
  <si>
    <t>Nov 29, 2017 02:02 PM</t>
  </si>
  <si>
    <t>Nov 29, 2017 02:12 PM</t>
  </si>
  <si>
    <t>Nov 29, 2017 02:14 PM</t>
  </si>
  <si>
    <t>Nov 29, 2017 02:16 PM</t>
  </si>
  <si>
    <t>Nov 29, 2017 02:21 PM</t>
  </si>
  <si>
    <t>Nov 29, 2017 02:22 PM</t>
  </si>
  <si>
    <t>Nov 29, 2017 02:23 PM</t>
  </si>
  <si>
    <t>Nov 29, 2017 02:25 PM</t>
  </si>
  <si>
    <t>Nov 29, 2017 02:32 PM</t>
  </si>
  <si>
    <t>Nov 29, 2017 02:38 PM</t>
  </si>
  <si>
    <t>Nov 29, 2017 02:54 PM</t>
  </si>
  <si>
    <t>Wanjou Sim</t>
  </si>
  <si>
    <t>Nov 29, 2017 02:55 PM</t>
  </si>
  <si>
    <t>Nov 29, 2017 02:57 PM</t>
  </si>
  <si>
    <t>Nov 29, 2017 02:58 PM</t>
  </si>
  <si>
    <t>Nov 29, 2017 02:59 PM</t>
  </si>
  <si>
    <t>Nov 29, 2017 03:11 PM</t>
  </si>
  <si>
    <t>Aaron</t>
  </si>
  <si>
    <t>Nov 29, 2017 03:14 PM</t>
  </si>
  <si>
    <t>Nov 29, 2017 03:25 PM</t>
  </si>
  <si>
    <t>Nov 29, 2017 03:26 PM</t>
  </si>
  <si>
    <t>Nov 29, 2017 03:29 PM</t>
  </si>
  <si>
    <t>Nov 29, 2017 04:17 PM</t>
  </si>
  <si>
    <t>SEN Pramila</t>
  </si>
  <si>
    <t>Nov 29, 2017 04:18 PM</t>
  </si>
  <si>
    <t>SSN Lu Ling</t>
  </si>
  <si>
    <t>Nov 29, 2017 04:19 PM</t>
  </si>
  <si>
    <t>SSN Datchayani</t>
  </si>
  <si>
    <t>Dr Andy Chua JK</t>
  </si>
  <si>
    <t>Nov 29, 2017 04:20 PM</t>
  </si>
  <si>
    <t>PSA Nur Khatimah</t>
  </si>
  <si>
    <t>Nov 29, 2017 04:43 PM</t>
  </si>
  <si>
    <t>Nov 29, 2017 04:44 PM</t>
  </si>
  <si>
    <t>Nov 29, 2017 04:45 PM</t>
  </si>
  <si>
    <t>Nov 29, 2017 04:46 PM</t>
  </si>
  <si>
    <t>Nov 29, 2017 04:47 PM</t>
  </si>
  <si>
    <t>Nov 29, 2017 05:29 PM</t>
  </si>
  <si>
    <t>Nov 29, 2017 06:10 PM</t>
  </si>
  <si>
    <t>Nov 29, 2017 06:11 PM</t>
  </si>
  <si>
    <t>Nov 29, 2017 07:09 PM</t>
  </si>
  <si>
    <t>Nov 29, 2017 07:10 PM</t>
  </si>
  <si>
    <t>Nov 29, 2017 07:11 PM</t>
  </si>
  <si>
    <t>Nov 29, 2017 07:12 PM</t>
  </si>
  <si>
    <t>Nov 29, 2017 07:13 PM</t>
  </si>
  <si>
    <t>Nov 29, 2017 07:14 PM</t>
  </si>
  <si>
    <t>Nov 29, 2017 07:17 PM</t>
  </si>
  <si>
    <t>Yeo Lay Choon</t>
  </si>
  <si>
    <t>Nov 29, 2017 09:12 PM</t>
  </si>
  <si>
    <t>Nov 29, 2017 09:13 PM</t>
  </si>
  <si>
    <t>Nov 29, 2017 09:21 PM</t>
  </si>
  <si>
    <t>Nov 29, 2017 09:22 PM</t>
  </si>
  <si>
    <t>Nov 29, 2017 11:09 PM</t>
  </si>
  <si>
    <t>Nov 30, 2017 07:12 AM</t>
  </si>
  <si>
    <t>Preethy De Silva</t>
  </si>
  <si>
    <t>Nov 30, 2017 07:13 AM</t>
  </si>
  <si>
    <t>Nov 30, 2017 07:14 AM</t>
  </si>
  <si>
    <t>Nov 30, 2017 07:18 AM</t>
  </si>
  <si>
    <t>Nov 30, 2017 07:22 AM</t>
  </si>
  <si>
    <t>Nov 30, 2017 07:23 AM</t>
  </si>
  <si>
    <t>Nov 30, 2017 07:24 AM</t>
  </si>
  <si>
    <t>Nov 30, 2017 07:58 AM</t>
  </si>
  <si>
    <t>Nov 30, 2017 07:59 AM</t>
  </si>
  <si>
    <t>Nov 30, 2017 08:00 AM</t>
  </si>
  <si>
    <t>Nov 30, 2017 08:01 AM</t>
  </si>
  <si>
    <t>Nov 30, 2017 09:06 AM</t>
  </si>
  <si>
    <t>Nov 30, 2017 09:07 AM</t>
  </si>
  <si>
    <t>Nov 30, 2017 09:27 AM</t>
  </si>
  <si>
    <t xml:space="preserve">Yin Yin Wong </t>
  </si>
  <si>
    <t>Nov 30, 2017 09:29 AM</t>
  </si>
  <si>
    <t>Nov 30, 2017 09:31 AM</t>
  </si>
  <si>
    <t>Nov 30, 2017 09:32 AM</t>
  </si>
  <si>
    <t>Nov 30, 2017 09:35 AM</t>
  </si>
  <si>
    <t>Nov 30, 2017 09:36 AM</t>
  </si>
  <si>
    <t>Nov 30, 2017 09:43 AM</t>
  </si>
  <si>
    <t>Nov 30, 2017 09:44 AM</t>
  </si>
  <si>
    <t>Nov 30, 2017 09:45 AM</t>
  </si>
  <si>
    <t>Nov 30, 2017 09:54 AM</t>
  </si>
  <si>
    <t>Nov 30, 2017 10:05 AM</t>
  </si>
  <si>
    <t>Nov 30, 2017 10:07 AM</t>
  </si>
  <si>
    <t>Nov 30, 2017 10:08 AM</t>
  </si>
  <si>
    <t>Chee Woei Lee</t>
  </si>
  <si>
    <t>Nov 30, 2017 10:09 AM</t>
  </si>
  <si>
    <t>Nov 30, 2017 10:10 AM</t>
  </si>
  <si>
    <t>Nov 30, 2017 10:17 AM</t>
  </si>
  <si>
    <t>Nov 30, 2017 10:18 AM</t>
  </si>
  <si>
    <t>Nov 30, 2017 10:20 AM</t>
  </si>
  <si>
    <t>Nov 30, 2017 10:21 AM</t>
  </si>
  <si>
    <t>Nov 30, 2017 10:24 AM</t>
  </si>
  <si>
    <t>Nov 30, 2017 10:25 AM</t>
  </si>
  <si>
    <t>Nov 30, 2017 10:27 AM</t>
  </si>
  <si>
    <t>Nov 30, 2017 10:28 AM</t>
  </si>
  <si>
    <t>Nov 30, 2017 10:29 AM</t>
  </si>
  <si>
    <t>Nov 30, 2017 10:31 AM</t>
  </si>
  <si>
    <t>Nov 30, 2017 12:09 PM</t>
  </si>
  <si>
    <t>Nov 30, 2017 12:10 PM</t>
  </si>
  <si>
    <t>Nov 30, 2017 12:34 PM</t>
  </si>
  <si>
    <t>Nov 30, 2017 12:57 PM</t>
  </si>
  <si>
    <t>Nov 30, 2017 12:58 PM</t>
  </si>
  <si>
    <t>Nov 30, 2017 12:59 PM</t>
  </si>
  <si>
    <t>Nov 30, 2017 02:06 PM</t>
  </si>
  <si>
    <t>Nov 30, 2017 02:07 PM</t>
  </si>
  <si>
    <t>Nov 30, 2017 02:08 PM</t>
  </si>
  <si>
    <t>Nov 30, 2017 02:09 PM</t>
  </si>
  <si>
    <t>Nov 30, 2017 02:10 PM</t>
  </si>
  <si>
    <t>Nov 30, 2017 02:11 PM</t>
  </si>
  <si>
    <t>Nov 30, 2017 02:12 PM</t>
  </si>
  <si>
    <t>Nov 30, 2017 03:27 PM</t>
  </si>
  <si>
    <t>Nov 30, 2017 03:29 PM</t>
  </si>
  <si>
    <t>Dr Dapouri did not clean his hands after examining patient.</t>
  </si>
  <si>
    <t>Nov 30, 2017 03:30 PM</t>
  </si>
  <si>
    <t>Nov 30, 2017 03:31 PM</t>
  </si>
  <si>
    <t>Nov 30, 2017 03:34 PM</t>
  </si>
  <si>
    <t>Nov 30, 2017 04:32 PM</t>
  </si>
  <si>
    <t>Nov 30, 2017 04:39 PM</t>
  </si>
  <si>
    <t>Nov 30, 2017 04:42 PM</t>
  </si>
  <si>
    <t>Nov 30, 2017 04:45 PM</t>
  </si>
  <si>
    <t>Yoke Siam Wong</t>
  </si>
  <si>
    <t>Nov 30, 2017 04:46 PM</t>
  </si>
  <si>
    <t>Nov 30, 2017 04:49 PM</t>
  </si>
  <si>
    <t>Nov 30, 2017 05:10 PM</t>
  </si>
  <si>
    <t>Nov 30, 2017 05:12 PM</t>
  </si>
  <si>
    <t>Nov 30, 2017 05:23 PM</t>
  </si>
  <si>
    <t>Ismawati Amin</t>
  </si>
  <si>
    <t>Nov 30, 2017 05:24 PM</t>
  </si>
  <si>
    <t>Nov 30, 2017 05:25 PM</t>
  </si>
  <si>
    <t>Nov 30, 2017 05:26 PM</t>
  </si>
  <si>
    <t>Nov 30, 2017 05:27 PM</t>
  </si>
  <si>
    <t>Nov 30, 2017 05:28 PM</t>
  </si>
  <si>
    <t>Nov 30, 2017 05:29 PM</t>
  </si>
  <si>
    <t>Nov 30, 2017 06:46 PM</t>
  </si>
  <si>
    <t>Dr. Agnes</t>
  </si>
  <si>
    <t>Nov 30, 2017 07:14 PM</t>
  </si>
  <si>
    <t>Zheng Yuan Ng</t>
  </si>
  <si>
    <t>Nov 30, 2017 07:15 PM</t>
  </si>
  <si>
    <t>Nov 30, 2017 07:16 PM</t>
  </si>
  <si>
    <t>Nov 30, 2017 07:24 PM</t>
  </si>
  <si>
    <t>Tan ngian chye</t>
  </si>
  <si>
    <t>Nov 30, 2017 07:25 PM</t>
  </si>
  <si>
    <t>Daphne yen</t>
  </si>
  <si>
    <t>Nov 30, 2017 07:26 PM</t>
  </si>
  <si>
    <t>Nov 30, 2017 07:27 PM</t>
  </si>
  <si>
    <t>Nov 30, 2017 10:25 PM</t>
  </si>
  <si>
    <t>Nov 30, 2017 11:03 PM</t>
  </si>
  <si>
    <t>Nov 30, 2017 11:07 PM</t>
  </si>
  <si>
    <t>Moment 1</t>
  </si>
  <si>
    <t>Moment 2</t>
  </si>
  <si>
    <t>Moment 3</t>
  </si>
  <si>
    <t>Moment 4</t>
  </si>
  <si>
    <t>Moment 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</si>
</sst>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Healthcare Worker Compliance</a:t>
            </a:r>
          </a:p>
        </c:rich>
      </c:tx>
      <c:layout/>
      <c:overlay val="0"/>
    </c:title>
    <c:autoTitleDeleted val="0"/>
    <c:plotArea>
      <c:layout/>
      <c:barChart>
        <c:barDir val="col"/>
        <c:varyColors val="0"/>
        <c:ser>
          <c:idx val="0"/>
          <c:order val="0"/>
          <c:tx>
            <c:strRef>
              <c:f>Summary!$AA$22</c:f>
              <c:strCache>
                <c:ptCount val="1"/>
                <c:pt idx="0">
                  <c:v>%</c:v>
                </c:pt>
              </c:strCache>
            </c:strRef>
          </c:tx>
          <c:invertIfNegative val="0"/>
          <c:cat>
            <c:strRef>
              <c:f>Summary!$X$23:$X$26</c:f>
              <c:strCache>
                <c:ptCount val="4"/>
                <c:pt idx="0">
                  <c:v>Nurse</c:v>
                </c:pt>
                <c:pt idx="1">
                  <c:v>Doctor</c:v>
                </c:pt>
                <c:pt idx="2">
                  <c:v>Ancillary</c:v>
                </c:pt>
                <c:pt idx="3">
                  <c:v>Allied Health</c:v>
                </c:pt>
              </c:strCache>
            </c:strRef>
          </c:cat>
          <c:val>
            <c:numRef>
              <c:f>Summary!$AA$23:$AA$26</c:f>
              <c:num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8"/>
  <sheetViews>
    <sheetView tabSelected="1" workbookViewId="0" showGridLines="true" showRowColHeaders="1">
      <selection activeCell="AL28" sqref="AL28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  <col min="27" max="27" width="11" customWidth="true" style="0"/>
    <col min="28" max="28" width="11" customWidth="true" style="0"/>
    <col min="29" max="29" width="11" customWidth="true" style="0"/>
    <col min="30" max="30" width="11" customWidth="true" style="0"/>
    <col min="31" max="31" width="11" customWidth="true" style="0"/>
    <col min="32" max="32" width="11" customWidth="true" style="0"/>
    <col min="33" max="33" width="11" customWidth="true" style="0"/>
    <col min="34" max="34" width="11" customWidth="true" style="0"/>
    <col min="35" max="35" width="11" customWidth="true" style="0"/>
    <col min="36" max="36" width="11" customWidth="true" style="0"/>
    <col min="37" max="37" width="11" customWidth="true" style="0"/>
    <col min="38" max="38" width="11" customWidth="true" style="0"/>
    <col min="39" max="39" width="11" customWidth="true" style="0"/>
    <col min="40" max="40" width="11" customWidth="true" style="0"/>
    <col min="41" max="41" width="11" customWidth="true" style="0"/>
    <col min="42" max="42" width="11" customWidth="true" style="0"/>
    <col min="43" max="43" width="11" customWidth="true" style="0"/>
    <col min="44" max="44" width="11" customWidth="true" style="0"/>
  </cols>
  <sheetData>
    <row r="2" spans="1:44">
      <c r="A2" s="1" t="s">
        <v>0</v>
      </c>
    </row>
    <row r="3" spans="1:44">
      <c r="A3" t="s">
        <v>1</v>
      </c>
      <c r="B3" t="s">
        <v>2</v>
      </c>
    </row>
    <row r="4" spans="1:44">
      <c r="A4" t="s">
        <v>3</v>
      </c>
      <c r="B4" t="s">
        <v>4</v>
      </c>
    </row>
    <row r="22" spans="1:44">
      <c r="D22" s="5" t="s">
        <v>5</v>
      </c>
      <c r="E22" s="5" t="s">
        <v>6</v>
      </c>
      <c r="F22" s="5" t="s">
        <v>7</v>
      </c>
      <c r="G22" s="5" t="s">
        <v>8</v>
      </c>
      <c r="I22" s="5" t="s">
        <v>9</v>
      </c>
      <c r="J22" s="5" t="s">
        <v>6</v>
      </c>
      <c r="K22" s="5" t="s">
        <v>7</v>
      </c>
      <c r="L22" s="5" t="s">
        <v>8</v>
      </c>
      <c r="N22" s="5" t="s">
        <v>10</v>
      </c>
      <c r="O22" s="5" t="s">
        <v>6</v>
      </c>
      <c r="P22" s="5" t="s">
        <v>7</v>
      </c>
      <c r="Q22" s="5" t="s">
        <v>8</v>
      </c>
      <c r="S22" s="5" t="s">
        <v>11</v>
      </c>
      <c r="T22" s="5" t="s">
        <v>6</v>
      </c>
      <c r="U22" s="5" t="s">
        <v>7</v>
      </c>
      <c r="V22" s="5" t="s">
        <v>8</v>
      </c>
      <c r="X22" s="5" t="s">
        <v>12</v>
      </c>
      <c r="Y22" s="5" t="s">
        <v>6</v>
      </c>
      <c r="Z22" s="5" t="s">
        <v>7</v>
      </c>
      <c r="AA22" s="5" t="s">
        <v>8</v>
      </c>
      <c r="AC22" s="5" t="s">
        <v>13</v>
      </c>
      <c r="AD22" s="5" t="s">
        <v>14</v>
      </c>
      <c r="AH22" s="5" t="s">
        <v>13</v>
      </c>
      <c r="AI22" s="5" t="s">
        <v>7</v>
      </c>
      <c r="AJ22" s="5" t="s">
        <v>6</v>
      </c>
      <c r="AK22" s="5" t="s">
        <v>15</v>
      </c>
      <c r="AL22" s="5" t="s">
        <v>8</v>
      </c>
    </row>
    <row r="23" spans="1:44">
      <c r="D23" t="s">
        <v>16</v>
      </c>
      <c r="E23" t="str">
        <f>COUNTIFS(Details!$P$3:$P$5000,"Passed",Details!$D$3:$D$5000,"Dialysis/Peritoneal Dialysis")</f>
        <v>0</v>
      </c>
      <c r="F23" t="str">
        <f>COUNTIF(Details!$D$3:$D$5000, "Dialysis/Peritoneal Dialysis")</f>
        <v>0</v>
      </c>
      <c r="G23" s="6" t="str">
        <f>e23/f23</f>
        <v>0</v>
      </c>
      <c r="I23" t="s">
        <v>17</v>
      </c>
      <c r="J23" t="str">
        <f>COUNTIFS(Details!$P$3:$P$5000,"Passed",Details!$E$3:$E$5000,"(skip)")</f>
        <v>0</v>
      </c>
      <c r="K23" t="str">
        <f>COUNTIF(Details!$E$3:$E$5000, "(skip)")</f>
        <v>0</v>
      </c>
      <c r="L23" s="6" t="str">
        <f>j23/k23</f>
        <v>0</v>
      </c>
      <c r="N23" t="s">
        <v>17</v>
      </c>
      <c r="O23" t="str">
        <f>COUNTIFS(Details!$P$3:$P$5000,"Passed",Details!$F$3:$F$5000,"(skip)")</f>
        <v>0</v>
      </c>
      <c r="P23" t="str">
        <f>COUNTIF(Details!$F$3:$F$5000, "(skip)")</f>
        <v>0</v>
      </c>
      <c r="Q23" s="6" t="str">
        <f>o23/p23</f>
        <v>0</v>
      </c>
      <c r="S23" t="s">
        <v>18</v>
      </c>
      <c r="T23" t="str">
        <f>COUNTIFS(Details!$P$3:$P$5000,"Passed",Details!$G$3:$G$5000,"AIC Advanced Imaging Centre")</f>
        <v>0</v>
      </c>
      <c r="U23" t="str">
        <f>COUNTIF(Details!$G$3:$G$5000, "AIC Advanced Imaging Centre")</f>
        <v>0</v>
      </c>
      <c r="V23" s="6" t="str">
        <f>t23/u23</f>
        <v>0</v>
      </c>
      <c r="X23" t="s">
        <v>19</v>
      </c>
      <c r="Y23" t="str">
        <f>COUNTIFS(Details!$P$3:$P$5000,"Passed",Details!$H$3:$H$5000,"Nurse")</f>
        <v>0</v>
      </c>
      <c r="Z23" t="str">
        <f>COUNTIF(Details!$H$3:$H$5000, "Nurse")</f>
        <v>0</v>
      </c>
      <c r="AA23" s="6" t="str">
        <f>y23/z23</f>
        <v>0</v>
      </c>
      <c r="AC23">
        <v>1</v>
      </c>
      <c r="AD23" t="str">
        <f>IF(COUNTIF(Details!$J$3:$J$5000,1)=0, "N/A", COUNTIF(Details!$J$3:$J$5000,1))</f>
        <v>0</v>
      </c>
      <c r="AH23">
        <v>1</v>
      </c>
      <c r="AI23" t="str">
        <f>COUNTIF(Details!$J$3:$J$5000, "1")</f>
        <v>0</v>
      </c>
      <c r="AJ23" t="str">
        <f>COUNTIFS(Details!$P$3:$P$5000,"Passed",Details!$J$3:$J$5000,"1")</f>
        <v>0</v>
      </c>
      <c r="AK23" t="str">
        <f>COUNTIFS(Details!$P$3:$P$5000,"Failed",Details!$J$3:$J$5000,"1")</f>
        <v>0</v>
      </c>
      <c r="AL23" s="6" t="str">
        <f>aj23/ai23</f>
        <v>0</v>
      </c>
    </row>
    <row r="24" spans="1:44">
      <c r="D24" t="s">
        <v>20</v>
      </c>
      <c r="E24" t="str">
        <f>COUNTIFS(Details!$P$3:$P$5000,"Passed",Details!$D$3:$D$5000,"Emergency(A &amp; E)")</f>
        <v>0</v>
      </c>
      <c r="F24" t="str">
        <f>COUNTIF(Details!$D$3:$D$5000, "Emergency(A &amp; E)")</f>
        <v>0</v>
      </c>
      <c r="G24" s="6" t="str">
        <f>e24/f24</f>
        <v>0</v>
      </c>
      <c r="I24" t="s">
        <v>21</v>
      </c>
      <c r="J24" t="str">
        <f>COUNTIFS(Details!$P$3:$P$5000,"Passed",Details!$E$3:$E$5000,"OT")</f>
        <v>0</v>
      </c>
      <c r="K24" t="str">
        <f>COUNTIF(Details!$E$3:$E$5000, "OT")</f>
        <v>0</v>
      </c>
      <c r="L24" s="6" t="str">
        <f>j24/k24</f>
        <v>0</v>
      </c>
      <c r="N24" t="s">
        <v>22</v>
      </c>
      <c r="O24" t="str">
        <f>COUNTIFS(Details!$P$3:$P$5000,"Passed",Details!$F$3:$F$5000,"Practise")</f>
        <v>0</v>
      </c>
      <c r="P24" t="str">
        <f>COUNTIF(Details!$F$3:$F$5000, "Practise")</f>
        <v>0</v>
      </c>
      <c r="Q24" s="6" t="str">
        <f>o24/p24</f>
        <v>0</v>
      </c>
      <c r="S24" t="s">
        <v>23</v>
      </c>
      <c r="T24" t="str">
        <f>COUNTIFS(Details!$P$3:$P$5000,"Passed",Details!$G$3:$G$5000,"ARC")</f>
        <v>0</v>
      </c>
      <c r="U24" t="str">
        <f>COUNTIF(Details!$G$3:$G$5000, "ARC")</f>
        <v>0</v>
      </c>
      <c r="V24" s="6" t="str">
        <f>t24/u24</f>
        <v>0</v>
      </c>
      <c r="X24" t="s">
        <v>24</v>
      </c>
      <c r="Y24" t="str">
        <f>COUNTIFS(Details!$P$3:$P$5000,"Passed",Details!$H$3:$H$5000,"Doctor")</f>
        <v>0</v>
      </c>
      <c r="Z24" t="str">
        <f>COUNTIF(Details!$H$3:$H$5000, "Doctor")</f>
        <v>0</v>
      </c>
      <c r="AA24" s="6" t="str">
        <f>y24/z24</f>
        <v>0</v>
      </c>
      <c r="AC24">
        <v>2</v>
      </c>
      <c r="AD24" t="str">
        <f>IF(COUNTIF(Details!$K$3:$K$5000,2)=0, "N/A", COUNTIF(Details!$K$3:$K$5000,2))</f>
        <v>0</v>
      </c>
      <c r="AH24">
        <v>2</v>
      </c>
      <c r="AI24" t="str">
        <f>COUNTIF(Details!$K$3:$K$5000, "2")</f>
        <v>0</v>
      </c>
      <c r="AJ24" t="str">
        <f>COUNTIFS(Details!$P$3:$P$5000,"Passed",Details!$K$3:$K$5000,"2")</f>
        <v>0</v>
      </c>
      <c r="AK24" t="str">
        <f>COUNTIFS(Details!$P$3:$P$5000,"Failed",Details!$K$3:$K$5000,"2")</f>
        <v>0</v>
      </c>
      <c r="AL24" s="6" t="str">
        <f>aj24/ai24</f>
        <v>0</v>
      </c>
    </row>
    <row r="25" spans="1:44">
      <c r="D25" t="s">
        <v>25</v>
      </c>
      <c r="E25" t="str">
        <f>COUNTIFS(Details!$P$3:$P$5000,"Passed",Details!$D$3:$D$5000,"NHCS Ambulatory Care")</f>
        <v>0</v>
      </c>
      <c r="F25" t="str">
        <f>COUNTIF(Details!$D$3:$D$5000, "NHCS Ambulatory Care")</f>
        <v>0</v>
      </c>
      <c r="G25" s="6" t="str">
        <f>e25/f25</f>
        <v>0</v>
      </c>
      <c r="I25" t="s">
        <v>26</v>
      </c>
      <c r="J25" t="str">
        <f>COUNTIFS(Details!$P$3:$P$5000,"Passed",Details!$E$3:$E$5000,"Out Patient")</f>
        <v>0</v>
      </c>
      <c r="K25" t="str">
        <f>COUNTIF(Details!$E$3:$E$5000, "Out Patient")</f>
        <v>0</v>
      </c>
      <c r="L25" s="6" t="str">
        <f>j25/k25</f>
        <v>0</v>
      </c>
      <c r="S25" t="s">
        <v>27</v>
      </c>
      <c r="T25" t="str">
        <f>COUNTIFS(Details!$P$3:$P$5000,"Passed",Details!$G$3:$G$5000,"ASC")</f>
        <v>0</v>
      </c>
      <c r="U25" t="str">
        <f>COUNTIF(Details!$G$3:$G$5000, "ASC")</f>
        <v>0</v>
      </c>
      <c r="V25" s="6" t="str">
        <f>t25/u25</f>
        <v>0</v>
      </c>
      <c r="X25" t="s">
        <v>28</v>
      </c>
      <c r="Y25" t="str">
        <f>COUNTIFS(Details!$P$3:$P$5000,"Passed",Details!$H$3:$H$5000,"Ancillary")</f>
        <v>0</v>
      </c>
      <c r="Z25" t="str">
        <f>COUNTIF(Details!$H$3:$H$5000, "Ancillary")</f>
        <v>0</v>
      </c>
      <c r="AA25" s="6" t="str">
        <f>y25/z25</f>
        <v>0</v>
      </c>
      <c r="AC25">
        <v>3</v>
      </c>
      <c r="AD25" t="str">
        <f>IF(COUNTIF(Details!$L$3:$L$5000,3)=0, "N/A", COUNTIF(Details!$L$3:$L$5000,3))</f>
        <v>0</v>
      </c>
      <c r="AH25">
        <v>3</v>
      </c>
      <c r="AI25" t="str">
        <f>COUNTIF(Details!$L$3:$L$5000, "3")</f>
        <v>0</v>
      </c>
      <c r="AJ25" t="str">
        <f>COUNTIFS(Details!$P$3:$P$5000,"Passed",Details!$L$3:$L$5000,"3")</f>
        <v>0</v>
      </c>
      <c r="AK25" t="str">
        <f>COUNTIFS(Details!$P$3:$P$5000,"Failed",Details!$L$3:$L$5000,"3")</f>
        <v>0</v>
      </c>
      <c r="AL25" s="6" t="str">
        <f>aj25/ai25</f>
        <v>0</v>
      </c>
    </row>
    <row r="26" spans="1:44">
      <c r="D26" t="s">
        <v>29</v>
      </c>
      <c r="E26" t="str">
        <f>COUNTIFS(Details!$P$3:$P$5000,"Passed",Details!$D$3:$D$5000,"NHCS Inpatient Wards")</f>
        <v>0</v>
      </c>
      <c r="F26" t="str">
        <f>COUNTIF(Details!$D$3:$D$5000, "NHCS Inpatient Wards")</f>
        <v>0</v>
      </c>
      <c r="G26" s="6" t="str">
        <f>e26/f26</f>
        <v>0</v>
      </c>
      <c r="I26" t="s">
        <v>22</v>
      </c>
      <c r="J26" t="str">
        <f>COUNTIFS(Details!$P$3:$P$5000,"Passed",Details!$E$3:$E$5000,"Practise")</f>
        <v>0</v>
      </c>
      <c r="K26" t="str">
        <f>COUNTIF(Details!$E$3:$E$5000, "Practise")</f>
        <v>0</v>
      </c>
      <c r="L26" s="6" t="str">
        <f>j26/k26</f>
        <v>0</v>
      </c>
      <c r="S26" t="s">
        <v>30</v>
      </c>
      <c r="T26" t="str">
        <f>COUNTIFS(Details!$P$3:$P$5000,"Passed",Details!$G$3:$G$5000,"AU/EN GP/HCA")</f>
        <v>0</v>
      </c>
      <c r="U26" t="str">
        <f>COUNTIF(Details!$G$3:$G$5000, "AU/EN GP/HCA")</f>
        <v>0</v>
      </c>
      <c r="V26" s="6" t="str">
        <f>t26/u26</f>
        <v>0</v>
      </c>
      <c r="X26" t="s">
        <v>31</v>
      </c>
      <c r="Y26" t="str">
        <f>COUNTIFS(Details!$P$3:$P$5000,"Passed",Details!$H$3:$H$5000,"Allied Health")</f>
        <v>0</v>
      </c>
      <c r="Z26" t="str">
        <f>COUNTIF(Details!$H$3:$H$5000, "Allied Health")</f>
        <v>0</v>
      </c>
      <c r="AA26" s="6" t="str">
        <f>y26/z26</f>
        <v>0</v>
      </c>
      <c r="AC26">
        <v>4</v>
      </c>
      <c r="AD26" t="str">
        <f>IF(COUNTIF(Details!$M$3:$M$5000,4)=0, "N/A", COUNTIF(Details!$M$3:$M$5000,4))</f>
        <v>0</v>
      </c>
      <c r="AH26">
        <v>4</v>
      </c>
      <c r="AI26" t="str">
        <f>COUNTIF(Details!$M$3:$M$5000, "4")</f>
        <v>0</v>
      </c>
      <c r="AJ26" t="str">
        <f>COUNTIFS(Details!$P$3:$P$5000,"Passed",Details!$M$3:$M$5000,"4")</f>
        <v>0</v>
      </c>
      <c r="AK26" t="str">
        <f>COUNTIFS(Details!$P$3:$P$5000,"Failed",Details!$M$3:$M$5000,"4")</f>
        <v>0</v>
      </c>
      <c r="AL26" s="6" t="str">
        <f>aj26/ai26</f>
        <v>0</v>
      </c>
    </row>
    <row r="27" spans="1:44">
      <c r="D27" t="s">
        <v>32</v>
      </c>
      <c r="E27" t="str">
        <f>COUNTIFS(Details!$P$3:$P$5000,"Passed",Details!$D$3:$D$5000,"Night Audit")</f>
        <v>0</v>
      </c>
      <c r="F27" t="str">
        <f>COUNTIF(Details!$D$3:$D$5000, "Night Audit")</f>
        <v>0</v>
      </c>
      <c r="G27" s="6" t="str">
        <f>e27/f27</f>
        <v>0</v>
      </c>
      <c r="S27" t="s">
        <v>33</v>
      </c>
      <c r="T27" t="str">
        <f>COUNTIFS(Details!$P$3:$P$5000,"Passed",Details!$G$3:$G$5000,"Ambulatory Endoscopy Centre")</f>
        <v>0</v>
      </c>
      <c r="U27" t="str">
        <f>COUNTIF(Details!$G$3:$G$5000, "Ambulatory Endoscopy Centre")</f>
        <v>0</v>
      </c>
      <c r="V27" s="6" t="str">
        <f>t27/u27</f>
        <v>0</v>
      </c>
      <c r="AC27">
        <v>5</v>
      </c>
      <c r="AD27" t="str">
        <f>IF(COUNTIF(Details!$N$3:$N$5000,5)=0, "N/A", COUNTIF(Details!$N$3:$N$5000,5))</f>
        <v>0</v>
      </c>
      <c r="AH27">
        <v>5</v>
      </c>
      <c r="AI27" t="str">
        <f>COUNTIF(Details!$N$3:$N$5000, "5")</f>
        <v>0</v>
      </c>
      <c r="AJ27" t="str">
        <f>COUNTIFS(Details!$P$3:$P$5000,"Passed",Details!$N$3:$N$5000,"5")</f>
        <v>0</v>
      </c>
      <c r="AK27" t="str">
        <f>COUNTIFS(Details!$P$3:$P$5000,"Failed",Details!$N$3:$N$5000,"5")</f>
        <v>0</v>
      </c>
      <c r="AL27" s="6" t="str">
        <f>aj27/ai27</f>
        <v>0</v>
      </c>
    </row>
    <row r="28" spans="1:44">
      <c r="D28" t="s">
        <v>22</v>
      </c>
      <c r="E28" t="str">
        <f>COUNTIFS(Details!$P$3:$P$5000,"Passed",Details!$D$3:$D$5000,"Practise")</f>
        <v>0</v>
      </c>
      <c r="F28" t="str">
        <f>COUNTIF(Details!$D$3:$D$5000, "Practise")</f>
        <v>0</v>
      </c>
      <c r="G28" s="6" t="str">
        <f>e28/f28</f>
        <v>0</v>
      </c>
      <c r="S28" t="s">
        <v>34</v>
      </c>
      <c r="T28" t="str">
        <f>COUNTIFS(Details!$P$3:$P$5000,"Passed",Details!$G$3:$G$5000,"BOT / NHC OT / RY")</f>
        <v>0</v>
      </c>
      <c r="U28" t="str">
        <f>COUNTIF(Details!$G$3:$G$5000, "BOT / NHC OT / RY")</f>
        <v>0</v>
      </c>
      <c r="V28" s="6" t="str">
        <f>t28/u28</f>
        <v>0</v>
      </c>
      <c r="AH28" t="s">
        <v>7</v>
      </c>
      <c r="AI28" t="str">
        <f>SUM(AI23:AI27)</f>
        <v>0</v>
      </c>
      <c r="AJ28" t="str">
        <f>SUM(AJ23:AJ27)</f>
        <v>0</v>
      </c>
      <c r="AK28" t="str">
        <f>SUM(AK23:AK27)</f>
        <v>0</v>
      </c>
      <c r="AL28" s="6" t="str">
        <f>AJ28/AI28</f>
        <v>0</v>
      </c>
    </row>
    <row r="29" spans="1:44">
      <c r="D29" t="s">
        <v>35</v>
      </c>
      <c r="E29" t="str">
        <f>COUNTIFS(Details!$P$3:$P$5000,"Passed",Details!$D$3:$D$5000,"SDA Same Day Admission")</f>
        <v>0</v>
      </c>
      <c r="F29" t="str">
        <f>COUNTIF(Details!$D$3:$D$5000, "SDA Same Day Admission")</f>
        <v>0</v>
      </c>
      <c r="G29" s="6" t="str">
        <f>e29/f29</f>
        <v>0</v>
      </c>
      <c r="S29" t="s">
        <v>36</v>
      </c>
      <c r="T29" t="str">
        <f>COUNTIFS(Details!$P$3:$P$5000,"Passed",Details!$G$3:$G$5000,"BVH")</f>
        <v>0</v>
      </c>
      <c r="U29" t="str">
        <f>COUNTIF(Details!$G$3:$G$5000, "BVH")</f>
        <v>0</v>
      </c>
      <c r="V29" s="6" t="str">
        <f>t29/u29</f>
        <v>0</v>
      </c>
    </row>
    <row r="30" spans="1:44">
      <c r="D30" t="s">
        <v>37</v>
      </c>
      <c r="E30" t="str">
        <f>COUNTIFS(Details!$P$3:$P$5000,"Passed",Details!$D$3:$D$5000,"SGH DDR Centres")</f>
        <v>0</v>
      </c>
      <c r="F30" t="str">
        <f>COUNTIF(Details!$D$3:$D$5000, "SGH DDR Centres")</f>
        <v>0</v>
      </c>
      <c r="G30" s="6" t="str">
        <f>e30/f30</f>
        <v>0</v>
      </c>
      <c r="S30" t="s">
        <v>38</v>
      </c>
      <c r="T30" t="str">
        <f>COUNTIFS(Details!$P$3:$P$5000,"Passed",Details!$G$3:$G$5000,"CARE / Prenatal Diagnostic Centre (PDC)")</f>
        <v>0</v>
      </c>
      <c r="U30" t="str">
        <f>COUNTIF(Details!$G$3:$G$5000, "CARE / Prenatal Diagnostic Centre (PDC)")</f>
        <v>0</v>
      </c>
      <c r="V30" s="6" t="str">
        <f>t30/u30</f>
        <v>0</v>
      </c>
    </row>
    <row r="31" spans="1:44">
      <c r="D31" t="s">
        <v>39</v>
      </c>
      <c r="E31" t="str">
        <f>COUNTIFS(Details!$P$3:$P$5000,"Passed",Details!$D$3:$D$5000,"SGH OT services")</f>
        <v>0</v>
      </c>
      <c r="F31" t="str">
        <f>COUNTIF(Details!$D$3:$D$5000, "SGH OT services")</f>
        <v>0</v>
      </c>
      <c r="G31" s="6" t="str">
        <f>e31/f31</f>
        <v>0</v>
      </c>
      <c r="S31" t="s">
        <v>40</v>
      </c>
      <c r="T31" t="str">
        <f>COUNTIFS(Details!$P$3:$P$5000,"Passed",Details!$G$3:$G$5000,"CCU")</f>
        <v>0</v>
      </c>
      <c r="U31" t="str">
        <f>COUNTIF(Details!$G$3:$G$5000, "CCU")</f>
        <v>0</v>
      </c>
      <c r="V31" s="6" t="str">
        <f>t31/u31</f>
        <v>0</v>
      </c>
    </row>
    <row r="32" spans="1:44">
      <c r="D32" t="s">
        <v>41</v>
      </c>
      <c r="E32" t="str">
        <f>COUNTIFS(Details!$P$3:$P$5000,"Passed",Details!$D$3:$D$5000,"SOC")</f>
        <v>0</v>
      </c>
      <c r="F32" t="str">
        <f>COUNTIF(Details!$D$3:$D$5000, "SOC")</f>
        <v>0</v>
      </c>
      <c r="G32" s="6" t="str">
        <f>e32/f32</f>
        <v>0</v>
      </c>
      <c r="S32" t="s">
        <v>42</v>
      </c>
      <c r="T32" t="str">
        <f>COUNTIFS(Details!$P$3:$P$5000,"Passed",Details!$G$3:$G$5000,"CDLD")</f>
        <v>0</v>
      </c>
      <c r="U32" t="str">
        <f>COUNTIF(Details!$G$3:$G$5000, "CDLD")</f>
        <v>0</v>
      </c>
      <c r="V32" s="6" t="str">
        <f>t32/u32</f>
        <v>0</v>
      </c>
    </row>
    <row r="33" spans="1:44">
      <c r="D33" t="s">
        <v>43</v>
      </c>
      <c r="E33" t="str">
        <f>COUNTIFS(Details!$P$3:$P$5000,"Passed",Details!$D$3:$D$5000,"Weekly Inpatient Audit")</f>
        <v>0</v>
      </c>
      <c r="F33" t="str">
        <f>COUNTIF(Details!$D$3:$D$5000, "Weekly Inpatient Audit")</f>
        <v>0</v>
      </c>
      <c r="G33" s="6" t="str">
        <f>e33/f33</f>
        <v>0</v>
      </c>
      <c r="S33" t="s">
        <v>44</v>
      </c>
      <c r="T33" t="str">
        <f>COUNTIFS(Details!$P$3:$P$5000,"Passed",Details!$G$3:$G$5000,"CTICU")</f>
        <v>0</v>
      </c>
      <c r="U33" t="str">
        <f>COUNTIF(Details!$G$3:$G$5000, "CTICU")</f>
        <v>0</v>
      </c>
      <c r="V33" s="6" t="str">
        <f>t33/u33</f>
        <v>0</v>
      </c>
    </row>
    <row r="34" spans="1:44">
      <c r="S34" t="s">
        <v>45</v>
      </c>
      <c r="T34" t="str">
        <f>COUNTIFS(Details!$P$3:$P$5000,"Passed",Details!$G$3:$G$5000,"CTOT")</f>
        <v>0</v>
      </c>
      <c r="U34" t="str">
        <f>COUNTIF(Details!$G$3:$G$5000, "CTOT")</f>
        <v>0</v>
      </c>
      <c r="V34" s="6" t="str">
        <f>t34/u34</f>
        <v>0</v>
      </c>
    </row>
    <row r="35" spans="1:44">
      <c r="S35" t="s">
        <v>46</v>
      </c>
      <c r="T35" t="str">
        <f>COUNTIFS(Details!$P$3:$P$5000,"Passed",Details!$G$3:$G$5000,"Cardiac Clinics A &amp; B  and SAF")</f>
        <v>0</v>
      </c>
      <c r="U35" t="str">
        <f>COUNTIF(Details!$G$3:$G$5000, "Cardiac Clinics A &amp; B  and SAF")</f>
        <v>0</v>
      </c>
      <c r="V35" s="6" t="str">
        <f>t35/u35</f>
        <v>0</v>
      </c>
    </row>
    <row r="36" spans="1:44">
      <c r="S36" t="s">
        <v>47</v>
      </c>
      <c r="T36" t="str">
        <f>COUNTIFS(Details!$P$3:$P$5000,"Passed",Details!$G$3:$G$5000,"Cardiac Laboratory ")</f>
        <v>0</v>
      </c>
      <c r="U36" t="str">
        <f>COUNTIF(Details!$G$3:$G$5000, "Cardiac Laboratory ")</f>
        <v>0</v>
      </c>
      <c r="V36" s="6" t="str">
        <f>t36/u36</f>
        <v>0</v>
      </c>
    </row>
    <row r="37" spans="1:44">
      <c r="S37" t="s">
        <v>48</v>
      </c>
      <c r="T37" t="str">
        <f>COUNTIFS(Details!$P$3:$P$5000,"Passed",Details!$G$3:$G$5000,"Cardiac Radiology and Nuclear Imaging ")</f>
        <v>0</v>
      </c>
      <c r="U37" t="str">
        <f>COUNTIF(Details!$G$3:$G$5000, "Cardiac Radiology and Nuclear Imaging ")</f>
        <v>0</v>
      </c>
      <c r="V37" s="6" t="str">
        <f>t37/u37</f>
        <v>0</v>
      </c>
    </row>
    <row r="38" spans="1:44">
      <c r="S38" t="s">
        <v>49</v>
      </c>
      <c r="T38" t="str">
        <f>COUNTIFS(Details!$P$3:$P$5000,"Passed",Details!$G$3:$G$5000,"Cardiac Rehab &amp; Physio ")</f>
        <v>0</v>
      </c>
      <c r="U38" t="str">
        <f>COUNTIF(Details!$G$3:$G$5000, "Cardiac Rehab &amp; Physio ")</f>
        <v>0</v>
      </c>
      <c r="V38" s="6" t="str">
        <f>t38/u38</f>
        <v>0</v>
      </c>
    </row>
    <row r="39" spans="1:44">
      <c r="S39" t="s">
        <v>50</v>
      </c>
      <c r="T39" t="str">
        <f>COUNTIFS(Details!$P$3:$P$5000,"Passed",Details!$G$3:$G$5000,"Cath Lab")</f>
        <v>0</v>
      </c>
      <c r="U39" t="str">
        <f>COUNTIF(Details!$G$3:$G$5000, "Cath Lab")</f>
        <v>0</v>
      </c>
      <c r="V39" s="6" t="str">
        <f>t39/u39</f>
        <v>0</v>
      </c>
    </row>
    <row r="40" spans="1:44">
      <c r="S40" t="s">
        <v>51</v>
      </c>
      <c r="T40" t="str">
        <f>COUNTIFS(Details!$P$3:$P$5000,"Passed",Details!$G$3:$G$5000,"Clinic A")</f>
        <v>0</v>
      </c>
      <c r="U40" t="str">
        <f>COUNTIF(Details!$G$3:$G$5000, "Clinic A")</f>
        <v>0</v>
      </c>
      <c r="V40" s="6" t="str">
        <f>t40/u40</f>
        <v>0</v>
      </c>
    </row>
    <row r="41" spans="1:44">
      <c r="S41" t="s">
        <v>52</v>
      </c>
      <c r="T41" t="str">
        <f>COUNTIFS(Details!$P$3:$P$5000,"Passed",Details!$G$3:$G$5000,"Clinic B")</f>
        <v>0</v>
      </c>
      <c r="U41" t="str">
        <f>COUNTIF(Details!$G$3:$G$5000, "Clinic B")</f>
        <v>0</v>
      </c>
      <c r="V41" s="6" t="str">
        <f>t41/u41</f>
        <v>0</v>
      </c>
    </row>
    <row r="42" spans="1:44">
      <c r="S42" t="s">
        <v>53</v>
      </c>
      <c r="T42" t="str">
        <f>COUNTIFS(Details!$P$3:$P$5000,"Passed",Details!$G$3:$G$5000,"Clinic H")</f>
        <v>0</v>
      </c>
      <c r="U42" t="str">
        <f>COUNTIF(Details!$G$3:$G$5000, "Clinic H")</f>
        <v>0</v>
      </c>
      <c r="V42" s="6" t="str">
        <f>t42/u42</f>
        <v>0</v>
      </c>
    </row>
    <row r="43" spans="1:44">
      <c r="S43" t="s">
        <v>54</v>
      </c>
      <c r="T43" t="str">
        <f>COUNTIFS(Details!$P$3:$P$5000,"Passed",Details!$G$3:$G$5000,"Clinic J")</f>
        <v>0</v>
      </c>
      <c r="U43" t="str">
        <f>COUNTIF(Details!$G$3:$G$5000, "Clinic J")</f>
        <v>0</v>
      </c>
      <c r="V43" s="6" t="str">
        <f>t43/u43</f>
        <v>0</v>
      </c>
    </row>
    <row r="44" spans="1:44">
      <c r="S44" t="s">
        <v>55</v>
      </c>
      <c r="T44" t="str">
        <f>COUNTIFS(Details!$P$3:$P$5000,"Passed",Details!$G$3:$G$5000,"Clinic K")</f>
        <v>0</v>
      </c>
      <c r="U44" t="str">
        <f>COUNTIF(Details!$G$3:$G$5000, "Clinic K")</f>
        <v>0</v>
      </c>
      <c r="V44" s="6" t="str">
        <f>t44/u44</f>
        <v>0</v>
      </c>
    </row>
    <row r="45" spans="1:44">
      <c r="S45" t="s">
        <v>56</v>
      </c>
      <c r="T45" t="str">
        <f>COUNTIFS(Details!$P$3:$P$5000,"Passed",Details!$G$3:$G$5000,"Clinic L")</f>
        <v>0</v>
      </c>
      <c r="U45" t="str">
        <f>COUNTIF(Details!$G$3:$G$5000, "Clinic L")</f>
        <v>0</v>
      </c>
      <c r="V45" s="6" t="str">
        <f>t45/u45</f>
        <v>0</v>
      </c>
    </row>
    <row r="46" spans="1:44">
      <c r="S46" t="s">
        <v>57</v>
      </c>
      <c r="T46" t="str">
        <f>COUNTIFS(Details!$P$3:$P$5000,"Passed",Details!$G$3:$G$5000,"Clinic P")</f>
        <v>0</v>
      </c>
      <c r="U46" t="str">
        <f>COUNTIF(Details!$G$3:$G$5000, "Clinic P")</f>
        <v>0</v>
      </c>
      <c r="V46" s="6" t="str">
        <f>t46/u46</f>
        <v>0</v>
      </c>
    </row>
    <row r="47" spans="1:44">
      <c r="S47" t="s">
        <v>58</v>
      </c>
      <c r="T47" t="str">
        <f>COUNTIFS(Details!$P$3:$P$5000,"Passed",Details!$G$3:$G$5000,"DMC L1")</f>
        <v>0</v>
      </c>
      <c r="U47" t="str">
        <f>COUNTIF(Details!$G$3:$G$5000, "DMC L1")</f>
        <v>0</v>
      </c>
      <c r="V47" s="6" t="str">
        <f>t47/u47</f>
        <v>0</v>
      </c>
    </row>
    <row r="48" spans="1:44">
      <c r="S48" t="s">
        <v>59</v>
      </c>
      <c r="T48" t="str">
        <f>COUNTIFS(Details!$P$3:$P$5000,"Passed",Details!$G$3:$G$5000,"DMC L4")</f>
        <v>0</v>
      </c>
      <c r="U48" t="str">
        <f>COUNTIF(Details!$G$3:$G$5000, "DMC L4")</f>
        <v>0</v>
      </c>
      <c r="V48" s="6" t="str">
        <f>t48/u48</f>
        <v>0</v>
      </c>
    </row>
    <row r="49" spans="1:44">
      <c r="S49" t="s">
        <v>60</v>
      </c>
      <c r="T49" t="str">
        <f>COUNTIFS(Details!$P$3:$P$5000,"Passed",Details!$G$3:$G$5000,"Dialysis Centre")</f>
        <v>0</v>
      </c>
      <c r="U49" t="str">
        <f>COUNTIF(Details!$G$3:$G$5000, "Dialysis Centre")</f>
        <v>0</v>
      </c>
      <c r="V49" s="6" t="str">
        <f>t49/u49</f>
        <v>0</v>
      </c>
    </row>
    <row r="50" spans="1:44">
      <c r="S50" t="s">
        <v>61</v>
      </c>
      <c r="T50" t="str">
        <f>COUNTIFS(Details!$P$3:$P$5000,"Passed",Details!$G$3:$G$5000,"ENT Centre")</f>
        <v>0</v>
      </c>
      <c r="U50" t="str">
        <f>COUNTIF(Details!$G$3:$G$5000, "ENT Centre")</f>
        <v>0</v>
      </c>
      <c r="V50" s="6" t="str">
        <f>t50/u50</f>
        <v>0</v>
      </c>
    </row>
    <row r="51" spans="1:44">
      <c r="S51" t="s">
        <v>62</v>
      </c>
      <c r="T51" t="str">
        <f>COUNTIFS(Details!$P$3:$P$5000,"Passed",Details!$G$3:$G$5000,"Emergency Medicine")</f>
        <v>0</v>
      </c>
      <c r="U51" t="str">
        <f>COUNTIF(Details!$G$3:$G$5000, "Emergency Medicine")</f>
        <v>0</v>
      </c>
      <c r="V51" s="6" t="str">
        <f>t51/u51</f>
        <v>0</v>
      </c>
    </row>
    <row r="52" spans="1:44">
      <c r="S52" t="s">
        <v>63</v>
      </c>
      <c r="T52" t="str">
        <f>COUNTIFS(Details!$P$3:$P$5000,"Passed",Details!$G$3:$G$5000,"FPP Clinic")</f>
        <v>0</v>
      </c>
      <c r="U52" t="str">
        <f>COUNTIF(Details!$G$3:$G$5000, "FPP Clinic")</f>
        <v>0</v>
      </c>
      <c r="V52" s="6" t="str">
        <f>t52/u52</f>
        <v>0</v>
      </c>
    </row>
    <row r="53" spans="1:44">
      <c r="S53" t="s">
        <v>64</v>
      </c>
      <c r="T53" t="str">
        <f>COUNTIFS(Details!$P$3:$P$5000,"Passed",Details!$G$3:$G$5000,"GIC General Imaging Centre")</f>
        <v>0</v>
      </c>
      <c r="U53" t="str">
        <f>COUNTIF(Details!$G$3:$G$5000, "GIC General Imaging Centre")</f>
        <v>0</v>
      </c>
      <c r="V53" s="6" t="str">
        <f>t53/u53</f>
        <v>0</v>
      </c>
    </row>
    <row r="54" spans="1:44">
      <c r="S54" t="s">
        <v>65</v>
      </c>
      <c r="T54" t="str">
        <f>COUNTIFS(Details!$P$3:$P$5000,"Passed",Details!$G$3:$G$5000,"Haematology Centre")</f>
        <v>0</v>
      </c>
      <c r="U54" t="str">
        <f>COUNTIF(Details!$G$3:$G$5000, "Haematology Centre")</f>
        <v>0</v>
      </c>
      <c r="V54" s="6" t="str">
        <f>t54/u54</f>
        <v>0</v>
      </c>
    </row>
    <row r="55" spans="1:44">
      <c r="S55" t="s">
        <v>66</v>
      </c>
      <c r="T55" t="str">
        <f>COUNTIFS(Details!$P$3:$P$5000,"Passed",Details!$G$3:$G$5000,"Head &amp; Neck Centre")</f>
        <v>0</v>
      </c>
      <c r="U55" t="str">
        <f>COUNTIF(Details!$G$3:$G$5000, "Head &amp; Neck Centre")</f>
        <v>0</v>
      </c>
      <c r="V55" s="6" t="str">
        <f>t55/u55</f>
        <v>0</v>
      </c>
    </row>
    <row r="56" spans="1:44">
      <c r="S56" t="s">
        <v>67</v>
      </c>
      <c r="T56" t="str">
        <f>COUNTIFS(Details!$P$3:$P$5000,"Passed",Details!$G$3:$G$5000,"Health Assessment Center")</f>
        <v>0</v>
      </c>
      <c r="U56" t="str">
        <f>COUNTIF(Details!$G$3:$G$5000, "Health Assessment Center")</f>
        <v>0</v>
      </c>
      <c r="V56" s="6" t="str">
        <f>t56/u56</f>
        <v>0</v>
      </c>
    </row>
    <row r="57" spans="1:44">
      <c r="S57" t="s">
        <v>68</v>
      </c>
      <c r="T57" t="str">
        <f>COUNTIFS(Details!$P$3:$P$5000,"Passed",Details!$G$3:$G$5000,"IIC Inpatient Imaging Centre")</f>
        <v>0</v>
      </c>
      <c r="U57" t="str">
        <f>COUNTIF(Details!$G$3:$G$5000, "IIC Inpatient Imaging Centre")</f>
        <v>0</v>
      </c>
      <c r="V57" s="6" t="str">
        <f>t57/u57</f>
        <v>0</v>
      </c>
    </row>
    <row r="58" spans="1:44">
      <c r="S58" t="s">
        <v>69</v>
      </c>
      <c r="T58" t="str">
        <f>COUNTIFS(Details!$P$3:$P$5000,"Passed",Details!$G$3:$G$5000,"INS Interventional Nephrology Suite")</f>
        <v>0</v>
      </c>
      <c r="U58" t="str">
        <f>COUNTIF(Details!$G$3:$G$5000, "INS Interventional Nephrology Suite")</f>
        <v>0</v>
      </c>
      <c r="V58" s="6" t="str">
        <f>t58/u58</f>
        <v>0</v>
      </c>
    </row>
    <row r="59" spans="1:44">
      <c r="S59" t="s">
        <v>70</v>
      </c>
      <c r="T59" t="str">
        <f>COUNTIFS(Details!$P$3:$P$5000,"Passed",Details!$G$3:$G$5000,"IRC Interventional Radiology Centre  ")</f>
        <v>0</v>
      </c>
      <c r="U59" t="str">
        <f>COUNTIF(Details!$G$3:$G$5000, "IRC Interventional Radiology Centre  ")</f>
        <v>0</v>
      </c>
      <c r="V59" s="6" t="str">
        <f>t59/u59</f>
        <v>0</v>
      </c>
    </row>
    <row r="60" spans="1:44">
      <c r="S60" t="s">
        <v>71</v>
      </c>
      <c r="T60" t="str">
        <f>COUNTIFS(Details!$P$3:$P$5000,"Passed",Details!$G$3:$G$5000,"L2 Clinical Lab instead of Phlebotomy")</f>
        <v>0</v>
      </c>
      <c r="U60" t="str">
        <f>COUNTIF(Details!$G$3:$G$5000, "L2 Clinical Lab instead of Phlebotomy")</f>
        <v>0</v>
      </c>
      <c r="V60" s="6" t="str">
        <f>t60/u60</f>
        <v>0</v>
      </c>
    </row>
    <row r="61" spans="1:44">
      <c r="S61" t="s">
        <v>72</v>
      </c>
      <c r="T61" t="str">
        <f>COUNTIFS(Details!$P$3:$P$5000,"Passed",Details!$G$3:$G$5000,"LIFE Centre")</f>
        <v>0</v>
      </c>
      <c r="U61" t="str">
        <f>COUNTIF(Details!$G$3:$G$5000, "LIFE Centre")</f>
        <v>0</v>
      </c>
      <c r="V61" s="6" t="str">
        <f>t61/u61</f>
        <v>0</v>
      </c>
    </row>
    <row r="62" spans="1:44">
      <c r="S62" t="s">
        <v>73</v>
      </c>
      <c r="T62" t="str">
        <f>COUNTIFS(Details!$P$3:$P$5000,"Passed",Details!$G$3:$G$5000,"MOT scrub")</f>
        <v>0</v>
      </c>
      <c r="U62" t="str">
        <f>COUNTIF(Details!$G$3:$G$5000, "MOT scrub")</f>
        <v>0</v>
      </c>
      <c r="V62" s="6" t="str">
        <f>t62/u62</f>
        <v>0</v>
      </c>
    </row>
    <row r="63" spans="1:44">
      <c r="S63" t="s">
        <v>74</v>
      </c>
      <c r="T63" t="str">
        <f>COUNTIFS(Details!$P$3:$P$5000,"Passed",Details!$G$3:$G$5000,"Musculoskelatal Centre (MSC)")</f>
        <v>0</v>
      </c>
      <c r="U63" t="str">
        <f>COUNTIF(Details!$G$3:$G$5000, "Musculoskelatal Centre (MSC)")</f>
        <v>0</v>
      </c>
      <c r="V63" s="6" t="str">
        <f>t63/u63</f>
        <v>0</v>
      </c>
    </row>
    <row r="64" spans="1:44">
      <c r="S64" t="s">
        <v>75</v>
      </c>
      <c r="T64" t="str">
        <f>COUNTIFS(Details!$P$3:$P$5000,"Passed",Details!$G$3:$G$5000,"OGC")</f>
        <v>0</v>
      </c>
      <c r="U64" t="str">
        <f>COUNTIF(Details!$G$3:$G$5000, "OGC")</f>
        <v>0</v>
      </c>
      <c r="V64" s="6" t="str">
        <f>t64/u64</f>
        <v>0</v>
      </c>
    </row>
    <row r="65" spans="1:44">
      <c r="S65" t="s">
        <v>76</v>
      </c>
      <c r="T65" t="str">
        <f>COUNTIFS(Details!$P$3:$P$5000,"Passed",Details!$G$3:$G$5000,"OIC Outpatient Imaging Centre")</f>
        <v>0</v>
      </c>
      <c r="U65" t="str">
        <f>COUNTIF(Details!$G$3:$G$5000, "OIC Outpatient Imaging Centre")</f>
        <v>0</v>
      </c>
      <c r="V65" s="6" t="str">
        <f>t65/u65</f>
        <v>0</v>
      </c>
    </row>
    <row r="66" spans="1:44">
      <c r="S66" t="s">
        <v>77</v>
      </c>
      <c r="T66" t="str">
        <f>COUNTIFS(Details!$P$3:$P$5000,"Passed",Details!$G$3:$G$5000,"OPAT")</f>
        <v>0</v>
      </c>
      <c r="U66" t="str">
        <f>COUNTIF(Details!$G$3:$G$5000, "OPAT")</f>
        <v>0</v>
      </c>
      <c r="V66" s="6" t="str">
        <f>t66/u66</f>
        <v>0</v>
      </c>
    </row>
    <row r="67" spans="1:44">
      <c r="S67" t="s">
        <v>78</v>
      </c>
      <c r="T67" t="str">
        <f>COUNTIFS(Details!$P$3:$P$5000,"Passed",Details!$G$3:$G$5000,"OSJC")</f>
        <v>0</v>
      </c>
      <c r="U67" t="str">
        <f>COUNTIF(Details!$G$3:$G$5000, "OSJC")</f>
        <v>0</v>
      </c>
      <c r="V67" s="6" t="str">
        <f>t67/u67</f>
        <v>0</v>
      </c>
    </row>
    <row r="68" spans="1:44">
      <c r="S68" t="s">
        <v>79</v>
      </c>
      <c r="T68" t="str">
        <f>COUNTIFS(Details!$P$3:$P$5000,"Passed",Details!$G$3:$G$5000,"PACU &amp; Recovery")</f>
        <v>0</v>
      </c>
      <c r="U68" t="str">
        <f>COUNTIF(Details!$G$3:$G$5000, "PACU &amp; Recovery")</f>
        <v>0</v>
      </c>
      <c r="V68" s="6" t="str">
        <f>t68/u68</f>
        <v>0</v>
      </c>
    </row>
    <row r="69" spans="1:44">
      <c r="S69" t="s">
        <v>80</v>
      </c>
      <c r="T69" t="str">
        <f>COUNTIFS(Details!$P$3:$P$5000,"Passed",Details!$G$3:$G$5000,"Peritoneal Dialysis Centre")</f>
        <v>0</v>
      </c>
      <c r="U69" t="str">
        <f>COUNTIF(Details!$G$3:$G$5000, "Peritoneal Dialysis Centre")</f>
        <v>0</v>
      </c>
      <c r="V69" s="6" t="str">
        <f>t69/u69</f>
        <v>0</v>
      </c>
    </row>
    <row r="70" spans="1:44">
      <c r="S70" t="s">
        <v>22</v>
      </c>
      <c r="T70" t="str">
        <f>COUNTIFS(Details!$P$3:$P$5000,"Passed",Details!$G$3:$G$5000,"Practise")</f>
        <v>0</v>
      </c>
      <c r="U70" t="str">
        <f>COUNTIF(Details!$G$3:$G$5000, "Practise")</f>
        <v>0</v>
      </c>
      <c r="V70" s="6" t="str">
        <f>t70/u70</f>
        <v>0</v>
      </c>
    </row>
    <row r="71" spans="1:44">
      <c r="S71" t="s">
        <v>35</v>
      </c>
      <c r="T71" t="str">
        <f>COUNTIFS(Details!$P$3:$P$5000,"Passed",Details!$G$3:$G$5000,"SDA Same Day Admission")</f>
        <v>0</v>
      </c>
      <c r="U71" t="str">
        <f>COUNTIF(Details!$G$3:$G$5000, "SDA Same Day Admission")</f>
        <v>0</v>
      </c>
      <c r="V71" s="6" t="str">
        <f>t71/u71</f>
        <v>0</v>
      </c>
    </row>
    <row r="72" spans="1:44">
      <c r="S72" t="s">
        <v>81</v>
      </c>
      <c r="T72" t="str">
        <f>COUNTIFS(Details!$P$3:$P$5000,"Passed",Details!$G$3:$G$5000,"SICU")</f>
        <v>0</v>
      </c>
      <c r="U72" t="str">
        <f>COUNTIF(Details!$G$3:$G$5000, "SICU")</f>
        <v>0</v>
      </c>
      <c r="V72" s="6" t="str">
        <f>t72/u72</f>
        <v>0</v>
      </c>
    </row>
    <row r="73" spans="1:44">
      <c r="S73" t="s">
        <v>82</v>
      </c>
      <c r="T73" t="str">
        <f>COUNTIFS(Details!$P$3:$P$5000,"Passed",Details!$G$3:$G$5000,"SSU")</f>
        <v>0</v>
      </c>
      <c r="U73" t="str">
        <f>COUNTIF(Details!$G$3:$G$5000, "SSU")</f>
        <v>0</v>
      </c>
      <c r="V73" s="6" t="str">
        <f>t73/u73</f>
        <v>0</v>
      </c>
    </row>
    <row r="74" spans="1:44">
      <c r="S74" t="s">
        <v>83</v>
      </c>
      <c r="T74" t="str">
        <f>COUNTIFS(Details!$P$3:$P$5000,"Passed",Details!$G$3:$G$5000,"Staff Clinic")</f>
        <v>0</v>
      </c>
      <c r="U74" t="str">
        <f>COUNTIF(Details!$G$3:$G$5000, "Staff Clinic")</f>
        <v>0</v>
      </c>
      <c r="V74" s="6" t="str">
        <f>t74/u74</f>
        <v>0</v>
      </c>
    </row>
    <row r="75" spans="1:44">
      <c r="S75" t="s">
        <v>84</v>
      </c>
      <c r="T75" t="str">
        <f>COUNTIFS(Details!$P$3:$P$5000,"Passed",Details!$G$3:$G$5000,"Urology Centre")</f>
        <v>0</v>
      </c>
      <c r="U75" t="str">
        <f>COUNTIF(Details!$G$3:$G$5000, "Urology Centre")</f>
        <v>0</v>
      </c>
      <c r="V75" s="6" t="str">
        <f>t75/u75</f>
        <v>0</v>
      </c>
    </row>
    <row r="76" spans="1:44">
      <c r="S76" t="s">
        <v>85</v>
      </c>
      <c r="T76" t="str">
        <f>COUNTIFS(Details!$P$3:$P$5000,"Passed",Details!$G$3:$G$5000,"W42")</f>
        <v>0</v>
      </c>
      <c r="U76" t="str">
        <f>COUNTIF(Details!$G$3:$G$5000, "W42")</f>
        <v>0</v>
      </c>
      <c r="V76" s="6" t="str">
        <f>t76/u76</f>
        <v>0</v>
      </c>
    </row>
    <row r="77" spans="1:44">
      <c r="S77" t="s">
        <v>86</v>
      </c>
      <c r="T77" t="str">
        <f>COUNTIFS(Details!$P$3:$P$5000,"Passed",Details!$G$3:$G$5000,"W43")</f>
        <v>0</v>
      </c>
      <c r="U77" t="str">
        <f>COUNTIF(Details!$G$3:$G$5000, "W43")</f>
        <v>0</v>
      </c>
      <c r="V77" s="6" t="str">
        <f>t77/u77</f>
        <v>0</v>
      </c>
    </row>
    <row r="78" spans="1:44">
      <c r="S78" t="s">
        <v>87</v>
      </c>
      <c r="T78" t="str">
        <f>COUNTIFS(Details!$P$3:$P$5000,"Passed",Details!$G$3:$G$5000,"W44")</f>
        <v>0</v>
      </c>
      <c r="U78" t="str">
        <f>COUNTIF(Details!$G$3:$G$5000, "W44")</f>
        <v>0</v>
      </c>
      <c r="V78" s="6" t="str">
        <f>t78/u78</f>
        <v>0</v>
      </c>
    </row>
    <row r="79" spans="1:44">
      <c r="S79" t="s">
        <v>88</v>
      </c>
      <c r="T79" t="str">
        <f>COUNTIFS(Details!$P$3:$P$5000,"Passed",Details!$G$3:$G$5000,"W45")</f>
        <v>0</v>
      </c>
      <c r="U79" t="str">
        <f>COUNTIF(Details!$G$3:$G$5000, "W45")</f>
        <v>0</v>
      </c>
      <c r="V79" s="6" t="str">
        <f>t79/u79</f>
        <v>0</v>
      </c>
    </row>
    <row r="80" spans="1:44">
      <c r="S80" t="s">
        <v>89</v>
      </c>
      <c r="T80" t="str">
        <f>COUNTIFS(Details!$P$3:$P$5000,"Passed",Details!$G$3:$G$5000,"W46")</f>
        <v>0</v>
      </c>
      <c r="U80" t="str">
        <f>COUNTIF(Details!$G$3:$G$5000, "W46")</f>
        <v>0</v>
      </c>
      <c r="V80" s="6" t="str">
        <f>t80/u80</f>
        <v>0</v>
      </c>
    </row>
    <row r="81" spans="1:44">
      <c r="S81" t="s">
        <v>90</v>
      </c>
      <c r="T81" t="str">
        <f>COUNTIFS(Details!$P$3:$P$5000,"Passed",Details!$G$3:$G$5000,"W47A")</f>
        <v>0</v>
      </c>
      <c r="U81" t="str">
        <f>COUNTIF(Details!$G$3:$G$5000, "W47A")</f>
        <v>0</v>
      </c>
      <c r="V81" s="6" t="str">
        <f>t81/u81</f>
        <v>0</v>
      </c>
    </row>
    <row r="82" spans="1:44">
      <c r="S82" t="s">
        <v>91</v>
      </c>
      <c r="T82" t="str">
        <f>COUNTIFS(Details!$P$3:$P$5000,"Passed",Details!$G$3:$G$5000,"W47B")</f>
        <v>0</v>
      </c>
      <c r="U82" t="str">
        <f>COUNTIF(Details!$G$3:$G$5000, "W47B")</f>
        <v>0</v>
      </c>
      <c r="V82" s="6" t="str">
        <f>t82/u82</f>
        <v>0</v>
      </c>
    </row>
    <row r="83" spans="1:44">
      <c r="S83" t="s">
        <v>92</v>
      </c>
      <c r="T83" t="str">
        <f>COUNTIFS(Details!$P$3:$P$5000,"Passed",Details!$G$3:$G$5000,"W48 HAE")</f>
        <v>0</v>
      </c>
      <c r="U83" t="str">
        <f>COUNTIF(Details!$G$3:$G$5000, "W48 HAE")</f>
        <v>0</v>
      </c>
      <c r="V83" s="6" t="str">
        <f>t83/u83</f>
        <v>0</v>
      </c>
    </row>
    <row r="84" spans="1:44">
      <c r="S84" t="s">
        <v>93</v>
      </c>
      <c r="T84" t="str">
        <f>COUNTIFS(Details!$P$3:$P$5000,"Passed",Details!$G$3:$G$5000,"W48 ONC")</f>
        <v>0</v>
      </c>
      <c r="U84" t="str">
        <f>COUNTIF(Details!$G$3:$G$5000, "W48 ONC")</f>
        <v>0</v>
      </c>
      <c r="V84" s="6" t="str">
        <f>t84/u84</f>
        <v>0</v>
      </c>
    </row>
    <row r="85" spans="1:44">
      <c r="S85" t="s">
        <v>94</v>
      </c>
      <c r="T85" t="str">
        <f>COUNTIFS(Details!$P$3:$P$5000,"Passed",Details!$G$3:$G$5000,"W52A")</f>
        <v>0</v>
      </c>
      <c r="U85" t="str">
        <f>COUNTIF(Details!$G$3:$G$5000, "W52A")</f>
        <v>0</v>
      </c>
      <c r="V85" s="6" t="str">
        <f>t85/u85</f>
        <v>0</v>
      </c>
    </row>
    <row r="86" spans="1:44">
      <c r="S86" t="s">
        <v>95</v>
      </c>
      <c r="T86" t="str">
        <f>COUNTIFS(Details!$P$3:$P$5000,"Passed",Details!$G$3:$G$5000,"W52B ")</f>
        <v>0</v>
      </c>
      <c r="U86" t="str">
        <f>COUNTIF(Details!$G$3:$G$5000, "W52B ")</f>
        <v>0</v>
      </c>
      <c r="V86" s="6" t="str">
        <f>t86/u86</f>
        <v>0</v>
      </c>
    </row>
    <row r="87" spans="1:44">
      <c r="S87" t="s">
        <v>96</v>
      </c>
      <c r="T87" t="str">
        <f>COUNTIFS(Details!$P$3:$P$5000,"Passed",Details!$G$3:$G$5000,"W53A")</f>
        <v>0</v>
      </c>
      <c r="U87" t="str">
        <f>COUNTIF(Details!$G$3:$G$5000, "W53A")</f>
        <v>0</v>
      </c>
      <c r="V87" s="6" t="str">
        <f>t87/u87</f>
        <v>0</v>
      </c>
    </row>
    <row r="88" spans="1:44">
      <c r="S88" t="s">
        <v>97</v>
      </c>
      <c r="T88" t="str">
        <f>COUNTIFS(Details!$P$3:$P$5000,"Passed",Details!$G$3:$G$5000,"W53C")</f>
        <v>0</v>
      </c>
      <c r="U88" t="str">
        <f>COUNTIF(Details!$G$3:$G$5000, "W53C")</f>
        <v>0</v>
      </c>
      <c r="V88" s="6" t="str">
        <f>t88/u88</f>
        <v>0</v>
      </c>
    </row>
    <row r="89" spans="1:44">
      <c r="S89" t="s">
        <v>98</v>
      </c>
      <c r="T89" t="str">
        <f>COUNTIFS(Details!$P$3:$P$5000,"Passed",Details!$G$3:$G$5000,"W54 Neo")</f>
        <v>0</v>
      </c>
      <c r="U89" t="str">
        <f>COUNTIF(Details!$G$3:$G$5000, "W54 Neo")</f>
        <v>0</v>
      </c>
      <c r="V89" s="6" t="str">
        <f>t89/u89</f>
        <v>0</v>
      </c>
    </row>
    <row r="90" spans="1:44">
      <c r="S90" t="s">
        <v>99</v>
      </c>
      <c r="T90" t="str">
        <f>COUNTIFS(Details!$P$3:$P$5000,"Passed",Details!$G$3:$G$5000,"W54D")</f>
        <v>0</v>
      </c>
      <c r="U90" t="str">
        <f>COUNTIF(Details!$G$3:$G$5000, "W54D")</f>
        <v>0</v>
      </c>
      <c r="V90" s="6" t="str">
        <f>t90/u90</f>
        <v>0</v>
      </c>
    </row>
    <row r="91" spans="1:44">
      <c r="S91" t="s">
        <v>100</v>
      </c>
      <c r="T91" t="str">
        <f>COUNTIFS(Details!$P$3:$P$5000,"Passed",Details!$G$3:$G$5000,"W55 A&amp;B")</f>
        <v>0</v>
      </c>
      <c r="U91" t="str">
        <f>COUNTIF(Details!$G$3:$G$5000, "W55 A&amp;B")</f>
        <v>0</v>
      </c>
      <c r="V91" s="6" t="str">
        <f>t91/u91</f>
        <v>0</v>
      </c>
    </row>
    <row r="92" spans="1:44">
      <c r="S92" t="s">
        <v>101</v>
      </c>
      <c r="T92" t="str">
        <f>COUNTIFS(Details!$P$3:$P$5000,"Passed",Details!$G$3:$G$5000,"W56")</f>
        <v>0</v>
      </c>
      <c r="U92" t="str">
        <f>COUNTIF(Details!$G$3:$G$5000, "W56")</f>
        <v>0</v>
      </c>
      <c r="V92" s="6" t="str">
        <f>t92/u92</f>
        <v>0</v>
      </c>
    </row>
    <row r="93" spans="1:44">
      <c r="S93" t="s">
        <v>102</v>
      </c>
      <c r="T93" t="str">
        <f>COUNTIFS(Details!$P$3:$P$5000,"Passed",Details!$G$3:$G$5000,"W57")</f>
        <v>0</v>
      </c>
      <c r="U93" t="str">
        <f>COUNTIF(Details!$G$3:$G$5000, "W57")</f>
        <v>0</v>
      </c>
      <c r="V93" s="6" t="str">
        <f>t93/u93</f>
        <v>0</v>
      </c>
    </row>
    <row r="94" spans="1:44">
      <c r="S94" t="s">
        <v>103</v>
      </c>
      <c r="T94" t="str">
        <f>COUNTIFS(Details!$P$3:$P$5000,"Passed",Details!$G$3:$G$5000,"W58 SUR")</f>
        <v>0</v>
      </c>
      <c r="U94" t="str">
        <f>COUNTIF(Details!$G$3:$G$5000, "W58 SUR")</f>
        <v>0</v>
      </c>
      <c r="V94" s="6" t="str">
        <f>t94/u94</f>
        <v>0</v>
      </c>
    </row>
    <row r="95" spans="1:44">
      <c r="S95" t="s">
        <v>104</v>
      </c>
      <c r="T95" t="str">
        <f>COUNTIFS(Details!$P$3:$P$5000,"Passed",Details!$G$3:$G$5000,"W58B ID")</f>
        <v>0</v>
      </c>
      <c r="U95" t="str">
        <f>COUNTIF(Details!$G$3:$G$5000, "W58B ID")</f>
        <v>0</v>
      </c>
      <c r="V95" s="6" t="str">
        <f>t95/u95</f>
        <v>0</v>
      </c>
    </row>
    <row r="96" spans="1:44">
      <c r="S96" t="s">
        <v>105</v>
      </c>
      <c r="T96" t="str">
        <f>COUNTIFS(Details!$P$3:$P$5000,"Passed",Details!$G$3:$G$5000,"W63A")</f>
        <v>0</v>
      </c>
      <c r="U96" t="str">
        <f>COUNTIF(Details!$G$3:$G$5000, "W63A")</f>
        <v>0</v>
      </c>
      <c r="V96" s="6" t="str">
        <f>t96/u96</f>
        <v>0</v>
      </c>
    </row>
    <row r="97" spans="1:44">
      <c r="S97" t="s">
        <v>106</v>
      </c>
      <c r="T97" t="str">
        <f>COUNTIFS(Details!$P$3:$P$5000,"Passed",Details!$G$3:$G$5000,"W63B")</f>
        <v>0</v>
      </c>
      <c r="U97" t="str">
        <f>COUNTIF(Details!$G$3:$G$5000, "W63B")</f>
        <v>0</v>
      </c>
      <c r="V97" s="6" t="str">
        <f>t97/u97</f>
        <v>0</v>
      </c>
    </row>
    <row r="98" spans="1:44">
      <c r="S98" t="s">
        <v>107</v>
      </c>
      <c r="T98" t="str">
        <f>COUNTIFS(Details!$P$3:$P$5000,"Passed",Details!$G$3:$G$5000,"W64A")</f>
        <v>0</v>
      </c>
      <c r="U98" t="str">
        <f>COUNTIF(Details!$G$3:$G$5000, "W64A")</f>
        <v>0</v>
      </c>
      <c r="V98" s="6" t="str">
        <f>t98/u98</f>
        <v>0</v>
      </c>
    </row>
    <row r="99" spans="1:44">
      <c r="S99" t="s">
        <v>108</v>
      </c>
      <c r="T99" t="str">
        <f>COUNTIFS(Details!$P$3:$P$5000,"Passed",Details!$G$3:$G$5000,"W64C")</f>
        <v>0</v>
      </c>
      <c r="U99" t="str">
        <f>COUNTIF(Details!$G$3:$G$5000, "W64C")</f>
        <v>0</v>
      </c>
      <c r="V99" s="6" t="str">
        <f>t99/u99</f>
        <v>0</v>
      </c>
    </row>
    <row r="100" spans="1:44">
      <c r="S100" t="s">
        <v>109</v>
      </c>
      <c r="T100" t="str">
        <f>COUNTIFS(Details!$P$3:$P$5000,"Passed",Details!$G$3:$G$5000,"W64F (Cohort room)")</f>
        <v>0</v>
      </c>
      <c r="U100" t="str">
        <f>COUNTIF(Details!$G$3:$G$5000, "W64F (Cohort room)")</f>
        <v>0</v>
      </c>
      <c r="V100" s="6" t="str">
        <f>t100/u100</f>
        <v>0</v>
      </c>
    </row>
    <row r="101" spans="1:44">
      <c r="S101" t="s">
        <v>110</v>
      </c>
      <c r="T101" t="str">
        <f>COUNTIFS(Details!$P$3:$P$5000,"Passed",Details!$G$3:$G$5000,"W66")</f>
        <v>0</v>
      </c>
      <c r="U101" t="str">
        <f>COUNTIF(Details!$G$3:$G$5000, "W66")</f>
        <v>0</v>
      </c>
      <c r="V101" s="6" t="str">
        <f>t101/u101</f>
        <v>0</v>
      </c>
    </row>
    <row r="102" spans="1:44">
      <c r="S102" t="s">
        <v>111</v>
      </c>
      <c r="T102" t="str">
        <f>COUNTIFS(Details!$P$3:$P$5000,"Passed",Details!$G$3:$G$5000,"W67")</f>
        <v>0</v>
      </c>
      <c r="U102" t="str">
        <f>COUNTIF(Details!$G$3:$G$5000, "W67")</f>
        <v>0</v>
      </c>
      <c r="V102" s="6" t="str">
        <f>t102/u102</f>
        <v>0</v>
      </c>
    </row>
    <row r="103" spans="1:44">
      <c r="S103" t="s">
        <v>112</v>
      </c>
      <c r="T103" t="str">
        <f>COUNTIFS(Details!$P$3:$P$5000,"Passed",Details!$G$3:$G$5000,"W68")</f>
        <v>0</v>
      </c>
      <c r="U103" t="str">
        <f>COUNTIF(Details!$G$3:$G$5000, "W68")</f>
        <v>0</v>
      </c>
      <c r="V103" s="6" t="str">
        <f>t103/u103</f>
        <v>0</v>
      </c>
    </row>
    <row r="104" spans="1:44">
      <c r="S104" t="s">
        <v>113</v>
      </c>
      <c r="T104" t="str">
        <f>COUNTIFS(Details!$P$3:$P$5000,"Passed",Details!$G$3:$G$5000,"W72")</f>
        <v>0</v>
      </c>
      <c r="U104" t="str">
        <f>COUNTIF(Details!$G$3:$G$5000, "W72")</f>
        <v>0</v>
      </c>
      <c r="V104" s="6" t="str">
        <f>t104/u104</f>
        <v>0</v>
      </c>
    </row>
    <row r="105" spans="1:44">
      <c r="S105" t="s">
        <v>114</v>
      </c>
      <c r="T105" t="str">
        <f>COUNTIFS(Details!$P$3:$P$5000,"Passed",Details!$G$3:$G$5000,"W73")</f>
        <v>0</v>
      </c>
      <c r="U105" t="str">
        <f>COUNTIF(Details!$G$3:$G$5000, "W73")</f>
        <v>0</v>
      </c>
      <c r="V105" s="6" t="str">
        <f>t105/u105</f>
        <v>0</v>
      </c>
    </row>
    <row r="106" spans="1:44">
      <c r="S106" t="s">
        <v>115</v>
      </c>
      <c r="T106" t="str">
        <f>COUNTIFS(Details!$P$3:$P$5000,"Passed",Details!$G$3:$G$5000,"W74")</f>
        <v>0</v>
      </c>
      <c r="U106" t="str">
        <f>COUNTIF(Details!$G$3:$G$5000, "W74")</f>
        <v>0</v>
      </c>
      <c r="V106" s="6" t="str">
        <f>t106/u106</f>
        <v>0</v>
      </c>
    </row>
    <row r="107" spans="1:44">
      <c r="S107" t="s">
        <v>116</v>
      </c>
      <c r="T107" t="str">
        <f>COUNTIFS(Details!$P$3:$P$5000,"Passed",Details!$G$3:$G$5000,"W75")</f>
        <v>0</v>
      </c>
      <c r="U107" t="str">
        <f>COUNTIF(Details!$G$3:$G$5000, "W75")</f>
        <v>0</v>
      </c>
      <c r="V107" s="6" t="str">
        <f>t107/u107</f>
        <v>0</v>
      </c>
    </row>
    <row r="108" spans="1:44">
      <c r="S108" t="s">
        <v>117</v>
      </c>
      <c r="T108" t="str">
        <f>COUNTIFS(Details!$P$3:$P$5000,"Passed",Details!$G$3:$G$5000,"W76")</f>
        <v>0</v>
      </c>
      <c r="U108" t="str">
        <f>COUNTIF(Details!$G$3:$G$5000, "W76")</f>
        <v>0</v>
      </c>
      <c r="V108" s="6" t="str">
        <f>t108/u108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Details</vt:lpstr>
      <vt:lpstr>Moment-HCW</vt:lpstr>
      <vt:lpstr>LocLevel1</vt:lpstr>
      <vt:lpstr>LocLevel2</vt:lpstr>
      <vt:lpstr>LocLevel3</vt:lpstr>
      <vt:lpstr>LocLevel4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>RocketSpin.ph</cp:lastModifiedBy>
  <dcterms:created xsi:type="dcterms:W3CDTF">2017-12-01T09:00:17+08:00</dcterms:created>
  <dcterms:modified xsi:type="dcterms:W3CDTF">2017-12-01T09:00:17+08:00</dcterms:modified>
  <dc:title>HHAT Compliance Data</dc:title>
  <dc:description>System Generated Reports</dc:description>
  <dc:subject>HHAT Reports</dc:subject>
  <cp:keywords/>
  <cp:category/>
</cp:coreProperties>
</file>