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Лист1" sheetId="1" r:id="rId1"/>
    <sheet name="Лист2" sheetId="2" r:id="rId2"/>
  </sheets>
  <definedNames>
    <definedName name="_xlnm._FilterDatabase" localSheetId="0" hidden="1">Лист1!$V$45:$X$55</definedName>
    <definedName name="T78_AERO">Лист1!$K$4:$K$7</definedName>
    <definedName name="Т78_ACLASS">Лист1!$O$4:$O$7</definedName>
    <definedName name="Т78_SUPER_AERO">Лист1!$M$4:$M$7</definedName>
    <definedName name="Т78AERO">Лист1!$L$22:$L$25</definedName>
    <definedName name="Т80_AERO">Лист1!$L$4:$L$7</definedName>
    <definedName name="Т80_SUPER_AERO">Лист1!$N$4:$N$7</definedName>
    <definedName name="Т86_60_4">Лист1!$P$4:$P$5</definedName>
    <definedName name="Т86_604">Лист1!#REF!</definedName>
    <definedName name="Т86_70_6">Лист1!$Q$4:$Q$5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<sst xmlns="http://schemas.openxmlformats.org/spreadsheetml/2006/main" count="414" uniqueCount="265">
  <si>
    <t xml:space="preserve">Расчет прогибов оконных импостов при
совместном действии ветровой нагрузки и температурного
климатического воздействия.
</t>
  </si>
  <si>
    <t xml:space="preserve"> согласно требованиям СП 20.13330.2016 "Нагрузки и воздействия"                                                                                                                                                  СП 538.1325800.2024 "Конструкции оконные и балконные"</t>
  </si>
  <si>
    <t>T78_AERO</t>
  </si>
  <si>
    <t>Т80_AERO</t>
  </si>
  <si>
    <t>Т78_SUPER_AERO</t>
  </si>
  <si>
    <t>Т80_SUPER_AERO</t>
  </si>
  <si>
    <t>Т78_ACLASS</t>
  </si>
  <si>
    <t>Т86_60_4</t>
  </si>
  <si>
    <t>Т86_70_6</t>
  </si>
  <si>
    <t>35*20*1,5(труба)</t>
  </si>
  <si>
    <t>35*28*1,5</t>
  </si>
  <si>
    <t xml:space="preserve">Исходные данные </t>
  </si>
  <si>
    <t>35*20*2(труба)</t>
  </si>
  <si>
    <t>35*28*2</t>
  </si>
  <si>
    <t>35*20*1,5</t>
  </si>
  <si>
    <t>35*20*2</t>
  </si>
  <si>
    <t xml:space="preserve">Wo </t>
  </si>
  <si>
    <t>Ветровой район:</t>
  </si>
  <si>
    <t>II(2)</t>
  </si>
  <si>
    <t xml:space="preserve">Наветренная сторона </t>
  </si>
  <si>
    <t>A</t>
  </si>
  <si>
    <t>Высота здания h (м):</t>
  </si>
  <si>
    <t>Ветр рег.</t>
  </si>
  <si>
    <t>B</t>
  </si>
  <si>
    <t>Ширина здания d (м):</t>
  </si>
  <si>
    <t>Длина здания</t>
  </si>
  <si>
    <t>Момент инерции</t>
  </si>
  <si>
    <t>Ia(1a)</t>
  </si>
  <si>
    <t>C</t>
  </si>
  <si>
    <t>Фактическая высота установки окна (м):</t>
  </si>
  <si>
    <t>Расстояние от края наветренной стены до окна</t>
  </si>
  <si>
    <t>Площадь</t>
  </si>
  <si>
    <t>I(1)</t>
  </si>
  <si>
    <t>D</t>
  </si>
  <si>
    <t xml:space="preserve">Тип местности </t>
  </si>
  <si>
    <t>E</t>
  </si>
  <si>
    <t>Длина импоста L (см):</t>
  </si>
  <si>
    <t>III(3)</t>
  </si>
  <si>
    <t>a (см):</t>
  </si>
  <si>
    <t>IV(4)</t>
  </si>
  <si>
    <t>b (см):</t>
  </si>
  <si>
    <r>
      <rPr>
        <sz val="8"/>
        <color theme="1"/>
        <rFont val="Calibri"/>
        <charset val="204"/>
        <scheme val="minor"/>
      </rPr>
      <t>Расчетная внутренняя температура воздуха,</t>
    </r>
    <r>
      <rPr>
        <sz val="8"/>
        <color theme="1"/>
        <rFont val="Calibri"/>
        <charset val="204"/>
      </rPr>
      <t>˚С</t>
    </r>
  </si>
  <si>
    <r>
      <rPr>
        <sz val="8"/>
        <color theme="1"/>
        <rFont val="Calibri"/>
        <charset val="204"/>
        <scheme val="minor"/>
      </rPr>
      <t>Т</t>
    </r>
    <r>
      <rPr>
        <vertAlign val="subscript"/>
        <sz val="8"/>
        <color theme="1"/>
        <rFont val="Calibri"/>
        <charset val="204"/>
        <scheme val="minor"/>
      </rPr>
      <t>в</t>
    </r>
    <r>
      <rPr>
        <sz val="8"/>
        <color theme="1"/>
        <rFont val="Calibri"/>
        <charset val="204"/>
        <scheme val="minor"/>
      </rPr>
      <t>=</t>
    </r>
  </si>
  <si>
    <t>V(5)</t>
  </si>
  <si>
    <t>c (см):</t>
  </si>
  <si>
    <t>Расчетная наружная температура воздуха,˚С</t>
  </si>
  <si>
    <r>
      <rPr>
        <sz val="8"/>
        <color theme="1"/>
        <rFont val="Calibri"/>
        <charset val="204"/>
        <scheme val="minor"/>
      </rPr>
      <t>Т</t>
    </r>
    <r>
      <rPr>
        <vertAlign val="subscript"/>
        <sz val="8"/>
        <color theme="1"/>
        <rFont val="Calibri"/>
        <charset val="204"/>
        <scheme val="minor"/>
      </rPr>
      <t>н</t>
    </r>
    <r>
      <rPr>
        <sz val="8"/>
        <color theme="1"/>
        <rFont val="Calibri"/>
        <charset val="204"/>
        <scheme val="minor"/>
      </rPr>
      <t>=</t>
    </r>
  </si>
  <si>
    <t>VI(6)</t>
  </si>
  <si>
    <t>d (см):</t>
  </si>
  <si>
    <t>Темпетарура замыкания (монтажа) оконной конструкции,</t>
  </si>
  <si>
    <r>
      <rPr>
        <sz val="8"/>
        <color theme="1"/>
        <rFont val="Calibri"/>
        <charset val="204"/>
        <scheme val="minor"/>
      </rPr>
      <t>T</t>
    </r>
    <r>
      <rPr>
        <vertAlign val="subscript"/>
        <sz val="8"/>
        <color theme="1"/>
        <rFont val="Calibri"/>
        <charset val="204"/>
        <scheme val="minor"/>
      </rPr>
      <t>ref</t>
    </r>
    <r>
      <rPr>
        <sz val="8"/>
        <color theme="1"/>
        <rFont val="Calibri"/>
        <charset val="204"/>
        <scheme val="minor"/>
      </rPr>
      <t>=</t>
    </r>
  </si>
  <si>
    <t>VII(7)</t>
  </si>
  <si>
    <t>Выбор профиля</t>
  </si>
  <si>
    <t>Максимально допустимый прогиб, мм</t>
  </si>
  <si>
    <t>Цвет профиля</t>
  </si>
  <si>
    <t xml:space="preserve">Белый </t>
  </si>
  <si>
    <t>Расчётный прогиб, мм</t>
  </si>
  <si>
    <t>Выбор армирования</t>
  </si>
  <si>
    <t>Армирование</t>
  </si>
  <si>
    <t>момент инерции</t>
  </si>
  <si>
    <t>Площадь армирования</t>
  </si>
  <si>
    <t>1. Нормативное значение основной ветровой нагрузки W</t>
  </si>
  <si>
    <t>Высота Ze, М</t>
  </si>
  <si>
    <t>Коэффициент K для типов местности</t>
  </si>
  <si>
    <r>
      <rPr>
        <sz val="8"/>
        <color theme="1"/>
        <rFont val="Calibri"/>
        <charset val="204"/>
        <scheme val="minor"/>
      </rPr>
      <t>W = W</t>
    </r>
    <r>
      <rPr>
        <vertAlign val="subscript"/>
        <sz val="8"/>
        <color theme="1"/>
        <rFont val="Calibri"/>
        <charset val="204"/>
        <scheme val="minor"/>
      </rPr>
      <t>m</t>
    </r>
    <r>
      <rPr>
        <sz val="8"/>
        <color theme="1"/>
        <rFont val="Calibri"/>
        <charset val="204"/>
        <scheme val="minor"/>
      </rPr>
      <t xml:space="preserve"> + W</t>
    </r>
    <r>
      <rPr>
        <vertAlign val="subscript"/>
        <sz val="8"/>
        <color theme="1"/>
        <rFont val="Calibri"/>
        <charset val="204"/>
        <scheme val="minor"/>
      </rPr>
      <t>p</t>
    </r>
  </si>
  <si>
    <t>по формуле (11.1),СП 20.13330.2016</t>
  </si>
  <si>
    <t>А</t>
  </si>
  <si>
    <t>Пиковый аэродинамический коэффициент</t>
  </si>
  <si>
    <t xml:space="preserve">W= </t>
  </si>
  <si>
    <t>h≤5</t>
  </si>
  <si>
    <t>5&lt;h≤10</t>
  </si>
  <si>
    <t>Тип местности</t>
  </si>
  <si>
    <t>Получаем номер столбца</t>
  </si>
  <si>
    <r>
      <rPr>
        <sz val="8"/>
        <color theme="1"/>
        <rFont val="Calibri"/>
        <charset val="204"/>
        <scheme val="minor"/>
      </rPr>
      <t>Нормативное значение средней составляющей основной ветровой нагрузки W</t>
    </r>
    <r>
      <rPr>
        <vertAlign val="subscript"/>
        <sz val="8"/>
        <color theme="1"/>
        <rFont val="Calibri"/>
        <charset val="204"/>
        <scheme val="minor"/>
      </rPr>
      <t>m</t>
    </r>
  </si>
  <si>
    <t>10&lt;h≤20</t>
  </si>
  <si>
    <t>Ветровой район</t>
  </si>
  <si>
    <t>пункт 11.1.4, СП 20.13330.2016</t>
  </si>
  <si>
    <t>20&lt;h≤40</t>
  </si>
  <si>
    <t xml:space="preserve">Нормативное значение ветрового давления, Па                                                     </t>
  </si>
  <si>
    <r>
      <rPr>
        <sz val="8"/>
        <color theme="1"/>
        <rFont val="Calibri"/>
        <charset val="204"/>
        <scheme val="minor"/>
      </rPr>
      <t>W</t>
    </r>
    <r>
      <rPr>
        <vertAlign val="subscript"/>
        <sz val="8"/>
        <color theme="1"/>
        <rFont val="Calibri"/>
        <charset val="204"/>
        <scheme val="minor"/>
      </rPr>
      <t>0</t>
    </r>
    <r>
      <rPr>
        <sz val="8"/>
        <color theme="1"/>
        <rFont val="Calibri"/>
        <charset val="204"/>
        <scheme val="minor"/>
      </rPr>
      <t>=</t>
    </r>
  </si>
  <si>
    <t>по таблице (11.1), СП 20.13330.2016</t>
  </si>
  <si>
    <t>40&lt;h≤60</t>
  </si>
  <si>
    <r>
      <rPr>
        <sz val="9"/>
        <color theme="1"/>
        <rFont val="Calibri"/>
        <charset val="204"/>
        <scheme val="minor"/>
      </rPr>
      <t xml:space="preserve">                  W</t>
    </r>
    <r>
      <rPr>
        <vertAlign val="subscript"/>
        <sz val="9"/>
        <color theme="1"/>
        <rFont val="Calibri"/>
        <charset val="204"/>
        <scheme val="minor"/>
      </rPr>
      <t xml:space="preserve">m </t>
    </r>
    <r>
      <rPr>
        <sz val="9"/>
        <color theme="1"/>
        <rFont val="Calibri"/>
        <charset val="204"/>
        <scheme val="minor"/>
      </rPr>
      <t>=</t>
    </r>
  </si>
  <si>
    <t xml:space="preserve"> по формуле (11.2), СП 20.13330.2016</t>
  </si>
  <si>
    <t>60&lt;h≤80</t>
  </si>
  <si>
    <t>80&lt;h≤100</t>
  </si>
  <si>
    <t xml:space="preserve">Высота здания </t>
  </si>
  <si>
    <t>Получаем номер строки</t>
  </si>
  <si>
    <r>
      <rPr>
        <sz val="8"/>
        <color theme="1"/>
        <rFont val="Calibri"/>
        <charset val="204"/>
        <scheme val="minor"/>
      </rPr>
      <t>Коэффициент учитывающий изменение ветрового давления k(z</t>
    </r>
    <r>
      <rPr>
        <vertAlign val="subscript"/>
        <sz val="8"/>
        <color theme="1"/>
        <rFont val="Calibri"/>
        <charset val="204"/>
        <scheme val="minor"/>
      </rPr>
      <t>e</t>
    </r>
    <r>
      <rPr>
        <sz val="8"/>
        <color theme="1"/>
        <rFont val="Calibri"/>
        <charset val="204"/>
        <scheme val="minor"/>
      </rPr>
      <t>)</t>
    </r>
  </si>
  <si>
    <t>100&lt;h≤150</t>
  </si>
  <si>
    <t xml:space="preserve"> +</t>
  </si>
  <si>
    <t xml:space="preserve"> пункт 11.1.6, СП 20.13330.2016</t>
  </si>
  <si>
    <t>150&lt;h≤200</t>
  </si>
  <si>
    <t>с =</t>
  </si>
  <si>
    <t xml:space="preserve">Эквивалентная высота                    </t>
  </si>
  <si>
    <r>
      <rPr>
        <sz val="8"/>
        <color theme="1"/>
        <rFont val="Calibri"/>
        <charset val="204"/>
        <scheme val="minor"/>
      </rPr>
      <t>z</t>
    </r>
    <r>
      <rPr>
        <vertAlign val="subscript"/>
        <sz val="8"/>
        <color theme="1"/>
        <rFont val="Calibri"/>
        <charset val="204"/>
        <scheme val="minor"/>
      </rPr>
      <t>e</t>
    </r>
    <r>
      <rPr>
        <sz val="8"/>
        <color theme="1"/>
        <rFont val="Calibri"/>
        <charset val="204"/>
        <scheme val="minor"/>
      </rPr>
      <t xml:space="preserve"> =</t>
    </r>
  </si>
  <si>
    <t xml:space="preserve"> пункт 11.1.5, СП 20.13330.2016</t>
  </si>
  <si>
    <t>Подветренная сторона</t>
  </si>
  <si>
    <t>200&lt;h≤250</t>
  </si>
  <si>
    <t xml:space="preserve">Коэффициент                                     </t>
  </si>
  <si>
    <t xml:space="preserve"> k(ze) =</t>
  </si>
  <si>
    <t>Боковая стена</t>
  </si>
  <si>
    <t>250&lt;h≤300</t>
  </si>
  <si>
    <t xml:space="preserve">Аэродинамический   коэфф          </t>
  </si>
  <si>
    <t xml:space="preserve"> пункт 11.1.7, СП 20.13330.2016</t>
  </si>
  <si>
    <t>Прямоугольные в плане здания с двускатными покрытиями</t>
  </si>
  <si>
    <t>Столбец1</t>
  </si>
  <si>
    <t>пункт 11.1.1, СП 20.13330.2016</t>
  </si>
  <si>
    <t>по таблице 11.4, СП 20.13330.2016</t>
  </si>
  <si>
    <t xml:space="preserve">с= </t>
  </si>
  <si>
    <t>Цветной</t>
  </si>
  <si>
    <t>Расчет прогриба оконных импостов при совместном действии ветровой нагрузки и темперетурного климатического воздействия.</t>
  </si>
  <si>
    <t>Коэффициент пульсации давления ветра ζ(Ze) для типов местности</t>
  </si>
  <si>
    <t>по СП 538.1325800.2024</t>
  </si>
  <si>
    <t xml:space="preserve"> по формуле (11.5), СП 20.13330.2016</t>
  </si>
  <si>
    <t>(Не распорстроняется на проектирование:</t>
  </si>
  <si>
    <t>оконных и балконных конструкций специального назначения (противопожарных, пулестойких, взрывостойких)</t>
  </si>
  <si>
    <t xml:space="preserve">светопрозрачных фасадных контструкций по ГОСТ 33079 </t>
  </si>
  <si>
    <t>оконных и балконных конструкций зданий и сооружений, кторые отнесениы к объектам культурного наследия (памятники истории и культуры)</t>
  </si>
  <si>
    <t>W (расчётная ветровая нагрузка), Па:</t>
  </si>
  <si>
    <r>
      <rPr>
        <sz val="8"/>
        <color theme="1"/>
        <rFont val="Calibri"/>
        <charset val="204"/>
        <scheme val="minor"/>
      </rPr>
      <t>Нормативное значение пульсационной составляющей основной ветровой нагрузки W</t>
    </r>
    <r>
      <rPr>
        <vertAlign val="subscript"/>
        <sz val="8"/>
        <color theme="1"/>
        <rFont val="Calibri"/>
        <charset val="204"/>
        <scheme val="minor"/>
      </rPr>
      <t>p</t>
    </r>
  </si>
  <si>
    <t xml:space="preserve">Коэффициент пульсаии давления ветра                                                      </t>
  </si>
  <si>
    <t>ζ(Ze) =</t>
  </si>
  <si>
    <t>e =</t>
  </si>
  <si>
    <t>Прогиб оконного импоста из ПВХ профиля следует определять по формуле</t>
  </si>
  <si>
    <t xml:space="preserve">Коэффициент пространственной корреляции пульсации давления ветра                                         </t>
  </si>
  <si>
    <t xml:space="preserve"> V=</t>
  </si>
  <si>
    <r>
      <rPr>
        <sz val="9"/>
        <color theme="1"/>
        <rFont val="Calibri"/>
        <charset val="204"/>
        <scheme val="minor"/>
      </rPr>
      <t>W</t>
    </r>
    <r>
      <rPr>
        <vertAlign val="subscript"/>
        <sz val="9"/>
        <color theme="1"/>
        <rFont val="Calibri"/>
        <charset val="204"/>
        <scheme val="minor"/>
      </rPr>
      <t>p</t>
    </r>
    <r>
      <rPr>
        <sz val="9"/>
        <color theme="1"/>
        <rFont val="Calibri"/>
        <charset val="204"/>
        <scheme val="minor"/>
      </rPr>
      <t xml:space="preserve"> = </t>
    </r>
  </si>
  <si>
    <t>Материал прфиля</t>
  </si>
  <si>
    <t>Столбец2</t>
  </si>
  <si>
    <t>Столбец3</t>
  </si>
  <si>
    <t>Столбец4</t>
  </si>
  <si>
    <t>прогиб оконного импоста, м</t>
  </si>
  <si>
    <t>Материал профиля</t>
  </si>
  <si>
    <t>Тип профиля</t>
  </si>
  <si>
    <t>A =</t>
  </si>
  <si>
    <t>м</t>
  </si>
  <si>
    <t xml:space="preserve">Должен быть не более чем 1/200 </t>
  </si>
  <si>
    <t xml:space="preserve">2.1 Расчёт прогиба оконного импоста от действия ветровой нагрузки. </t>
  </si>
  <si>
    <t>согласно приложению B                                            по СП 538.1325800.2024</t>
  </si>
  <si>
    <t>ПВХ</t>
  </si>
  <si>
    <t>трехкамерный</t>
  </si>
  <si>
    <t>B=</t>
  </si>
  <si>
    <t>где:</t>
  </si>
  <si>
    <t xml:space="preserve">
</t>
  </si>
  <si>
    <t>четырехкамерный</t>
  </si>
  <si>
    <t xml:space="preserve">с = </t>
  </si>
  <si>
    <t>прориб от действия ветровой наргрузки, м.</t>
  </si>
  <si>
    <t>пятикамерный</t>
  </si>
  <si>
    <t>прогиб от дейтвия температурного климатического воздействия, м.</t>
  </si>
  <si>
    <t>fw=</t>
  </si>
  <si>
    <t>шестикамерный</t>
  </si>
  <si>
    <t xml:space="preserve">Нормативное значение пиковой ветровой нагрузки на оконную конструкцию, Па. </t>
  </si>
  <si>
    <r>
      <rPr>
        <i/>
        <sz val="8"/>
        <color theme="1"/>
        <rFont val="Calibri"/>
        <charset val="204"/>
        <scheme val="minor"/>
      </rPr>
      <t>q</t>
    </r>
    <r>
      <rPr>
        <i/>
        <vertAlign val="subscript"/>
        <sz val="8"/>
        <color theme="1"/>
        <rFont val="Calibri"/>
        <charset val="204"/>
        <scheme val="minor"/>
      </rPr>
      <t>w</t>
    </r>
    <r>
      <rPr>
        <sz val="8"/>
        <color theme="1"/>
        <rFont val="Calibri"/>
        <charset val="204"/>
        <scheme val="minor"/>
      </rPr>
      <t>=</t>
    </r>
  </si>
  <si>
    <t>Прогиб оконного импоста из ПВХ профиля от действия ветровой нагрузки определяем по формуле</t>
  </si>
  <si>
    <t xml:space="preserve">Главные моменты инерции </t>
  </si>
  <si>
    <t>𝑓𝑤</t>
  </si>
  <si>
    <r>
      <rPr>
        <sz val="8"/>
        <color theme="1"/>
        <rFont val="Calibri"/>
        <charset val="204"/>
        <scheme val="minor"/>
      </rPr>
      <t xml:space="preserve">         Сечения профиля, м</t>
    </r>
    <r>
      <rPr>
        <vertAlign val="superscript"/>
        <sz val="8"/>
        <color theme="1"/>
        <rFont val="Calibri"/>
        <charset val="204"/>
        <scheme val="minor"/>
      </rPr>
      <t xml:space="preserve">4 </t>
    </r>
  </si>
  <si>
    <r>
      <rPr>
        <i/>
        <sz val="8"/>
        <color theme="1"/>
        <rFont val="Artifakt Element"/>
        <charset val="204"/>
      </rPr>
      <t>I</t>
    </r>
    <r>
      <rPr>
        <i/>
        <vertAlign val="subscript"/>
        <sz val="8"/>
        <color theme="1"/>
        <rFont val="Artifakt Element"/>
        <charset val="204"/>
      </rPr>
      <t>p</t>
    </r>
    <r>
      <rPr>
        <i/>
        <sz val="8"/>
        <color theme="1"/>
        <rFont val="Artifakt Element"/>
        <charset val="204"/>
      </rPr>
      <t>=</t>
    </r>
  </si>
  <si>
    <t>P</t>
  </si>
  <si>
    <t>Ш</t>
  </si>
  <si>
    <t>p</t>
  </si>
  <si>
    <t>(строка)</t>
  </si>
  <si>
    <t xml:space="preserve"> </t>
  </si>
  <si>
    <r>
      <rPr>
        <sz val="8"/>
        <color theme="1"/>
        <rFont val="Calibri"/>
        <charset val="204"/>
        <scheme val="minor"/>
      </rPr>
      <t>Сечения усилительного вкладыша, м</t>
    </r>
    <r>
      <rPr>
        <vertAlign val="superscript"/>
        <sz val="8"/>
        <color theme="1"/>
        <rFont val="Calibri"/>
        <charset val="204"/>
        <scheme val="minor"/>
      </rPr>
      <t>4</t>
    </r>
  </si>
  <si>
    <r>
      <rPr>
        <i/>
        <sz val="8"/>
        <color theme="1"/>
        <rFont val="Artifakt Element"/>
        <charset val="204"/>
      </rPr>
      <t>I</t>
    </r>
    <r>
      <rPr>
        <i/>
        <vertAlign val="subscript"/>
        <sz val="8"/>
        <color theme="1"/>
        <rFont val="Artifakt Element"/>
        <charset val="204"/>
      </rPr>
      <t>s</t>
    </r>
    <r>
      <rPr>
        <i/>
        <sz val="8"/>
        <color theme="1"/>
        <rFont val="Artifakt Element"/>
        <charset val="204"/>
      </rPr>
      <t>=</t>
    </r>
  </si>
  <si>
    <t>X</t>
  </si>
  <si>
    <t>Д</t>
  </si>
  <si>
    <t>x</t>
  </si>
  <si>
    <t>(столбец)</t>
  </si>
  <si>
    <t>Модули упругости</t>
  </si>
  <si>
    <t>нормативное значение пиковой ветровой нагрузки на оконную конструкцию, Па.</t>
  </si>
  <si>
    <t>ПВХ, Па</t>
  </si>
  <si>
    <r>
      <rPr>
        <i/>
        <sz val="8"/>
        <color theme="1"/>
        <rFont val="Calibri"/>
        <charset val="204"/>
        <scheme val="minor"/>
      </rPr>
      <t>E</t>
    </r>
    <r>
      <rPr>
        <i/>
        <vertAlign val="subscript"/>
        <sz val="8"/>
        <color theme="1"/>
        <rFont val="Calibri"/>
        <charset val="204"/>
        <scheme val="minor"/>
      </rPr>
      <t>p</t>
    </r>
    <r>
      <rPr>
        <sz val="8"/>
        <color theme="1"/>
        <rFont val="Calibri"/>
        <charset val="204"/>
        <scheme val="minor"/>
      </rPr>
      <t>=</t>
    </r>
  </si>
  <si>
    <t>3400000000</t>
  </si>
  <si>
    <t>главный моменты инерции сечения ПВХ профиля , м4.</t>
  </si>
  <si>
    <t>Материала  вкладыша, Па</t>
  </si>
  <si>
    <r>
      <rPr>
        <i/>
        <sz val="8"/>
        <color theme="1"/>
        <rFont val="Calibri"/>
        <charset val="204"/>
        <scheme val="minor"/>
      </rPr>
      <t>E</t>
    </r>
    <r>
      <rPr>
        <i/>
        <vertAlign val="subscript"/>
        <sz val="8"/>
        <color theme="1"/>
        <rFont val="Calibri"/>
        <charset val="204"/>
        <scheme val="minor"/>
      </rPr>
      <t>s</t>
    </r>
    <r>
      <rPr>
        <i/>
        <sz val="8"/>
        <color theme="1"/>
        <rFont val="Calibri"/>
        <charset val="204"/>
        <scheme val="minor"/>
      </rPr>
      <t>=</t>
    </r>
  </si>
  <si>
    <t>главный моменты инерции сечения усилительного вкладиша, м4.</t>
  </si>
  <si>
    <t>модули упругости ПВХ, Па.</t>
  </si>
  <si>
    <t>Длина импоста, м</t>
  </si>
  <si>
    <t>L =</t>
  </si>
  <si>
    <t>модули упругости материала усилительного вкладыша соответственно, Па.</t>
  </si>
  <si>
    <t>длина импоста.</t>
  </si>
  <si>
    <r>
      <rPr>
        <sz val="8"/>
        <color theme="1"/>
        <rFont val="Calibri"/>
        <charset val="204"/>
        <scheme val="minor"/>
      </rPr>
      <t xml:space="preserve">Параметры </t>
    </r>
    <r>
      <rPr>
        <i/>
        <sz val="8"/>
        <color theme="1"/>
        <rFont val="Calibri"/>
        <charset val="204"/>
        <scheme val="minor"/>
      </rPr>
      <t>b</t>
    </r>
    <r>
      <rPr>
        <i/>
        <vertAlign val="subscript"/>
        <sz val="8"/>
        <color theme="1"/>
        <rFont val="Calibri"/>
        <charset val="204"/>
        <scheme val="minor"/>
      </rPr>
      <t>1</t>
    </r>
    <r>
      <rPr>
        <i/>
        <sz val="8"/>
        <color theme="1"/>
        <rFont val="Calibri"/>
        <charset val="204"/>
        <scheme val="minor"/>
      </rPr>
      <t xml:space="preserve"> и b</t>
    </r>
    <r>
      <rPr>
        <i/>
        <vertAlign val="subscript"/>
        <sz val="8"/>
        <color theme="1"/>
        <rFont val="Calibri"/>
        <charset val="204"/>
        <scheme val="minor"/>
      </rPr>
      <t>2</t>
    </r>
  </si>
  <si>
    <t>параметр, определяемые согласно формуле:</t>
  </si>
  <si>
    <r>
      <rPr>
        <i/>
        <sz val="8"/>
        <color theme="1"/>
        <rFont val="Calibri"/>
        <charset val="204"/>
        <scheme val="minor"/>
      </rPr>
      <t>b</t>
    </r>
    <r>
      <rPr>
        <i/>
        <vertAlign val="subscript"/>
        <sz val="8"/>
        <color theme="1"/>
        <rFont val="Calibri"/>
        <charset val="204"/>
        <scheme val="minor"/>
      </rPr>
      <t>1</t>
    </r>
    <r>
      <rPr>
        <i/>
        <sz val="8"/>
        <color theme="1"/>
        <rFont val="Calibri"/>
        <charset val="204"/>
        <scheme val="minor"/>
      </rPr>
      <t>=</t>
    </r>
  </si>
  <si>
    <r>
      <rPr>
        <i/>
        <sz val="8"/>
        <color theme="1"/>
        <rFont val="Calibri"/>
        <charset val="204"/>
        <scheme val="minor"/>
      </rPr>
      <t>b</t>
    </r>
    <r>
      <rPr>
        <i/>
        <vertAlign val="subscript"/>
        <sz val="8"/>
        <color theme="1"/>
        <rFont val="Calibri"/>
        <charset val="204"/>
        <scheme val="minor"/>
      </rPr>
      <t>2</t>
    </r>
    <r>
      <rPr>
        <i/>
        <sz val="8"/>
        <color theme="1"/>
        <rFont val="Calibri"/>
        <charset val="204"/>
        <scheme val="minor"/>
      </rPr>
      <t>=</t>
    </r>
  </si>
  <si>
    <t xml:space="preserve">где: </t>
  </si>
  <si>
    <t>v =</t>
  </si>
  <si>
    <t>ширина части оконной конструкции. Передающей на импост ветровую нагрузкц соответственно  с левой и правой стороны, м.</t>
  </si>
  <si>
    <t>w = w_m + w_p.</t>
  </si>
  <si>
    <t>2.2 Расчёт прогиба оконного импоста от действия температурного клматического воздействия</t>
  </si>
  <si>
    <t>Прогиб оконного импоста из ПВХ профиля от действия температурного климатического воздействия определяется по формуле</t>
  </si>
  <si>
    <r>
      <rPr>
        <i/>
        <sz val="8"/>
        <color theme="1"/>
        <rFont val="ItalicT"/>
        <charset val="204"/>
      </rPr>
      <t>f</t>
    </r>
    <r>
      <rPr>
        <i/>
        <vertAlign val="subscript"/>
        <sz val="8"/>
        <color theme="1"/>
        <rFont val="Calibri"/>
        <charset val="204"/>
        <scheme val="minor"/>
      </rPr>
      <t>t</t>
    </r>
    <r>
      <rPr>
        <i/>
        <sz val="8"/>
        <color theme="1"/>
        <rFont val="Calibri"/>
        <charset val="204"/>
        <scheme val="minor"/>
      </rPr>
      <t>=</t>
    </r>
  </si>
  <si>
    <t xml:space="preserve">Коэффициент  </t>
  </si>
  <si>
    <t>p =</t>
  </si>
  <si>
    <t>Расстояние между нейтральными осями</t>
  </si>
  <si>
    <t>Площади поперечного сечения армирования</t>
  </si>
  <si>
    <t>площади поперечного сечения ПВХ профиля, м2</t>
  </si>
  <si>
    <t>главный моменты инерции сечения ПВХ профиля, м4.</t>
  </si>
  <si>
    <t>Расстояние между неитральной осью ПВХ профиля и нейтральной осью усилительного вкладыша, м</t>
  </si>
  <si>
    <t>δ=</t>
  </si>
  <si>
    <t>площади поперечного сечения усилительного вкладыша, м2</t>
  </si>
  <si>
    <t>главный моменты инерции сечения  усилительного вкладиша, м4.</t>
  </si>
  <si>
    <t xml:space="preserve">константа, принимаемая равной </t>
  </si>
  <si>
    <t xml:space="preserve">Продольные силы </t>
  </si>
  <si>
    <r>
      <rPr>
        <i/>
        <sz val="8"/>
        <color theme="1"/>
        <rFont val="Calibri"/>
        <charset val="204"/>
        <scheme val="minor"/>
      </rPr>
      <t>H</t>
    </r>
    <r>
      <rPr>
        <vertAlign val="subscript"/>
        <sz val="8"/>
        <color theme="1"/>
        <rFont val="Calibri"/>
        <charset val="204"/>
        <scheme val="minor"/>
      </rPr>
      <t>2</t>
    </r>
    <r>
      <rPr>
        <sz val="8"/>
        <color theme="1"/>
        <rFont val="Calibri"/>
        <charset val="204"/>
        <scheme val="minor"/>
      </rPr>
      <t xml:space="preserve"> =</t>
    </r>
  </si>
  <si>
    <t>длина импоста, м</t>
  </si>
  <si>
    <t>модули упругости материала усилительного вкладыша, Па.</t>
  </si>
  <si>
    <r>
      <rPr>
        <i/>
        <sz val="8"/>
        <color theme="1"/>
        <rFont val="Calibri"/>
        <charset val="204"/>
        <scheme val="minor"/>
      </rPr>
      <t>H</t>
    </r>
    <r>
      <rPr>
        <vertAlign val="subscript"/>
        <sz val="8"/>
        <color theme="1"/>
        <rFont val="Calibri"/>
        <charset val="204"/>
        <scheme val="minor"/>
      </rPr>
      <t>1</t>
    </r>
    <r>
      <rPr>
        <sz val="8"/>
        <color theme="1"/>
        <rFont val="Calibri"/>
        <charset val="204"/>
        <scheme val="minor"/>
      </rPr>
      <t xml:space="preserve"> = </t>
    </r>
  </si>
  <si>
    <t xml:space="preserve">коэффициенты линейного температурного расширения ПВХ, </t>
  </si>
  <si>
    <t>расстояние между неитральной осью ПВХ профиля и нейтральной осью усилительного вкладыша, м</t>
  </si>
  <si>
    <t xml:space="preserve">Коэффициент </t>
  </si>
  <si>
    <t>G=</t>
  </si>
  <si>
    <t xml:space="preserve">безразмерный коэффициент, учитывающий неоднородность температурного поля в ПВХ профиле, по таблице №1 </t>
  </si>
  <si>
    <t>коэффицент, следует принимать равным:</t>
  </si>
  <si>
    <t xml:space="preserve"> 0,25 для оконных конструкций из цветных профилей </t>
  </si>
  <si>
    <t>температура во внутренней камере ПВХ профиля, определяемая по формуле:</t>
  </si>
  <si>
    <t xml:space="preserve"> 0,3 для оконных конструкций из белых профилей</t>
  </si>
  <si>
    <t>продольные силы со стороны усилительного вкладыша на ПВХ профиль в крайней паре точек их крепления друг к другу.</t>
  </si>
  <si>
    <t xml:space="preserve">Площади поперечного сечения </t>
  </si>
  <si>
    <t xml:space="preserve"> ПВХ профиль, м2</t>
  </si>
  <si>
    <r>
      <rPr>
        <sz val="8"/>
        <color theme="1"/>
        <rFont val="Calibri"/>
        <charset val="204"/>
        <scheme val="minor"/>
      </rPr>
      <t>А</t>
    </r>
    <r>
      <rPr>
        <vertAlign val="subscript"/>
        <sz val="8"/>
        <color theme="1"/>
        <rFont val="Calibri"/>
        <charset val="204"/>
        <scheme val="minor"/>
      </rPr>
      <t>p</t>
    </r>
    <r>
      <rPr>
        <sz val="8"/>
        <color theme="1"/>
        <rFont val="Calibri"/>
        <charset val="204"/>
        <scheme val="minor"/>
      </rPr>
      <t>=</t>
    </r>
  </si>
  <si>
    <t xml:space="preserve"> Усилительный вкладыш, м2</t>
  </si>
  <si>
    <r>
      <rPr>
        <sz val="8"/>
        <color theme="1"/>
        <rFont val="Calibri"/>
        <charset val="204"/>
        <scheme val="minor"/>
      </rPr>
      <t>A</t>
    </r>
    <r>
      <rPr>
        <vertAlign val="subscript"/>
        <sz val="8"/>
        <color theme="1"/>
        <rFont val="Calibri"/>
        <charset val="204"/>
        <scheme val="minor"/>
      </rPr>
      <t>s</t>
    </r>
    <r>
      <rPr>
        <sz val="8"/>
        <color theme="1"/>
        <rFont val="Calibri"/>
        <charset val="204"/>
        <scheme val="minor"/>
      </rPr>
      <t>=</t>
    </r>
  </si>
  <si>
    <t>Константа,принимаемая</t>
  </si>
  <si>
    <t xml:space="preserve"> =</t>
  </si>
  <si>
    <t>расчетная внутренняя температура воздуха,</t>
  </si>
  <si>
    <t>расчетная наружная температура воздуха,</t>
  </si>
  <si>
    <t>Коэффициенты линейного температурного расширения</t>
  </si>
  <si>
    <t>термическое сопротивление профиля импоста оконной конструкции,</t>
  </si>
  <si>
    <t>коэффициент теплоотдачи,</t>
  </si>
  <si>
    <t xml:space="preserve"> Материал усилительного вкладыша , </t>
  </si>
  <si>
    <t>коэффициент тепловосприятия,</t>
  </si>
  <si>
    <t>Материал ПВХ,</t>
  </si>
  <si>
    <t>отношение количества рядов воздушных камер в наружной части попереченого сечения ПВХ профиля к количеству рядов воздушных камер во внутренней части поперечного сечения ПВХ профиля</t>
  </si>
  <si>
    <t>F99-((F99-F100)*((1/F106+F101/(F110+1))/(1/F106+F101+1/F105)))</t>
  </si>
  <si>
    <t>Температура во внутренней камере ПВХ профиля</t>
  </si>
  <si>
    <t>коэффициент, рассчитываемый по формуле</t>
  </si>
  <si>
    <t>Термическое сопротивление профиля импоста оконной конструкции,</t>
  </si>
  <si>
    <r>
      <rPr>
        <sz val="8"/>
        <color theme="1"/>
        <rFont val="Calibri"/>
        <charset val="204"/>
        <scheme val="minor"/>
      </rPr>
      <t>R</t>
    </r>
    <r>
      <rPr>
        <vertAlign val="subscript"/>
        <sz val="8"/>
        <color theme="1"/>
        <rFont val="Calibri"/>
        <charset val="204"/>
        <scheme val="minor"/>
      </rPr>
      <t>0</t>
    </r>
    <r>
      <rPr>
        <sz val="8"/>
        <color theme="1"/>
        <rFont val="Calibri"/>
        <charset val="204"/>
        <scheme val="minor"/>
      </rPr>
      <t>=</t>
    </r>
  </si>
  <si>
    <r>
      <rPr>
        <b/>
        <sz val="8"/>
        <color theme="1"/>
        <rFont val="Calibri"/>
        <charset val="204"/>
        <scheme val="minor"/>
      </rPr>
      <t>Коэффициенты теплоотдачи и тепловосприятия, Вт/(м</t>
    </r>
    <r>
      <rPr>
        <b/>
        <sz val="8"/>
        <color theme="1"/>
        <rFont val="Calibri"/>
        <charset val="204"/>
      </rPr>
      <t>²∙℃)</t>
    </r>
  </si>
  <si>
    <t xml:space="preserve">коэффициент линейного температурного расширения материала импоста  </t>
  </si>
  <si>
    <r>
      <rPr>
        <sz val="8"/>
        <color theme="1"/>
        <rFont val="Calibri"/>
        <charset val="204"/>
        <scheme val="minor"/>
      </rPr>
      <t>а</t>
    </r>
    <r>
      <rPr>
        <vertAlign val="subscript"/>
        <sz val="8"/>
        <color theme="1"/>
        <rFont val="Calibri"/>
        <charset val="204"/>
        <scheme val="minor"/>
      </rPr>
      <t>н</t>
    </r>
    <r>
      <rPr>
        <sz val="8"/>
        <color theme="1"/>
        <rFont val="Calibri"/>
        <charset val="204"/>
        <scheme val="minor"/>
      </rPr>
      <t>=</t>
    </r>
  </si>
  <si>
    <r>
      <rPr>
        <sz val="8"/>
        <color theme="1"/>
        <rFont val="Calibri"/>
        <charset val="204"/>
        <scheme val="minor"/>
      </rPr>
      <t>а</t>
    </r>
    <r>
      <rPr>
        <vertAlign val="subscript"/>
        <sz val="8"/>
        <color theme="1"/>
        <rFont val="Calibri"/>
        <charset val="204"/>
        <scheme val="minor"/>
      </rPr>
      <t>в</t>
    </r>
    <r>
      <rPr>
        <sz val="8"/>
        <color theme="1"/>
        <rFont val="Calibri"/>
        <charset val="204"/>
        <scheme val="minor"/>
      </rPr>
      <t>=</t>
    </r>
  </si>
  <si>
    <t>Отношение количества рядов воздушных камер в наружной части попереченого сечения ПВХ профиля к количеству рядов воздушных камер во внутренней части поперечного сечения ПВХ профиля</t>
  </si>
  <si>
    <t>Безразмерные коэффициенты, учитывающие неоднородность температурного поля в ПВХ профиле,</t>
  </si>
  <si>
    <t>Отношение количества рядов камер</t>
  </si>
  <si>
    <t>W_p =</t>
  </si>
  <si>
    <r>
      <rPr>
        <sz val="8"/>
        <color theme="1"/>
        <rFont val="Calibri"/>
        <charset val="204"/>
        <scheme val="minor"/>
      </rPr>
      <t>t</t>
    </r>
    <r>
      <rPr>
        <vertAlign val="subscript"/>
        <sz val="8"/>
        <color theme="1"/>
        <rFont val="Calibri"/>
        <charset val="204"/>
      </rPr>
      <t>ξ</t>
    </r>
    <r>
      <rPr>
        <sz val="8"/>
        <color theme="1"/>
        <rFont val="Calibri"/>
        <charset val="204"/>
      </rPr>
      <t>=</t>
    </r>
  </si>
  <si>
    <r>
      <rPr>
        <sz val="8"/>
        <color theme="1"/>
        <rFont val="Calibri"/>
        <charset val="204"/>
        <scheme val="minor"/>
      </rPr>
      <t>t</t>
    </r>
    <r>
      <rPr>
        <vertAlign val="subscript"/>
        <sz val="8"/>
        <color theme="1"/>
        <rFont val="Calibri"/>
        <charset val="204"/>
        <scheme val="minor"/>
      </rPr>
      <t>K</t>
    </r>
    <r>
      <rPr>
        <sz val="8"/>
        <color theme="1"/>
        <rFont val="Calibri"/>
        <charset val="204"/>
        <scheme val="minor"/>
      </rPr>
      <t>=</t>
    </r>
  </si>
  <si>
    <t>Ширина профиля импоста,м</t>
  </si>
  <si>
    <t>с=</t>
  </si>
  <si>
    <t>Начальная кривизна оси импоста оконной конструкции</t>
  </si>
  <si>
    <r>
      <rPr>
        <sz val="8"/>
        <color theme="1"/>
        <rFont val="Calibri"/>
        <charset val="204"/>
        <scheme val="minor"/>
      </rPr>
      <t>K</t>
    </r>
    <r>
      <rPr>
        <vertAlign val="subscript"/>
        <sz val="8"/>
        <color theme="1"/>
        <rFont val="Calibri"/>
        <charset val="204"/>
        <scheme val="minor"/>
      </rPr>
      <t>0</t>
    </r>
    <r>
      <rPr>
        <sz val="8"/>
        <color theme="1"/>
        <rFont val="Calibri"/>
        <charset val="204"/>
        <scheme val="minor"/>
      </rPr>
      <t>=</t>
    </r>
  </si>
  <si>
    <t>V=</t>
  </si>
  <si>
    <t>W=</t>
  </si>
  <si>
    <t>Ветровой район (выбрать согласно справочника п.1):</t>
  </si>
  <si>
    <t>Фактическая высота установки окна z (м):</t>
  </si>
  <si>
    <t>Тип местности (выбрать согласно справочника п.2):</t>
  </si>
  <si>
    <t>L (см):</t>
  </si>
  <si>
    <t>Ze (эквивалентная высота), м:</t>
  </si>
  <si>
    <t>K(Ze):</t>
  </si>
  <si>
    <t>ζ(Ze):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</si>
</sst>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00000000"/>
    <numFmt numFmtId="181" formatCode="0.000000000000"/>
    <numFmt numFmtId="182" formatCode="#\ ?/?"/>
    <numFmt numFmtId="183" formatCode="0.00000000"/>
    <numFmt numFmtId="184" formatCode="0.000000000"/>
    <numFmt numFmtId="185" formatCode="0.000000000000000000000"/>
    <numFmt numFmtId="186" formatCode="0.00000"/>
  </numFmts>
  <fonts count="55">
    <font>
      <sz val="11"/>
      <color theme="1"/>
      <name val="Calibri"/>
      <charset val="204"/>
      <scheme val="minor"/>
    </font>
    <font>
      <sz val="8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6"/>
      <color theme="1"/>
      <name val="Calibri"/>
      <charset val="204"/>
      <scheme val="minor"/>
    </font>
    <font>
      <sz val="4"/>
      <color theme="1"/>
      <name val="Calibri"/>
      <charset val="204"/>
      <scheme val="minor"/>
    </font>
    <font>
      <sz val="9"/>
      <color theme="1"/>
      <name val="Calibri"/>
      <charset val="204"/>
      <scheme val="minor"/>
    </font>
    <font>
      <b/>
      <sz val="8"/>
      <color theme="1"/>
      <name val="Calibri"/>
      <charset val="204"/>
      <scheme val="minor"/>
    </font>
    <font>
      <sz val="18"/>
      <color theme="1"/>
      <name val="Calibri"/>
      <charset val="204"/>
      <scheme val="minor"/>
    </font>
    <font>
      <sz val="10"/>
      <color rgb="FFFF0000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name val="Calibri"/>
      <charset val="204"/>
      <scheme val="minor"/>
    </font>
    <font>
      <sz val="8"/>
      <name val="Calibri"/>
      <charset val="204"/>
      <scheme val="minor"/>
    </font>
    <font>
      <sz val="9"/>
      <name val="Calibri"/>
      <charset val="204"/>
      <scheme val="minor"/>
    </font>
    <font>
      <b/>
      <vertAlign val="subscript"/>
      <sz val="8"/>
      <color theme="1"/>
      <name val="Gabriola"/>
      <charset val="204"/>
    </font>
    <font>
      <sz val="8"/>
      <color theme="1"/>
      <name val="Calibri"/>
      <charset val="204"/>
    </font>
    <font>
      <sz val="11"/>
      <color theme="1"/>
      <name val="Gabriola"/>
      <charset val="204"/>
    </font>
    <font>
      <sz val="11"/>
      <color rgb="FF000000"/>
      <name val="+mn-ea"/>
      <charset val="134"/>
    </font>
    <font>
      <i/>
      <sz val="8"/>
      <color theme="1"/>
      <name val="Artifakt Element"/>
      <charset val="204"/>
    </font>
    <font>
      <i/>
      <sz val="8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vertAlign val="subscript"/>
      <sz val="8"/>
      <color theme="1"/>
      <name val="Calibri"/>
      <charset val="204"/>
      <scheme val="minor"/>
    </font>
    <font>
      <sz val="11"/>
      <color theme="5" tint="-0.249977111117893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8"/>
      <color rgb="FFFF0000"/>
      <name val="Calibri"/>
      <charset val="204"/>
      <scheme val="minor"/>
    </font>
    <font>
      <sz val="8"/>
      <color theme="0"/>
      <name val="Calibri"/>
      <charset val="204"/>
      <scheme val="minor"/>
    </font>
    <font>
      <u/>
      <sz val="11"/>
      <color theme="1"/>
      <name val="Calibri"/>
      <charset val="204"/>
      <scheme val="minor"/>
    </font>
    <font>
      <sz val="11"/>
      <color rgb="FF000000"/>
      <name val="Calibri"/>
      <charset val="204"/>
      <scheme val="minor"/>
    </font>
    <font>
      <i/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vertAlign val="subscript"/>
      <sz val="8"/>
      <color theme="1"/>
      <name val="Calibri"/>
      <charset val="204"/>
      <scheme val="minor"/>
    </font>
    <font>
      <vertAlign val="superscript"/>
      <sz val="8"/>
      <color theme="1"/>
      <name val="Calibri"/>
      <charset val="204"/>
      <scheme val="minor"/>
    </font>
    <font>
      <vertAlign val="subscript"/>
      <sz val="8"/>
      <color theme="1"/>
      <name val="Calibri"/>
      <charset val="204"/>
    </font>
    <font>
      <vertAlign val="subscript"/>
      <sz val="9"/>
      <color theme="1"/>
      <name val="Calibri"/>
      <charset val="204"/>
      <scheme val="minor"/>
    </font>
    <font>
      <i/>
      <vertAlign val="subscript"/>
      <sz val="8"/>
      <color theme="1"/>
      <name val="Artifakt Element"/>
      <charset val="204"/>
    </font>
    <font>
      <b/>
      <sz val="8"/>
      <color theme="1"/>
      <name val="Calibri"/>
      <charset val="204"/>
    </font>
    <font>
      <i/>
      <sz val="8"/>
      <color theme="1"/>
      <name val="ItalicT"/>
      <charset val="20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uble">
        <color theme="4"/>
      </top>
      <bottom style="thin">
        <color theme="4" tint="0.399975585192419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/>
      <bottom style="thin">
        <color theme="4" tint="0.39997558519241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4" borderId="20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5" borderId="23" applyNumberFormat="0" applyAlignment="0" applyProtection="0">
      <alignment vertical="center"/>
    </xf>
    <xf numFmtId="0" fontId="38" fillId="16" borderId="24" applyNumberFormat="0" applyAlignment="0" applyProtection="0">
      <alignment vertical="center"/>
    </xf>
    <xf numFmtId="0" fontId="39" fillId="16" borderId="23" applyNumberFormat="0" applyAlignment="0" applyProtection="0">
      <alignment vertical="center"/>
    </xf>
    <xf numFmtId="0" fontId="40" fillId="17" borderId="25" applyNumberFormat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</cellStyleXfs>
  <cellXfs count="20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 applyAlignment="1" applyProtection="1">
      <alignment horizontal="right"/>
      <protection locked="0"/>
    </xf>
    <xf numFmtId="0" fontId="1" fillId="3" borderId="0" xfId="0" applyFont="1" applyFill="1" applyBorder="1"/>
    <xf numFmtId="0" fontId="6" fillId="3" borderId="0" xfId="0" applyFont="1" applyFill="1" applyBorder="1" applyAlignment="1" applyProtection="1">
      <alignment horizontal="right"/>
      <protection locked="0"/>
    </xf>
    <xf numFmtId="0" fontId="6" fillId="2" borderId="2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6" fillId="2" borderId="1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horizontal="right"/>
    </xf>
    <xf numFmtId="0" fontId="1" fillId="0" borderId="0" xfId="0" applyFont="1" applyBorder="1"/>
    <xf numFmtId="0" fontId="6" fillId="4" borderId="1" xfId="0" applyFont="1" applyFill="1" applyBorder="1"/>
    <xf numFmtId="0" fontId="6" fillId="4" borderId="2" xfId="0" applyFont="1" applyFill="1" applyBorder="1" applyProtection="1">
      <protection hidden="1"/>
    </xf>
    <xf numFmtId="0" fontId="6" fillId="4" borderId="2" xfId="0" applyFont="1" applyFill="1" applyBorder="1" applyAlignment="1" applyProtection="1">
      <alignment horizontal="right"/>
      <protection hidden="1"/>
    </xf>
    <xf numFmtId="2" fontId="6" fillId="4" borderId="2" xfId="0" applyNumberFormat="1" applyFont="1" applyFill="1" applyBorder="1" applyAlignment="1" applyProtection="1">
      <alignment horizontal="right"/>
      <protection hidden="1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6" fillId="0" borderId="0" xfId="0" applyFont="1" applyFill="1" applyBorder="1"/>
    <xf numFmtId="0" fontId="1" fillId="5" borderId="0" xfId="0" applyFont="1" applyFill="1" applyBorder="1" applyAlignment="1" applyProtection="1">
      <alignment horizontal="center" vertical="center"/>
      <protection locked="0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1" fillId="5" borderId="0" xfId="0" applyFont="1" applyFill="1" applyBorder="1" applyProtection="1">
      <protection locked="0"/>
    </xf>
    <xf numFmtId="0" fontId="5" fillId="5" borderId="0" xfId="0" applyFont="1" applyFill="1" applyAlignment="1">
      <alignment horizontal="center" vertical="center"/>
    </xf>
    <xf numFmtId="180" fontId="1" fillId="0" borderId="0" xfId="0" applyNumberFormat="1" applyFont="1" applyAlignment="1">
      <alignment horizontal="left"/>
    </xf>
    <xf numFmtId="0" fontId="6" fillId="5" borderId="0" xfId="0" applyFont="1" applyFill="1" applyBorder="1" applyProtection="1">
      <protection locked="0"/>
    </xf>
    <xf numFmtId="0" fontId="1" fillId="0" borderId="0" xfId="0" applyFont="1" applyAlignment="1">
      <alignment horizontal="center" vertical="center" wrapText="1"/>
    </xf>
    <xf numFmtId="0" fontId="6" fillId="6" borderId="0" xfId="0" applyFont="1" applyFill="1" applyBorder="1" applyProtection="1">
      <protection hidden="1"/>
    </xf>
    <xf numFmtId="0" fontId="0" fillId="5" borderId="0" xfId="0" applyFill="1" applyAlignment="1">
      <alignment horizontal="center" vertical="top"/>
    </xf>
    <xf numFmtId="0" fontId="2" fillId="5" borderId="0" xfId="0" applyFont="1" applyFill="1"/>
    <xf numFmtId="0" fontId="1" fillId="5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0" xfId="0" applyFont="1" applyAlignment="1"/>
    <xf numFmtId="2" fontId="9" fillId="0" borderId="0" xfId="0" applyNumberFormat="1" applyFont="1" applyAlignment="1">
      <alignment horizontal="center" vertical="center"/>
    </xf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0" fillId="6" borderId="0" xfId="0" applyFont="1" applyFill="1" applyBorder="1"/>
    <xf numFmtId="0" fontId="1" fillId="0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11" fillId="6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6" borderId="0" xfId="0" applyFont="1" applyFill="1" applyBorder="1" applyAlignment="1" applyProtection="1">
      <alignment horizontal="left" vertical="center"/>
      <protection hidden="1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" fillId="7" borderId="0" xfId="0" applyFont="1" applyFill="1" applyBorder="1"/>
    <xf numFmtId="0" fontId="0" fillId="7" borderId="3" xfId="0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/>
    </xf>
    <xf numFmtId="0" fontId="6" fillId="0" borderId="0" xfId="0" applyFont="1"/>
    <xf numFmtId="0" fontId="13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" fillId="6" borderId="0" xfId="0" applyFont="1" applyFill="1"/>
    <xf numFmtId="0" fontId="1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wrapText="1"/>
    </xf>
    <xf numFmtId="0" fontId="1" fillId="6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81" fontId="1" fillId="6" borderId="0" xfId="0" applyNumberFormat="1" applyFont="1" applyFill="1"/>
    <xf numFmtId="0" fontId="0" fillId="7" borderId="0" xfId="0" applyFill="1"/>
    <xf numFmtId="181" fontId="1" fillId="6" borderId="0" xfId="0" applyNumberFormat="1" applyFont="1" applyFill="1" applyAlignment="1">
      <alignment horizontal="center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horizontal="center"/>
    </xf>
    <xf numFmtId="49" fontId="1" fillId="8" borderId="0" xfId="0" applyNumberFormat="1" applyFont="1" applyFill="1"/>
    <xf numFmtId="0" fontId="1" fillId="0" borderId="0" xfId="0" applyFont="1" applyFill="1" applyBorder="1" applyProtection="1">
      <protection locked="0"/>
    </xf>
    <xf numFmtId="0" fontId="18" fillId="0" borderId="0" xfId="0" applyFont="1" applyAlignment="1">
      <alignment horizontal="center"/>
    </xf>
    <xf numFmtId="182" fontId="1" fillId="8" borderId="0" xfId="0" applyNumberFormat="1" applyFont="1" applyFill="1" applyAlignment="1">
      <alignment horizontal="left"/>
    </xf>
    <xf numFmtId="0" fontId="1" fillId="0" borderId="4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9" fillId="0" borderId="3" xfId="0" applyFont="1" applyBorder="1"/>
    <xf numFmtId="0" fontId="0" fillId="0" borderId="0" xfId="0" applyFont="1"/>
    <xf numFmtId="0" fontId="20" fillId="0" borderId="0" xfId="0" applyFont="1"/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83" fontId="9" fillId="0" borderId="0" xfId="0" applyNumberFormat="1" applyFont="1" applyFill="1"/>
    <xf numFmtId="0" fontId="19" fillId="0" borderId="0" xfId="0" applyFont="1"/>
    <xf numFmtId="0" fontId="1" fillId="0" borderId="0" xfId="0" applyFont="1" applyAlignment="1">
      <alignment horizontal="left" vertical="top"/>
    </xf>
    <xf numFmtId="0" fontId="1" fillId="3" borderId="8" xfId="0" applyFont="1" applyFill="1" applyBorder="1" applyAlignment="1">
      <alignment horizontal="center" vertical="center"/>
    </xf>
    <xf numFmtId="0" fontId="22" fillId="0" borderId="9" xfId="0" applyFont="1" applyBorder="1"/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10" xfId="0" applyBorder="1"/>
    <xf numFmtId="0" fontId="0" fillId="0" borderId="4" xfId="0" applyBorder="1"/>
    <xf numFmtId="0" fontId="0" fillId="3" borderId="0" xfId="0" applyFill="1" applyBorder="1"/>
    <xf numFmtId="0" fontId="1" fillId="0" borderId="1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3" fillId="9" borderId="0" xfId="0" applyFont="1" applyFill="1" applyBorder="1"/>
    <xf numFmtId="0" fontId="1" fillId="3" borderId="6" xfId="0" applyFont="1" applyFill="1" applyBorder="1" applyAlignment="1">
      <alignment horizontal="center"/>
    </xf>
    <xf numFmtId="0" fontId="1" fillId="0" borderId="10" xfId="0" applyFont="1" applyBorder="1"/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10" borderId="0" xfId="0" applyFont="1" applyFill="1" applyBorder="1"/>
    <xf numFmtId="0" fontId="1" fillId="3" borderId="3" xfId="0" applyFont="1" applyFill="1" applyBorder="1"/>
    <xf numFmtId="0" fontId="1" fillId="3" borderId="12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0" borderId="8" xfId="0" applyFont="1" applyBorder="1"/>
    <xf numFmtId="0" fontId="1" fillId="0" borderId="12" xfId="0" applyFont="1" applyBorder="1"/>
    <xf numFmtId="0" fontId="11" fillId="10" borderId="4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10" borderId="0" xfId="0" applyFill="1" applyBorder="1"/>
    <xf numFmtId="0" fontId="0" fillId="0" borderId="12" xfId="0" applyBorder="1"/>
    <xf numFmtId="0" fontId="1" fillId="0" borderId="0" xfId="0" applyFont="1" applyFill="1" applyAlignment="1">
      <alignment wrapText="1"/>
    </xf>
    <xf numFmtId="0" fontId="1" fillId="10" borderId="4" xfId="0" applyFont="1" applyFill="1" applyBorder="1"/>
    <xf numFmtId="0" fontId="1" fillId="0" borderId="3" xfId="0" applyFont="1" applyBorder="1"/>
    <xf numFmtId="0" fontId="1" fillId="11" borderId="16" xfId="0" applyFont="1" applyFill="1" applyBorder="1"/>
    <xf numFmtId="0" fontId="1" fillId="0" borderId="17" xfId="0" applyFont="1" applyBorder="1"/>
    <xf numFmtId="0" fontId="24" fillId="3" borderId="0" xfId="0" applyFont="1" applyFill="1" applyBorder="1"/>
    <xf numFmtId="0" fontId="22" fillId="0" borderId="0" xfId="0" applyFont="1"/>
    <xf numFmtId="0" fontId="9" fillId="0" borderId="0" xfId="0" applyFont="1"/>
    <xf numFmtId="0" fontId="25" fillId="0" borderId="0" xfId="0" applyFont="1"/>
    <xf numFmtId="2" fontId="0" fillId="0" borderId="0" xfId="0" applyNumberFormat="1"/>
    <xf numFmtId="0" fontId="26" fillId="12" borderId="0" xfId="0" applyFont="1" applyFill="1"/>
    <xf numFmtId="0" fontId="0" fillId="12" borderId="0" xfId="0" applyFill="1"/>
    <xf numFmtId="0" fontId="6" fillId="3" borderId="0" xfId="0" applyFont="1" applyFill="1" applyBorder="1" applyProtection="1">
      <protection hidden="1"/>
    </xf>
    <xf numFmtId="2" fontId="6" fillId="3" borderId="0" xfId="0" applyNumberFormat="1" applyFont="1" applyFill="1" applyBorder="1" applyAlignment="1" applyProtection="1">
      <alignment horizontal="right"/>
      <protection hidden="1"/>
    </xf>
    <xf numFmtId="0" fontId="9" fillId="7" borderId="0" xfId="0" applyFont="1" applyFill="1"/>
    <xf numFmtId="2" fontId="0" fillId="3" borderId="0" xfId="0" applyNumberFormat="1" applyFill="1" applyBorder="1"/>
    <xf numFmtId="0" fontId="1" fillId="0" borderId="0" xfId="0" applyFont="1" applyFill="1" applyBorder="1" applyAlignment="1">
      <alignment horizontal="right"/>
    </xf>
    <xf numFmtId="49" fontId="0" fillId="0" borderId="0" xfId="0" applyNumberFormat="1"/>
    <xf numFmtId="0" fontId="18" fillId="0" borderId="0" xfId="0" applyFont="1"/>
    <xf numFmtId="184" fontId="0" fillId="6" borderId="0" xfId="0" applyNumberFormat="1" applyFill="1" applyAlignment="1">
      <alignment horizontal="left"/>
    </xf>
    <xf numFmtId="49" fontId="1" fillId="0" borderId="0" xfId="0" applyNumberFormat="1" applyFont="1"/>
    <xf numFmtId="0" fontId="1" fillId="6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Alignment="1">
      <alignment horizontal="right"/>
    </xf>
    <xf numFmtId="185" fontId="0" fillId="6" borderId="0" xfId="0" applyNumberFormat="1" applyFill="1" applyAlignment="1">
      <alignment horizontal="left"/>
    </xf>
    <xf numFmtId="2" fontId="1" fillId="0" borderId="0" xfId="0" applyNumberFormat="1" applyFont="1" applyFill="1" applyBorder="1" applyAlignment="1" applyProtection="1">
      <alignment horizontal="right"/>
      <protection hidden="1"/>
    </xf>
    <xf numFmtId="0" fontId="1" fillId="0" borderId="0" xfId="0" applyFont="1" applyAlignment="1">
      <alignment horizontal="left" wrapText="1"/>
    </xf>
    <xf numFmtId="0" fontId="0" fillId="6" borderId="0" xfId="0" applyFill="1"/>
    <xf numFmtId="49" fontId="0" fillId="8" borderId="0" xfId="0" applyNumberFormat="1" applyFill="1" applyAlignment="1">
      <alignment horizontal="right"/>
    </xf>
    <xf numFmtId="186" fontId="0" fillId="8" borderId="0" xfId="0" applyNumberFormat="1" applyFill="1"/>
    <xf numFmtId="0" fontId="6" fillId="0" borderId="0" xfId="0" applyFont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1" fillId="7" borderId="0" xfId="0" applyFont="1" applyFill="1"/>
    <xf numFmtId="0" fontId="0" fillId="0" borderId="0" xfId="0" applyFill="1"/>
    <xf numFmtId="0" fontId="0" fillId="13" borderId="0" xfId="0" applyFill="1"/>
    <xf numFmtId="0" fontId="0" fillId="2" borderId="0" xfId="0" applyFill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10" fillId="0" borderId="0" xfId="0" applyFont="1" applyFill="1" applyBorder="1"/>
    <xf numFmtId="0" fontId="0" fillId="7" borderId="0" xfId="0" applyFill="1" applyBorder="1" applyAlignment="1">
      <alignment horizontal="right"/>
    </xf>
    <xf numFmtId="0" fontId="9" fillId="13" borderId="0" xfId="0" applyFont="1" applyFill="1"/>
    <xf numFmtId="0" fontId="0" fillId="0" borderId="11" xfId="0" applyBorder="1"/>
    <xf numFmtId="0" fontId="27" fillId="12" borderId="0" xfId="0" applyFont="1" applyFill="1"/>
    <xf numFmtId="180" fontId="0" fillId="7" borderId="0" xfId="0" applyNumberFormat="1" applyFill="1"/>
    <xf numFmtId="185" fontId="0" fillId="7" borderId="0" xfId="0" applyNumberFormat="1" applyFill="1"/>
    <xf numFmtId="0" fontId="10" fillId="13" borderId="7" xfId="0" applyFont="1" applyFill="1" applyBorder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">
    <dxf>
      <font>
        <name val="Calibri"/>
        <scheme val="none"/>
        <b val="0"/>
        <i val="0"/>
        <strike val="0"/>
        <u val="none"/>
        <sz val="8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7620</xdr:colOff>
      <xdr:row>73</xdr:row>
      <xdr:rowOff>0</xdr:rowOff>
    </xdr:from>
    <xdr:ext cx="65" cy="172227"/>
    <xdr:sp>
      <xdr:nvSpPr>
        <xdr:cNvPr id="51" name="TextBox 50"/>
        <xdr:cNvSpPr txBox="1"/>
      </xdr:nvSpPr>
      <xdr:spPr>
        <a:xfrm>
          <a:off x="14495780" y="15948660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21</xdr:col>
      <xdr:colOff>525780</xdr:colOff>
      <xdr:row>73</xdr:row>
      <xdr:rowOff>0</xdr:rowOff>
    </xdr:from>
    <xdr:ext cx="65" cy="172227"/>
    <xdr:sp>
      <xdr:nvSpPr>
        <xdr:cNvPr id="66" name="TextBox 65"/>
        <xdr:cNvSpPr txBox="1"/>
      </xdr:nvSpPr>
      <xdr:spPr>
        <a:xfrm>
          <a:off x="20227925" y="15948660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5</xdr:col>
      <xdr:colOff>56560</xdr:colOff>
      <xdr:row>6</xdr:row>
      <xdr:rowOff>136447</xdr:rowOff>
    </xdr:from>
    <xdr:to>
      <xdr:col>5</xdr:col>
      <xdr:colOff>1543494</xdr:colOff>
      <xdr:row>13</xdr:row>
      <xdr:rowOff>38116</xdr:rowOff>
    </xdr:to>
    <xdr:pic>
      <xdr:nvPicPr>
        <xdr:cNvPr id="70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411220" y="1726565"/>
          <a:ext cx="1486535" cy="109093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924330</xdr:colOff>
      <xdr:row>50</xdr:row>
      <xdr:rowOff>54787</xdr:rowOff>
    </xdr:from>
    <xdr:to>
      <xdr:col>5</xdr:col>
      <xdr:colOff>214527</xdr:colOff>
      <xdr:row>52</xdr:row>
      <xdr:rowOff>31102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923925" y="11337925"/>
          <a:ext cx="2644775" cy="3721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34638</xdr:rowOff>
    </xdr:from>
    <xdr:to>
      <xdr:col>1</xdr:col>
      <xdr:colOff>34283</xdr:colOff>
      <xdr:row>69</xdr:row>
      <xdr:rowOff>2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0" y="14058900"/>
          <a:ext cx="981710" cy="111823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15551</xdr:colOff>
      <xdr:row>71</xdr:row>
      <xdr:rowOff>58669</xdr:rowOff>
    </xdr:from>
    <xdr:to>
      <xdr:col>4</xdr:col>
      <xdr:colOff>155510</xdr:colOff>
      <xdr:row>74</xdr:row>
      <xdr:rowOff>12199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963295" y="15626080"/>
          <a:ext cx="2220595" cy="52514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96339</xdr:rowOff>
    </xdr:from>
    <xdr:to>
      <xdr:col>1</xdr:col>
      <xdr:colOff>339437</xdr:colOff>
      <xdr:row>80</xdr:row>
      <xdr:rowOff>33582</xdr:rowOff>
    </xdr:to>
    <xdr:pic>
      <xdr:nvPicPr>
        <xdr:cNvPr id="80" name="Рисунок 79" descr="SP-53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16425545"/>
          <a:ext cx="1287145" cy="12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221677</xdr:colOff>
      <xdr:row>36</xdr:row>
      <xdr:rowOff>111676</xdr:rowOff>
    </xdr:from>
    <xdr:to>
      <xdr:col>5</xdr:col>
      <xdr:colOff>544285</xdr:colOff>
      <xdr:row>41</xdr:row>
      <xdr:rowOff>74499</xdr:rowOff>
    </xdr:to>
    <xdr:pic>
      <xdr:nvPicPr>
        <xdr:cNvPr id="26" name="Picture 2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1169670" y="7582535"/>
          <a:ext cx="2729230" cy="147955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K48:N54" totalsRowCount="1">
  <autoFilter xmlns:etc="http://www.wps.cn/officeDocument/2017/etCustomData" ref="K48:N53" etc:filterBottomFollowUsedRange="0"/>
  <tableColumns count="4">
    <tableColumn id="1" name="Материал прфиля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G37:AG39" totalsRowShown="0">
  <autoFilter xmlns:etc="http://www.wps.cn/officeDocument/2017/etCustomData" ref="AG37:AG39" etc:filterBottomFollowUsedRange="0"/>
  <tableColumns count="1">
    <tableColumn id="1" name="Столбец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77"/>
  <sheetViews>
    <sheetView tabSelected="1" workbookViewId="0">
      <selection activeCell="F23" sqref="F23"/>
    </sheetView>
  </sheetViews>
  <sheetFormatPr defaultColWidth="9" defaultRowHeight="15"/>
  <cols>
    <col min="1" max="1" width="14.2190476190476" customWidth="1"/>
    <col min="2" max="2" width="5.1047619047619" customWidth="1"/>
    <col min="3" max="3" width="12.8857142857143" customWidth="1"/>
    <col min="4" max="4" width="13.2190476190476" customWidth="1"/>
    <col min="5" max="5" width="4.88571428571429" customWidth="1"/>
    <col min="6" max="6" width="34.4380952380952" customWidth="1"/>
    <col min="7" max="7" width="15" customWidth="1"/>
    <col min="8" max="8" width="27.2190476190476" customWidth="1"/>
    <col min="9" max="9" width="24.7809523809524" customWidth="1"/>
    <col min="10" max="10" width="1" customWidth="1"/>
    <col min="11" max="11" width="15.552380952381" customWidth="1"/>
    <col min="12" max="12" width="15.8857142857143" customWidth="1"/>
    <col min="13" max="13" width="17" customWidth="1"/>
    <col min="14" max="14" width="16.1047619047619" customWidth="1"/>
    <col min="15" max="15" width="15.4380952380952" customWidth="1"/>
    <col min="16" max="16" width="11.8857142857143" customWidth="1"/>
    <col min="17" max="17" width="10.2190476190476" customWidth="1"/>
    <col min="18" max="19" width="8.88571428571429" customWidth="1"/>
    <col min="20" max="20" width="5.1047619047619" customWidth="1"/>
    <col min="21" max="21" width="17.7809523809524" customWidth="1"/>
    <col min="22" max="29" width="8.88571428571429" customWidth="1"/>
    <col min="30" max="30" width="9.88571428571429" customWidth="1"/>
    <col min="31" max="63" width="8.88571428571429" customWidth="1"/>
    <col min="64" max="64" width="14.8857142857143" customWidth="1"/>
    <col min="65" max="65" width="12.7809523809524" customWidth="1"/>
    <col min="66" max="66" width="10.4380952380952" customWidth="1"/>
    <col min="67" max="67" width="13" customWidth="1"/>
    <col min="68" max="68" width="13.3333333333333" customWidth="1"/>
    <col min="69" max="69" width="8.88571428571429" customWidth="1"/>
    <col min="70" max="70" width="32.2190476190476" customWidth="1"/>
    <col min="71" max="71" width="12.7809523809524" customWidth="1"/>
    <col min="72" max="72" width="17.1047619047619" customWidth="1"/>
    <col min="73" max="73" width="8.88571428571429" customWidth="1"/>
    <col min="74" max="74" width="14.7809523809524" customWidth="1"/>
    <col min="75" max="91" width="8.88571428571429" customWidth="1"/>
  </cols>
  <sheetData>
    <row r="1" s="32" customFormat="1" ht="11.25" spans="1:3">
      <c r="A1" s="17"/>
      <c r="B1" s="17"/>
      <c r="C1" s="33"/>
    </row>
    <row r="2" s="32" customFormat="1" ht="46.8" customHeight="1" spans="1:59">
      <c r="A2" s="34" t="s">
        <v>0</v>
      </c>
      <c r="B2" s="34"/>
      <c r="C2" s="34"/>
      <c r="D2" s="34"/>
      <c r="E2" s="34"/>
      <c r="F2" s="34"/>
      <c r="G2" s="35"/>
      <c r="H2" s="35"/>
      <c r="I2" s="35"/>
      <c r="J2" s="35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</row>
    <row r="3" s="32" customFormat="1" ht="22.2" customHeight="1" spans="1:59">
      <c r="A3" s="36" t="s">
        <v>1</v>
      </c>
      <c r="B3" s="36"/>
      <c r="C3" s="36"/>
      <c r="D3" s="36"/>
      <c r="E3" s="36"/>
      <c r="F3" s="36"/>
      <c r="G3" s="37"/>
      <c r="H3" s="37"/>
      <c r="I3" s="37"/>
      <c r="J3" s="108"/>
      <c r="K3" s="109" t="s">
        <v>2</v>
      </c>
      <c r="L3" s="110" t="s">
        <v>3</v>
      </c>
      <c r="M3" s="110" t="s">
        <v>4</v>
      </c>
      <c r="N3" s="110" t="s">
        <v>5</v>
      </c>
      <c r="O3" s="110" t="s">
        <v>6</v>
      </c>
      <c r="P3" s="110" t="s">
        <v>7</v>
      </c>
      <c r="Q3" s="127" t="s">
        <v>8</v>
      </c>
      <c r="Y3" s="17"/>
      <c r="Z3" s="25"/>
      <c r="AA3" s="25"/>
      <c r="AB3" s="25"/>
      <c r="AC3" s="25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</row>
    <row r="4" s="32" customFormat="1" customHeight="1" spans="3:59">
      <c r="C4" s="4"/>
      <c r="D4" s="4"/>
      <c r="E4" s="4"/>
      <c r="F4" s="4"/>
      <c r="G4" s="4"/>
      <c r="H4" s="4"/>
      <c r="I4" s="4"/>
      <c r="J4" s="4"/>
      <c r="K4" s="111" t="s">
        <v>9</v>
      </c>
      <c r="L4" s="11" t="s">
        <v>9</v>
      </c>
      <c r="M4" s="11" t="s">
        <v>9</v>
      </c>
      <c r="N4" s="11" t="s">
        <v>9</v>
      </c>
      <c r="O4" s="11" t="s">
        <v>9</v>
      </c>
      <c r="P4" s="11" t="s">
        <v>10</v>
      </c>
      <c r="Q4" s="128" t="s">
        <v>10</v>
      </c>
      <c r="Y4" s="17"/>
      <c r="Z4" s="25"/>
      <c r="AA4" s="25"/>
      <c r="AB4" s="25"/>
      <c r="AC4" s="25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</row>
    <row r="5" s="32" customFormat="1" ht="15.6" customHeight="1" spans="1:59">
      <c r="A5" s="32" t="s">
        <v>11</v>
      </c>
      <c r="C5" s="4"/>
      <c r="D5" s="4"/>
      <c r="E5" s="4"/>
      <c r="F5" s="4"/>
      <c r="G5" s="4"/>
      <c r="H5" s="4"/>
      <c r="I5" s="4"/>
      <c r="K5" s="111" t="s">
        <v>12</v>
      </c>
      <c r="L5" s="11" t="s">
        <v>12</v>
      </c>
      <c r="M5" s="11" t="s">
        <v>12</v>
      </c>
      <c r="N5" s="11" t="s">
        <v>12</v>
      </c>
      <c r="O5" s="11" t="s">
        <v>12</v>
      </c>
      <c r="P5" s="11" t="s">
        <v>13</v>
      </c>
      <c r="Q5" s="128" t="s">
        <v>13</v>
      </c>
      <c r="Y5" s="17"/>
      <c r="AA5" s="25"/>
      <c r="AB5" s="25"/>
      <c r="AC5" s="2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</row>
    <row r="6" s="32" customFormat="1" ht="14.4" customHeight="1" spans="3:88">
      <c r="C6" s="2"/>
      <c r="D6" s="2"/>
      <c r="E6" s="2"/>
      <c r="F6" s="2"/>
      <c r="G6" s="2"/>
      <c r="H6" s="2"/>
      <c r="I6" s="2"/>
      <c r="K6" s="111" t="s">
        <v>14</v>
      </c>
      <c r="L6" s="11" t="s">
        <v>14</v>
      </c>
      <c r="M6" s="11" t="s">
        <v>14</v>
      </c>
      <c r="N6" s="11" t="s">
        <v>14</v>
      </c>
      <c r="O6" s="11" t="s">
        <v>14</v>
      </c>
      <c r="P6" s="11"/>
      <c r="Q6" s="128"/>
      <c r="Y6" s="17"/>
      <c r="Z6" s="25"/>
      <c r="AA6" s="25"/>
      <c r="AB6" s="25"/>
      <c r="AC6" s="25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M6" s="17"/>
      <c r="BN6" s="17"/>
      <c r="BO6" s="17"/>
      <c r="BP6" s="17"/>
      <c r="BQ6" s="33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</row>
    <row r="7" s="32" customFormat="1" ht="12.6" customHeight="1" spans="11:88">
      <c r="K7" s="112" t="s">
        <v>15</v>
      </c>
      <c r="L7" s="113" t="s">
        <v>15</v>
      </c>
      <c r="M7" s="113" t="s">
        <v>15</v>
      </c>
      <c r="N7" s="113" t="s">
        <v>15</v>
      </c>
      <c r="O7" s="113" t="s">
        <v>15</v>
      </c>
      <c r="P7" s="114"/>
      <c r="Q7" s="114"/>
      <c r="R7" s="129"/>
      <c r="V7" s="130" t="s">
        <v>16</v>
      </c>
      <c r="W7" s="131"/>
      <c r="Z7"/>
      <c r="AA7" s="25"/>
      <c r="AB7" s="25"/>
      <c r="AG7" s="155"/>
      <c r="AH7" s="32">
        <v>1.2</v>
      </c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M7" s="17"/>
      <c r="BP7" s="17"/>
      <c r="BQ7" s="33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</row>
    <row r="8" s="32" customFormat="1" ht="12" customHeight="1" spans="1:88">
      <c r="A8" s="38" t="s">
        <v>17</v>
      </c>
      <c r="B8" s="39" t="s">
        <v>18</v>
      </c>
      <c r="D8" s="40" t="s">
        <v>19</v>
      </c>
      <c r="U8" s="132"/>
      <c r="V8"/>
      <c r="W8" s="25"/>
      <c r="X8" s="133"/>
      <c r="Y8" s="137"/>
      <c r="Z8"/>
      <c r="AG8" s="32" t="s">
        <v>20</v>
      </c>
      <c r="AH8" s="32">
        <v>-2.2</v>
      </c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M8" s="17"/>
      <c r="BP8" s="17"/>
      <c r="BQ8" s="17"/>
      <c r="BR8" s="160"/>
      <c r="BS8" s="17"/>
      <c r="BT8" s="17"/>
      <c r="BU8" s="17"/>
      <c r="BV8" s="25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</row>
    <row r="9" s="32" customFormat="1" ht="10.2" customHeight="1" spans="1:88">
      <c r="A9" s="38" t="s">
        <v>21</v>
      </c>
      <c r="B9" s="39">
        <v>60</v>
      </c>
      <c r="U9" s="134"/>
      <c r="V9" s="17" t="s">
        <v>22</v>
      </c>
      <c r="W9" s="17" t="s">
        <v>16</v>
      </c>
      <c r="X9" s="17"/>
      <c r="Y9" s="143"/>
      <c r="Z9"/>
      <c r="AG9" s="32" t="s">
        <v>23</v>
      </c>
      <c r="AH9" s="32">
        <v>-1.2</v>
      </c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M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</row>
    <row r="10" s="32" customFormat="1" ht="12.6" customHeight="1" spans="1:88">
      <c r="A10" s="38" t="s">
        <v>24</v>
      </c>
      <c r="B10" s="39">
        <v>47</v>
      </c>
      <c r="D10" s="32" t="s">
        <v>25</v>
      </c>
      <c r="E10" s="41">
        <v>30</v>
      </c>
      <c r="I10" s="62" t="s">
        <v>26</v>
      </c>
      <c r="K10" s="103">
        <v>349918</v>
      </c>
      <c r="L10" s="103">
        <v>360096</v>
      </c>
      <c r="M10" s="103">
        <v>519229</v>
      </c>
      <c r="N10" s="103">
        <v>533651</v>
      </c>
      <c r="O10" s="103">
        <v>1169874</v>
      </c>
      <c r="P10" s="32">
        <v>1415388</v>
      </c>
      <c r="Q10" s="103">
        <v>2262298</v>
      </c>
      <c r="U10" s="134"/>
      <c r="V10" s="17" t="s">
        <v>27</v>
      </c>
      <c r="W10" s="135">
        <f>IF(B8=V10,170,IF(B8=V11,230,IF(B8=V12,300,IF(B8=V13,380,IF(B8=V14,480,IF(B8=V15,600,IF(B8=V16,730,IF(B8=V17,850))))))))</f>
        <v>300</v>
      </c>
      <c r="X10" s="17"/>
      <c r="Y10" s="143"/>
      <c r="Z10"/>
      <c r="AG10" s="32" t="s">
        <v>28</v>
      </c>
      <c r="AH10" s="32">
        <v>-3.4</v>
      </c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M10" s="17"/>
      <c r="BP10" s="17"/>
      <c r="BQ10" s="17"/>
      <c r="BR10" s="160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="32" customFormat="1" ht="21" customHeight="1" spans="1:88">
      <c r="A11" s="42" t="s">
        <v>29</v>
      </c>
      <c r="B11" s="39">
        <v>50</v>
      </c>
      <c r="D11" s="43" t="s">
        <v>30</v>
      </c>
      <c r="E11" s="41">
        <v>5</v>
      </c>
      <c r="I11" s="115" t="s">
        <v>31</v>
      </c>
      <c r="K11" s="32">
        <v>727</v>
      </c>
      <c r="L11" s="32">
        <v>757</v>
      </c>
      <c r="M11" s="32">
        <v>807</v>
      </c>
      <c r="N11" s="32">
        <v>835</v>
      </c>
      <c r="O11" s="32">
        <v>3766</v>
      </c>
      <c r="P11" s="32">
        <v>4628</v>
      </c>
      <c r="Q11" s="32">
        <v>5345</v>
      </c>
      <c r="U11" s="134"/>
      <c r="V11" s="17" t="s">
        <v>32</v>
      </c>
      <c r="W11" s="17"/>
      <c r="X11" s="17"/>
      <c r="Y11" s="143"/>
      <c r="Z11"/>
      <c r="AG11" s="32" t="s">
        <v>33</v>
      </c>
      <c r="AH11" s="32">
        <v>-2.4</v>
      </c>
      <c r="AK11" s="17"/>
      <c r="AL11" s="17"/>
      <c r="AM11" s="17"/>
      <c r="AN11" s="17"/>
      <c r="AO11"/>
      <c r="AP11"/>
      <c r="AQ11"/>
      <c r="AR11"/>
      <c r="AS11"/>
      <c r="AT11"/>
      <c r="AU11"/>
      <c r="AV11"/>
      <c r="AW11"/>
      <c r="AX11"/>
      <c r="AY11" s="25"/>
      <c r="AZ11" s="25"/>
      <c r="BA11" s="25"/>
      <c r="BB11" s="25"/>
      <c r="BC11" s="25"/>
      <c r="BD11" s="25"/>
      <c r="BE11" s="25"/>
      <c r="BF11" s="25"/>
      <c r="BG11" s="25"/>
      <c r="BM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</row>
    <row r="12" s="32" customFormat="1" ht="12" customHeight="1" spans="1:88">
      <c r="A12" s="38" t="s">
        <v>34</v>
      </c>
      <c r="B12" s="39" t="s">
        <v>28</v>
      </c>
      <c r="U12" s="134"/>
      <c r="V12" s="17" t="s">
        <v>18</v>
      </c>
      <c r="W12" s="17"/>
      <c r="X12" s="17"/>
      <c r="Y12" s="143"/>
      <c r="Z12"/>
      <c r="AG12" s="32" t="s">
        <v>35</v>
      </c>
      <c r="AH12" s="32">
        <v>-1.5</v>
      </c>
      <c r="AK12" s="17"/>
      <c r="AL12" s="17"/>
      <c r="AM12" s="17"/>
      <c r="AN12" s="17"/>
      <c r="AO12"/>
      <c r="AP12"/>
      <c r="AQ12"/>
      <c r="AR12"/>
      <c r="AS12"/>
      <c r="AT12"/>
      <c r="AU12"/>
      <c r="AV12"/>
      <c r="AW12"/>
      <c r="AX12"/>
      <c r="AY12" s="25"/>
      <c r="AZ12" s="25"/>
      <c r="BA12" s="25"/>
      <c r="BB12" s="25"/>
      <c r="BC12" s="25"/>
      <c r="BD12" s="25"/>
      <c r="BE12" s="25"/>
      <c r="BF12" s="25"/>
      <c r="BG12" s="25"/>
      <c r="BM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</row>
    <row r="13" s="32" customFormat="1" ht="13.2" customHeight="1" spans="1:88">
      <c r="A13" s="38" t="s">
        <v>36</v>
      </c>
      <c r="B13" s="44">
        <v>180</v>
      </c>
      <c r="U13" s="134"/>
      <c r="V13" s="17" t="s">
        <v>37</v>
      </c>
      <c r="W13" s="17"/>
      <c r="X13" s="17"/>
      <c r="Y13" s="143"/>
      <c r="Z13"/>
      <c r="AK13" s="17"/>
      <c r="AL13" s="17"/>
      <c r="AM13" s="17"/>
      <c r="AN13" s="17"/>
      <c r="AO13"/>
      <c r="AP13"/>
      <c r="AQ13"/>
      <c r="AR13"/>
      <c r="AS13"/>
      <c r="AT13"/>
      <c r="AU13"/>
      <c r="AV13"/>
      <c r="AW13"/>
      <c r="AX13"/>
      <c r="AY13" s="25"/>
      <c r="AZ13" s="25"/>
      <c r="BA13" s="25"/>
      <c r="BB13" s="25"/>
      <c r="BC13" s="25"/>
      <c r="BD13" s="25"/>
      <c r="BE13" s="25"/>
      <c r="BF13" s="25"/>
      <c r="BG13" s="25"/>
      <c r="BM13" s="17"/>
      <c r="BP13" s="17"/>
      <c r="BQ13" s="17"/>
      <c r="BR13" s="17"/>
      <c r="BS13" s="17"/>
      <c r="BT13" s="17"/>
      <c r="BU13" s="17"/>
      <c r="BV13" s="17"/>
      <c r="BW13" s="17"/>
      <c r="BX13" s="17"/>
      <c r="BZ13" s="25"/>
      <c r="CA13" s="25"/>
      <c r="CB13" s="25"/>
      <c r="CC13" s="25"/>
      <c r="CD13" s="17"/>
      <c r="CE13" s="17"/>
      <c r="CF13" s="17"/>
      <c r="CG13" s="17"/>
      <c r="CH13" s="17"/>
      <c r="CI13" s="17"/>
      <c r="CJ13" s="17"/>
    </row>
    <row r="14" s="32" customFormat="1" ht="10.8" customHeight="1" spans="1:88">
      <c r="A14" s="38" t="s">
        <v>38</v>
      </c>
      <c r="B14" s="44">
        <v>109</v>
      </c>
      <c r="U14" s="111"/>
      <c r="V14" s="17" t="s">
        <v>39</v>
      </c>
      <c r="W14" s="17"/>
      <c r="X14" s="17"/>
      <c r="Y14" s="128"/>
      <c r="Z14"/>
      <c r="AK14" s="17"/>
      <c r="AL14" s="17"/>
      <c r="AM14" s="17"/>
      <c r="AN14" s="17"/>
      <c r="AO14"/>
      <c r="AP14"/>
      <c r="AQ14"/>
      <c r="AR14"/>
      <c r="AS14"/>
      <c r="AT14"/>
      <c r="AU14"/>
      <c r="AV14"/>
      <c r="AW14"/>
      <c r="AX14"/>
      <c r="AY14" s="25"/>
      <c r="AZ14" s="25"/>
      <c r="BA14" s="25"/>
      <c r="BB14" s="25"/>
      <c r="BC14" s="25"/>
      <c r="BD14" s="25"/>
      <c r="BE14" s="25"/>
      <c r="BF14" s="25"/>
      <c r="BG14" s="25"/>
      <c r="BM14" s="17"/>
      <c r="BP14" s="17"/>
      <c r="BQ14" s="17"/>
      <c r="BR14" s="17"/>
      <c r="BS14" s="17"/>
      <c r="BT14" s="17"/>
      <c r="BU14" s="17"/>
      <c r="BV14" s="17"/>
      <c r="BW14" s="17"/>
      <c r="BX14" s="17"/>
      <c r="BZ14" s="25"/>
      <c r="CA14" s="25"/>
      <c r="CB14" s="25"/>
      <c r="CC14" s="25"/>
      <c r="CD14" s="17"/>
      <c r="CE14" s="17"/>
      <c r="CF14" s="17"/>
      <c r="CG14" s="17"/>
      <c r="CH14" s="17"/>
      <c r="CI14" s="17"/>
      <c r="CJ14" s="17"/>
    </row>
    <row r="15" s="32" customFormat="1" ht="22.8" customHeight="1" spans="1:88">
      <c r="A15" s="38" t="s">
        <v>40</v>
      </c>
      <c r="B15" s="44">
        <v>100</v>
      </c>
      <c r="C15" s="5" t="s">
        <v>41</v>
      </c>
      <c r="D15" s="5"/>
      <c r="E15" s="32" t="s">
        <v>42</v>
      </c>
      <c r="F15" s="45">
        <v>21</v>
      </c>
      <c r="G15" s="46">
        <f>K10/1000000000000</f>
        <v>3.49918e-7</v>
      </c>
      <c r="U15" s="111"/>
      <c r="V15" s="17" t="s">
        <v>43</v>
      </c>
      <c r="W15" s="17"/>
      <c r="X15" s="17"/>
      <c r="Y15" s="128"/>
      <c r="Z15"/>
      <c r="AK15" s="17"/>
      <c r="AL15" s="17"/>
      <c r="AM15" s="17"/>
      <c r="AN15" s="17"/>
      <c r="AO15" s="11"/>
      <c r="AY15" s="25"/>
      <c r="AZ15" s="25"/>
      <c r="BA15" s="25"/>
      <c r="BB15" s="25"/>
      <c r="BC15" s="25"/>
      <c r="BD15" s="25"/>
      <c r="BE15" s="25"/>
      <c r="BF15" s="25"/>
      <c r="BG15" s="25"/>
      <c r="BM15" s="17"/>
      <c r="BP15" s="17"/>
      <c r="BQ15" s="17"/>
      <c r="BR15" s="17"/>
      <c r="BS15" s="17"/>
      <c r="BT15" s="17"/>
      <c r="BU15" s="17"/>
      <c r="BV15" s="17"/>
      <c r="BW15" s="17"/>
      <c r="BX15" s="17"/>
      <c r="BZ15" s="21"/>
      <c r="CA15" s="21"/>
      <c r="CB15" s="25"/>
      <c r="CC15" s="25"/>
      <c r="CD15" s="17"/>
      <c r="CE15" s="17"/>
      <c r="CF15" s="17"/>
      <c r="CG15" s="17"/>
      <c r="CH15" s="17"/>
      <c r="CI15" s="17"/>
      <c r="CJ15" s="17"/>
    </row>
    <row r="16" s="32" customFormat="1" ht="20.4" customHeight="1" spans="1:88">
      <c r="A16" s="38" t="s">
        <v>44</v>
      </c>
      <c r="B16" s="47">
        <v>100</v>
      </c>
      <c r="C16" s="48" t="s">
        <v>45</v>
      </c>
      <c r="D16" s="48"/>
      <c r="E16" s="32" t="s">
        <v>46</v>
      </c>
      <c r="F16" s="45">
        <v>-20</v>
      </c>
      <c r="U16" s="111"/>
      <c r="V16" s="17" t="s">
        <v>47</v>
      </c>
      <c r="W16" s="17"/>
      <c r="X16" s="17"/>
      <c r="Y16" s="128"/>
      <c r="Z16"/>
      <c r="AA16" s="25"/>
      <c r="AB16" s="25"/>
      <c r="AK16" s="17"/>
      <c r="AL16" s="17"/>
      <c r="AM16" s="17"/>
      <c r="AN16" s="17"/>
      <c r="AO16" s="11"/>
      <c r="AY16" s="25"/>
      <c r="AZ16" s="25"/>
      <c r="BA16" s="25"/>
      <c r="BB16" s="25"/>
      <c r="BC16" s="25"/>
      <c r="BD16" s="25"/>
      <c r="BE16" s="25"/>
      <c r="BF16" s="25"/>
      <c r="BG16" s="25"/>
      <c r="BM16" s="17"/>
      <c r="BP16" s="17"/>
      <c r="BQ16" s="17"/>
      <c r="BR16" s="17"/>
      <c r="BS16" s="17"/>
      <c r="BT16" s="17"/>
      <c r="BU16" s="17"/>
      <c r="BV16" s="17"/>
      <c r="BW16" s="17"/>
      <c r="BX16" s="17"/>
      <c r="BZ16" s="17"/>
      <c r="CA16" s="17"/>
      <c r="CB16" s="25"/>
      <c r="CC16" s="25"/>
      <c r="CD16" s="17"/>
      <c r="CE16" s="17"/>
      <c r="CF16" s="17"/>
      <c r="CG16" s="17"/>
      <c r="CH16" s="17"/>
      <c r="CI16" s="17"/>
      <c r="CJ16" s="17"/>
    </row>
    <row r="17" s="32" customFormat="1" ht="24" customHeight="1" spans="1:88">
      <c r="A17" s="38" t="s">
        <v>48</v>
      </c>
      <c r="B17" s="49">
        <f>B13-B16</f>
        <v>80</v>
      </c>
      <c r="C17" s="5" t="s">
        <v>49</v>
      </c>
      <c r="D17" s="5"/>
      <c r="E17" s="32" t="s">
        <v>50</v>
      </c>
      <c r="F17" s="50">
        <v>10</v>
      </c>
      <c r="U17" s="111"/>
      <c r="V17" s="17" t="s">
        <v>51</v>
      </c>
      <c r="W17" s="17"/>
      <c r="X17" s="17"/>
      <c r="Y17" s="128"/>
      <c r="Z17"/>
      <c r="AA17" s="25"/>
      <c r="AB17" s="25"/>
      <c r="AE17" s="32">
        <f>R46/10</f>
        <v>3</v>
      </c>
      <c r="AK17" s="17"/>
      <c r="AL17" s="17"/>
      <c r="AM17" s="17"/>
      <c r="AN17" s="17"/>
      <c r="AO17" s="11"/>
      <c r="AY17" s="25"/>
      <c r="AZ17" s="25"/>
      <c r="BA17" s="25"/>
      <c r="BB17" s="25"/>
      <c r="BC17" s="25"/>
      <c r="BD17" s="25"/>
      <c r="BE17" s="25"/>
      <c r="BF17" s="25"/>
      <c r="BG17" s="25"/>
      <c r="BM17" s="17"/>
      <c r="BP17" s="17"/>
      <c r="BQ17" s="17"/>
      <c r="BR17" s="17"/>
      <c r="BS17" s="17"/>
      <c r="BT17" s="17"/>
      <c r="BU17" s="17"/>
      <c r="BV17" s="17"/>
      <c r="BW17" s="17"/>
      <c r="BX17" s="17"/>
      <c r="BZ17" s="17"/>
      <c r="CB17" s="25"/>
      <c r="CC17" s="25"/>
      <c r="CD17" s="17"/>
      <c r="CE17" s="17"/>
      <c r="CF17" s="17"/>
      <c r="CG17" s="17"/>
      <c r="CH17" s="17"/>
      <c r="CI17" s="17"/>
      <c r="CJ17" s="17"/>
    </row>
    <row r="18" s="32" customFormat="1" ht="13.2" customHeight="1" spans="21:88">
      <c r="U18" s="111"/>
      <c r="V18" s="11"/>
      <c r="W18" s="11"/>
      <c r="X18" s="11"/>
      <c r="Y18" s="128"/>
      <c r="Z18"/>
      <c r="AA18" s="25"/>
      <c r="AB18" s="25"/>
      <c r="AK18" s="17"/>
      <c r="AL18" s="17"/>
      <c r="AM18" s="17"/>
      <c r="AN18" s="17"/>
      <c r="AO18" s="11"/>
      <c r="AY18" s="25"/>
      <c r="AZ18" s="25"/>
      <c r="BA18" s="25"/>
      <c r="BB18" s="25"/>
      <c r="BC18" s="25"/>
      <c r="BD18" s="25"/>
      <c r="BE18" s="25"/>
      <c r="BF18" s="25"/>
      <c r="BG18" s="25"/>
      <c r="BM18" s="17"/>
      <c r="BP18" s="17"/>
      <c r="BQ18" s="17"/>
      <c r="BR18" s="17"/>
      <c r="BS18" s="17"/>
      <c r="BT18" s="17"/>
      <c r="BU18" s="17"/>
      <c r="BV18" s="17"/>
      <c r="BW18" s="17"/>
      <c r="BX18" s="17"/>
      <c r="BZ18" s="17"/>
      <c r="CA18" s="18"/>
      <c r="CB18" s="25"/>
      <c r="CC18" s="25"/>
      <c r="CD18" s="17"/>
      <c r="CE18" s="17"/>
      <c r="CF18" s="17"/>
      <c r="CG18" s="17"/>
      <c r="CH18" s="17"/>
      <c r="CI18" s="17"/>
      <c r="CJ18" s="17"/>
    </row>
    <row r="19" s="32" customFormat="1" ht="15.75" spans="1:88">
      <c r="A19" s="32" t="s">
        <v>52</v>
      </c>
      <c r="B19" s="51" t="s">
        <v>5</v>
      </c>
      <c r="C19" s="52"/>
      <c r="D19" s="32" t="s">
        <v>53</v>
      </c>
      <c r="F19" s="53">
        <f>K27*1000</f>
        <v>9</v>
      </c>
      <c r="U19" s="112"/>
      <c r="V19" s="113"/>
      <c r="W19" s="113"/>
      <c r="X19" s="113"/>
      <c r="Y19" s="154"/>
      <c r="Z19"/>
      <c r="AA19" s="25"/>
      <c r="AB19" s="25"/>
      <c r="AN19" s="17"/>
      <c r="AO19" s="11"/>
      <c r="AY19" s="25"/>
      <c r="AZ19" s="25"/>
      <c r="BA19" s="25"/>
      <c r="BB19" s="25"/>
      <c r="BC19" s="25"/>
      <c r="BD19" s="25"/>
      <c r="BE19" s="25"/>
      <c r="BF19" s="25"/>
      <c r="BG19" s="25"/>
      <c r="BM19" s="17"/>
      <c r="BP19" s="17"/>
      <c r="BQ19" s="17"/>
      <c r="BR19" s="17"/>
      <c r="BS19" s="17"/>
      <c r="BT19" s="17"/>
      <c r="BU19" s="17"/>
      <c r="BV19" s="17"/>
      <c r="BW19" s="17"/>
      <c r="BX19" s="17"/>
      <c r="BZ19" s="17"/>
      <c r="CB19" s="25"/>
      <c r="CC19" s="25"/>
      <c r="CD19" s="17"/>
      <c r="CE19" s="17"/>
      <c r="CF19" s="17"/>
      <c r="CG19" s="17"/>
      <c r="CH19" s="17"/>
      <c r="CI19" s="17"/>
      <c r="CJ19" s="17"/>
    </row>
    <row r="20" s="32" customFormat="1" spans="1:88">
      <c r="A20" s="32" t="s">
        <v>54</v>
      </c>
      <c r="B20" s="54" t="s">
        <v>55</v>
      </c>
      <c r="C20" s="52"/>
      <c r="D20" s="55" t="s">
        <v>56</v>
      </c>
      <c r="F20" s="56">
        <f>K28*1000</f>
        <v>12.6722503851907</v>
      </c>
      <c r="AA20" s="25"/>
      <c r="AB20" s="25"/>
      <c r="AN20" s="17"/>
      <c r="AO20" s="11"/>
      <c r="AY20" s="25"/>
      <c r="AZ20" s="25"/>
      <c r="BA20" s="25"/>
      <c r="BB20" s="25"/>
      <c r="BC20" s="25"/>
      <c r="BD20" s="25"/>
      <c r="BE20" s="25"/>
      <c r="BF20" s="25"/>
      <c r="BG20" s="25"/>
      <c r="BM20" s="17"/>
      <c r="BP20" s="17"/>
      <c r="BQ20" s="17"/>
      <c r="BR20" s="17"/>
      <c r="BS20" s="17"/>
      <c r="BT20" s="17"/>
      <c r="BU20" s="17"/>
      <c r="BV20" s="17"/>
      <c r="BW20" s="17"/>
      <c r="BX20" s="17"/>
      <c r="BZ20" s="17"/>
      <c r="CA20" s="20"/>
      <c r="CB20" s="25"/>
      <c r="CC20" s="25"/>
      <c r="CD20" s="17"/>
      <c r="CE20" s="17"/>
      <c r="CF20" s="17"/>
      <c r="CG20" s="17"/>
      <c r="CH20" s="17"/>
      <c r="CI20" s="17"/>
      <c r="CJ20" s="17"/>
    </row>
    <row r="21" s="32" customFormat="1" spans="1:88">
      <c r="A21" s="55" t="s">
        <v>57</v>
      </c>
      <c r="B21" s="57" t="s">
        <v>12</v>
      </c>
      <c r="C21" s="58"/>
      <c r="D21" s="59">
        <f>IF(B21=L22,M22,IF(B21=L23,M23,IF(B21=L24,M24,IF(B21=L25,M25,IF(B21=L28,M28,IF(B21=L29,M29))))))</f>
        <v>2.82</v>
      </c>
      <c r="L21" t="s">
        <v>58</v>
      </c>
      <c r="M21" t="s">
        <v>59</v>
      </c>
      <c r="N21" t="s">
        <v>60</v>
      </c>
      <c r="AA21" s="25"/>
      <c r="AB21" s="25"/>
      <c r="AC21" s="25"/>
      <c r="AN21" s="17"/>
      <c r="AO21" s="11"/>
      <c r="AY21" s="25"/>
      <c r="AZ21" s="25"/>
      <c r="BA21" s="25"/>
      <c r="BB21" s="25"/>
      <c r="BC21" s="25"/>
      <c r="BD21" s="25"/>
      <c r="BE21" s="25"/>
      <c r="BF21" s="25"/>
      <c r="BG21" s="25"/>
      <c r="BM21" s="17"/>
      <c r="BP21" s="17"/>
      <c r="BQ21" s="17"/>
      <c r="BR21" s="17"/>
      <c r="BS21" s="17"/>
      <c r="BT21" s="17"/>
      <c r="BU21" s="17"/>
      <c r="BV21" s="17"/>
      <c r="BW21" s="17"/>
      <c r="BX21" s="17"/>
      <c r="BZ21" s="17"/>
      <c r="CB21" s="25"/>
      <c r="CC21" s="25"/>
      <c r="CD21" s="17"/>
      <c r="CE21" s="17"/>
      <c r="CF21" s="17"/>
      <c r="CG21" s="17"/>
      <c r="CH21" s="17"/>
      <c r="CI21" s="17"/>
      <c r="CJ21" s="17"/>
    </row>
    <row r="22" s="32" customFormat="1" ht="15.75" spans="1:88">
      <c r="A22" s="60" t="s">
        <v>61</v>
      </c>
      <c r="L22" t="s">
        <v>9</v>
      </c>
      <c r="M22">
        <v>2.21</v>
      </c>
      <c r="AA22" s="25"/>
      <c r="AB22" s="25"/>
      <c r="AC22" s="25"/>
      <c r="AN22" s="17"/>
      <c r="AO22" s="11"/>
      <c r="AY22" s="25"/>
      <c r="AZ22" s="25"/>
      <c r="BA22" s="25"/>
      <c r="BB22" s="25"/>
      <c r="BC22" s="25"/>
      <c r="BD22" s="25"/>
      <c r="BE22" s="25"/>
      <c r="BF22" s="25"/>
      <c r="BG22" s="25"/>
      <c r="BM22" s="17"/>
      <c r="BP22" s="17"/>
      <c r="BQ22" s="17"/>
      <c r="BR22" s="17"/>
      <c r="BS22" s="17"/>
      <c r="BT22" s="17"/>
      <c r="BU22" s="17"/>
      <c r="BV22" s="17"/>
      <c r="BW22" s="17"/>
      <c r="BX22" s="17"/>
      <c r="BZ22" s="21"/>
      <c r="CA22" s="20"/>
      <c r="CC22" s="25"/>
      <c r="CD22" s="17"/>
      <c r="CE22" s="17"/>
      <c r="CF22" s="17"/>
      <c r="CG22" s="17"/>
      <c r="CH22" s="17"/>
      <c r="CI22" s="17"/>
      <c r="CJ22" s="17"/>
    </row>
    <row r="23" s="32" customFormat="1" ht="11.4" customHeight="1" spans="2:88">
      <c r="B23" s="61"/>
      <c r="C23" s="62"/>
      <c r="D23" s="61"/>
      <c r="E23" s="61"/>
      <c r="F23" s="61"/>
      <c r="G23" s="55"/>
      <c r="H23" s="55"/>
      <c r="I23" s="116"/>
      <c r="L23" t="s">
        <v>12</v>
      </c>
      <c r="M23">
        <v>2.82</v>
      </c>
      <c r="P23" s="117" t="s">
        <v>62</v>
      </c>
      <c r="Q23" s="136" t="s">
        <v>63</v>
      </c>
      <c r="R23" s="136"/>
      <c r="S23" s="136"/>
      <c r="T23" s="133"/>
      <c r="U23" s="133"/>
      <c r="V23" s="133"/>
      <c r="W23" s="133"/>
      <c r="X23" s="137"/>
      <c r="AA23" s="17"/>
      <c r="AB23" s="17"/>
      <c r="AC23" s="17"/>
      <c r="AN23" s="17"/>
      <c r="AO23" s="11"/>
      <c r="AY23" s="25"/>
      <c r="AZ23" s="25"/>
      <c r="BA23" s="25"/>
      <c r="BB23" s="25"/>
      <c r="BC23" s="25"/>
      <c r="BD23" s="25"/>
      <c r="BE23" s="25"/>
      <c r="BF23" s="25"/>
      <c r="BG23" s="25"/>
      <c r="BM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23"/>
      <c r="CA23" s="17"/>
      <c r="CB23" s="17"/>
      <c r="CC23" s="17"/>
      <c r="CD23" s="17"/>
      <c r="CE23" s="17"/>
      <c r="CF23" s="17"/>
      <c r="CG23" s="17"/>
      <c r="CH23" s="17"/>
      <c r="CI23" s="17"/>
      <c r="CJ23" s="17"/>
    </row>
    <row r="24" s="32" customFormat="1" spans="3:88">
      <c r="C24" s="63" t="s">
        <v>64</v>
      </c>
      <c r="D24" s="63"/>
      <c r="E24" s="63"/>
      <c r="G24" s="55" t="s">
        <v>65</v>
      </c>
      <c r="H24" s="55"/>
      <c r="L24" t="s">
        <v>14</v>
      </c>
      <c r="M24">
        <v>2.01</v>
      </c>
      <c r="P24" s="118"/>
      <c r="Q24" s="138" t="s">
        <v>66</v>
      </c>
      <c r="R24" s="138" t="s">
        <v>23</v>
      </c>
      <c r="S24" s="138" t="s">
        <v>28</v>
      </c>
      <c r="T24" s="11"/>
      <c r="U24" s="11"/>
      <c r="V24" s="11"/>
      <c r="W24" s="11"/>
      <c r="X24" s="128"/>
      <c r="Y24" s="17"/>
      <c r="Z24" s="17"/>
      <c r="AA24" s="17"/>
      <c r="AB24" s="17"/>
      <c r="AC24" s="17"/>
      <c r="AF24" s="132" t="s">
        <v>67</v>
      </c>
      <c r="AG24" s="133"/>
      <c r="AH24" s="137"/>
      <c r="AN24" s="17"/>
      <c r="AO24" s="11"/>
      <c r="AY24" s="25"/>
      <c r="AZ24" s="25"/>
      <c r="BA24" s="25"/>
      <c r="BB24" s="25"/>
      <c r="BC24" s="25"/>
      <c r="BD24" s="25"/>
      <c r="BE24" s="25"/>
      <c r="BF24" s="25"/>
      <c r="BG24" s="25"/>
      <c r="BM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23"/>
      <c r="CA24" s="20"/>
      <c r="CB24" s="17"/>
      <c r="CC24" s="17"/>
      <c r="CD24" s="17"/>
      <c r="CE24" s="17"/>
      <c r="CF24" s="17"/>
      <c r="CG24" s="17"/>
      <c r="CH24" s="17"/>
      <c r="CI24" s="17"/>
      <c r="CJ24" s="17"/>
    </row>
    <row r="25" s="32" customFormat="1" spans="3:88">
      <c r="C25" s="64" t="s">
        <v>68</v>
      </c>
      <c r="D25" s="65">
        <f>F30+F48</f>
        <v>401.424</v>
      </c>
      <c r="E25" s="66"/>
      <c r="G25" s="55"/>
      <c r="H25" s="55"/>
      <c r="L25" t="s">
        <v>15</v>
      </c>
      <c r="M25">
        <v>2.55</v>
      </c>
      <c r="P25" s="118" t="s">
        <v>69</v>
      </c>
      <c r="Q25" s="17">
        <v>0.75</v>
      </c>
      <c r="R25" s="17">
        <v>0.5</v>
      </c>
      <c r="S25" s="17">
        <v>0.4</v>
      </c>
      <c r="T25" s="11"/>
      <c r="U25" s="17"/>
      <c r="V25" s="17"/>
      <c r="W25" s="17"/>
      <c r="X25" s="139"/>
      <c r="Y25" s="17"/>
      <c r="Z25" s="17"/>
      <c r="AA25" s="17"/>
      <c r="AB25" s="17"/>
      <c r="AC25" s="17"/>
      <c r="AF25" s="134"/>
      <c r="AG25" s="25"/>
      <c r="AH25" s="143"/>
      <c r="AN25" s="17"/>
      <c r="AO25" s="11"/>
      <c r="AY25" s="25"/>
      <c r="AZ25" s="25"/>
      <c r="BA25" s="25"/>
      <c r="BB25" s="25"/>
      <c r="BC25" s="25"/>
      <c r="BD25" s="25"/>
      <c r="BE25" s="25"/>
      <c r="BF25" s="25"/>
      <c r="BG25" s="25"/>
      <c r="BM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23"/>
      <c r="CA25" s="20"/>
      <c r="CB25" s="17"/>
      <c r="CC25" s="17"/>
      <c r="CD25" s="17"/>
      <c r="CE25" s="17"/>
      <c r="CF25" s="17"/>
      <c r="CG25" s="17"/>
      <c r="CH25" s="17"/>
      <c r="CI25" s="17"/>
      <c r="CJ25" s="17"/>
    </row>
    <row r="26" s="32" customFormat="1" spans="9:88">
      <c r="I26" s="55"/>
      <c r="L26"/>
      <c r="M26"/>
      <c r="N26"/>
      <c r="P26" s="118" t="s">
        <v>70</v>
      </c>
      <c r="Q26" s="17">
        <v>1</v>
      </c>
      <c r="R26" s="17">
        <v>0.65</v>
      </c>
      <c r="S26" s="17">
        <v>0.4</v>
      </c>
      <c r="T26" s="11"/>
      <c r="U26" s="17"/>
      <c r="V26" s="17" t="s">
        <v>71</v>
      </c>
      <c r="W26" s="17" t="s">
        <v>72</v>
      </c>
      <c r="X26" s="139"/>
      <c r="Y26" s="17"/>
      <c r="Z26" s="17"/>
      <c r="AA26" s="25"/>
      <c r="AB26" s="25"/>
      <c r="AC26" s="25"/>
      <c r="AF26" s="134"/>
      <c r="AG26" s="25"/>
      <c r="AN26" s="17"/>
      <c r="AO26" s="11"/>
      <c r="AY26" s="25"/>
      <c r="AZ26" s="25"/>
      <c r="BA26" s="25"/>
      <c r="BB26" s="25"/>
      <c r="BC26" s="25"/>
      <c r="BD26" s="25"/>
      <c r="BE26" s="25"/>
      <c r="BF26" s="25"/>
      <c r="BG26" s="25"/>
      <c r="BM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21"/>
      <c r="CA26" s="17"/>
      <c r="CB26" s="17"/>
      <c r="CC26" s="17"/>
      <c r="CD26" s="17"/>
      <c r="CE26" s="17"/>
      <c r="CF26" s="17"/>
      <c r="CG26" s="17"/>
      <c r="CH26" s="17"/>
      <c r="CI26" s="17"/>
      <c r="CJ26" s="17"/>
    </row>
    <row r="27" s="32" customFormat="1" spans="2:88">
      <c r="B27" s="32" t="s">
        <v>73</v>
      </c>
      <c r="G27" s="55"/>
      <c r="H27" s="55"/>
      <c r="K27" s="119">
        <f>BU48</f>
        <v>0.009</v>
      </c>
      <c r="L27"/>
      <c r="M27"/>
      <c r="N27"/>
      <c r="P27" s="118" t="s">
        <v>74</v>
      </c>
      <c r="Q27" s="17">
        <v>1.25</v>
      </c>
      <c r="R27" s="17">
        <v>0.85</v>
      </c>
      <c r="S27" s="17">
        <v>0.55</v>
      </c>
      <c r="T27" s="11"/>
      <c r="U27" s="17"/>
      <c r="V27" s="17" t="s">
        <v>20</v>
      </c>
      <c r="W27" s="140">
        <f>IF(B12="A",1,IF(B12="B",2,IF(B12="C",3)))</f>
        <v>3</v>
      </c>
      <c r="X27" s="139"/>
      <c r="Y27" s="17"/>
      <c r="Z27" s="17"/>
      <c r="AA27" s="25"/>
      <c r="AB27" s="25"/>
      <c r="AC27" s="25"/>
      <c r="AN27" s="17"/>
      <c r="AO27" s="11"/>
      <c r="AY27" s="25"/>
      <c r="AZ27" s="25"/>
      <c r="BA27" s="25"/>
      <c r="BB27" s="25"/>
      <c r="BC27" s="25"/>
      <c r="BD27" s="25"/>
      <c r="BE27" s="25"/>
      <c r="BF27" s="25"/>
      <c r="BG27" s="25"/>
      <c r="BM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21"/>
      <c r="CA27" s="21"/>
      <c r="CB27" s="17"/>
      <c r="CC27" s="17"/>
      <c r="CD27" s="17"/>
      <c r="CE27" s="17"/>
      <c r="CF27" s="17"/>
      <c r="CG27" s="17"/>
      <c r="CH27" s="17"/>
      <c r="CI27" s="17"/>
      <c r="CJ27" s="17"/>
    </row>
    <row r="28" s="32" customFormat="1" spans="3:88">
      <c r="C28" s="32" t="s">
        <v>75</v>
      </c>
      <c r="F28" s="67" t="str">
        <f>B8</f>
        <v>II(2)</v>
      </c>
      <c r="G28" s="32" t="s">
        <v>76</v>
      </c>
      <c r="K28" s="120">
        <f>C53+C75</f>
        <v>0.0126722503851907</v>
      </c>
      <c r="L28" t="s">
        <v>10</v>
      </c>
      <c r="M28">
        <v>2.52</v>
      </c>
      <c r="N28"/>
      <c r="P28" s="118" t="s">
        <v>77</v>
      </c>
      <c r="Q28" s="17">
        <v>1.5</v>
      </c>
      <c r="R28" s="17">
        <v>1.1</v>
      </c>
      <c r="S28" s="17">
        <v>0.8</v>
      </c>
      <c r="T28" s="11"/>
      <c r="U28" s="17"/>
      <c r="V28" s="17" t="s">
        <v>23</v>
      </c>
      <c r="W28" s="17"/>
      <c r="X28" s="139"/>
      <c r="Y28" s="17"/>
      <c r="Z28" s="17"/>
      <c r="AA28" s="25"/>
      <c r="AB28" s="25"/>
      <c r="AC28" s="25"/>
      <c r="AF28" s="134"/>
      <c r="AG28" s="25"/>
      <c r="AH28" s="143"/>
      <c r="AN28" s="17"/>
      <c r="AO28"/>
      <c r="AP28"/>
      <c r="AQ28"/>
      <c r="AR28"/>
      <c r="AS28"/>
      <c r="AT28"/>
      <c r="AU28"/>
      <c r="AV28"/>
      <c r="AW28"/>
      <c r="AX28"/>
      <c r="AY28" s="25"/>
      <c r="AZ28" s="25"/>
      <c r="BA28" s="25"/>
      <c r="BB28" s="25"/>
      <c r="BC28" s="25"/>
      <c r="BD28" s="25"/>
      <c r="BE28" s="25"/>
      <c r="BF28" s="25"/>
      <c r="BG28" s="25"/>
      <c r="BM28" s="17"/>
      <c r="BP28" s="25"/>
      <c r="BQ28" s="25"/>
      <c r="BR28" s="17"/>
      <c r="BS28" s="17"/>
      <c r="BT28" s="17"/>
      <c r="BU28" s="17"/>
      <c r="BV28" s="17"/>
      <c r="BW28" s="17"/>
      <c r="BX28" s="17"/>
      <c r="BY28" s="17"/>
      <c r="BZ28" s="21"/>
      <c r="CA28" s="17"/>
      <c r="CB28" s="17"/>
      <c r="CC28" s="17"/>
      <c r="CD28" s="17"/>
      <c r="CE28" s="17"/>
      <c r="CF28" s="17"/>
      <c r="CG28" s="17"/>
      <c r="CH28" s="17"/>
      <c r="CI28" s="17"/>
      <c r="CJ28" s="17"/>
    </row>
    <row r="29" s="32" customFormat="1" ht="21.6" customHeight="1" spans="3:88">
      <c r="C29" s="68" t="s">
        <v>78</v>
      </c>
      <c r="D29" s="68"/>
      <c r="E29" s="69" t="s">
        <v>79</v>
      </c>
      <c r="F29" s="67">
        <f>W10</f>
        <v>300</v>
      </c>
      <c r="G29" s="70" t="s">
        <v>80</v>
      </c>
      <c r="H29" s="70"/>
      <c r="L29" t="s">
        <v>13</v>
      </c>
      <c r="M29">
        <v>3.21</v>
      </c>
      <c r="N29"/>
      <c r="P29" s="118" t="s">
        <v>81</v>
      </c>
      <c r="Q29" s="17">
        <v>1.7</v>
      </c>
      <c r="R29" s="17">
        <v>1.3</v>
      </c>
      <c r="S29" s="17">
        <v>1</v>
      </c>
      <c r="T29" s="11"/>
      <c r="U29" s="17"/>
      <c r="V29" s="17" t="s">
        <v>28</v>
      </c>
      <c r="W29" s="17"/>
      <c r="X29" s="139"/>
      <c r="Y29" s="17"/>
      <c r="Z29" s="17"/>
      <c r="AA29" s="25"/>
      <c r="AB29" s="25"/>
      <c r="AC29" s="25"/>
      <c r="AF29" s="134"/>
      <c r="AG29" s="25" t="s">
        <v>25</v>
      </c>
      <c r="AN29" s="17"/>
      <c r="AO29"/>
      <c r="AP29"/>
      <c r="AQ29"/>
      <c r="AR29"/>
      <c r="AS29"/>
      <c r="AT29"/>
      <c r="AU29"/>
      <c r="AV29"/>
      <c r="AW29"/>
      <c r="AX29"/>
      <c r="AY29" s="25"/>
      <c r="AZ29" s="25"/>
      <c r="BA29" s="25"/>
      <c r="BB29" s="25"/>
      <c r="BC29" s="25"/>
      <c r="BD29" s="25"/>
      <c r="BE29" s="25"/>
      <c r="BF29" s="25"/>
      <c r="BG29" s="25"/>
      <c r="BM29" s="17"/>
      <c r="BP29" s="25"/>
      <c r="BQ29" s="25"/>
      <c r="BR29" s="17"/>
      <c r="BS29" s="17"/>
      <c r="BT29" s="17"/>
      <c r="BU29" s="17"/>
      <c r="BV29" s="17"/>
      <c r="BW29" s="17"/>
      <c r="BX29" s="17"/>
      <c r="BY29" s="17"/>
      <c r="BZ29" s="21"/>
      <c r="CA29" s="24"/>
      <c r="CB29" s="17"/>
      <c r="CC29" s="17"/>
      <c r="CD29" s="17"/>
      <c r="CE29" s="17"/>
      <c r="CF29" s="17"/>
      <c r="CG29" s="17"/>
      <c r="CH29" s="17"/>
      <c r="CI29" s="17"/>
      <c r="CJ29" s="17"/>
    </row>
    <row r="30" s="32" customFormat="1" ht="15.75" spans="5:88">
      <c r="E30" s="71" t="s">
        <v>82</v>
      </c>
      <c r="F30" s="72">
        <f>F29*F35*F36</f>
        <v>240</v>
      </c>
      <c r="G30" s="32" t="s">
        <v>83</v>
      </c>
      <c r="L30"/>
      <c r="M30" s="121"/>
      <c r="P30" s="118" t="s">
        <v>84</v>
      </c>
      <c r="Q30" s="17">
        <v>1.85</v>
      </c>
      <c r="R30" s="17">
        <v>1.45</v>
      </c>
      <c r="S30" s="17">
        <v>1.15</v>
      </c>
      <c r="T30" s="11"/>
      <c r="U30" s="17"/>
      <c r="V30" s="17"/>
      <c r="W30" s="17"/>
      <c r="X30" s="139"/>
      <c r="Y30" s="17"/>
      <c r="Z30" s="17"/>
      <c r="AA30" s="25"/>
      <c r="AB30" s="25"/>
      <c r="AC30" s="25"/>
      <c r="AF30" s="134"/>
      <c r="AG30" s="25"/>
      <c r="AH30" s="143"/>
      <c r="AN30" s="17"/>
      <c r="AO30" s="17"/>
      <c r="AP30" s="17"/>
      <c r="AQ30" s="17"/>
      <c r="AR30" s="17"/>
      <c r="AS30" s="17"/>
      <c r="AT30" s="17"/>
      <c r="AU30" s="17"/>
      <c r="AV30" s="17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M30" s="17"/>
      <c r="BP30" s="11"/>
      <c r="BQ30" s="11"/>
      <c r="BR30" s="17"/>
      <c r="BS30" s="17"/>
      <c r="BT30" s="17"/>
      <c r="BU30" s="17"/>
      <c r="BV30" s="17"/>
      <c r="BW30" s="17"/>
      <c r="BX30" s="17"/>
      <c r="BY30" s="17"/>
      <c r="BZ30" s="21"/>
      <c r="CA30" s="17"/>
      <c r="CB30" s="17"/>
      <c r="CC30" s="17"/>
      <c r="CD30" s="17"/>
      <c r="CE30" s="17"/>
      <c r="CF30" s="17"/>
      <c r="CG30" s="17"/>
      <c r="CH30" s="17"/>
      <c r="CI30" s="17"/>
      <c r="CJ30" s="17"/>
    </row>
    <row r="31" s="32" customFormat="1" ht="15.75" spans="12:88">
      <c r="L31" s="121"/>
      <c r="P31" s="118" t="s">
        <v>85</v>
      </c>
      <c r="Q31" s="17">
        <v>2</v>
      </c>
      <c r="R31" s="17">
        <v>1.6</v>
      </c>
      <c r="S31" s="17">
        <v>1.25</v>
      </c>
      <c r="T31" s="11"/>
      <c r="U31" s="17"/>
      <c r="V31" s="17" t="s">
        <v>86</v>
      </c>
      <c r="W31" s="17" t="s">
        <v>87</v>
      </c>
      <c r="X31" s="139"/>
      <c r="Y31" s="17"/>
      <c r="Z31" s="17"/>
      <c r="AA31" s="25"/>
      <c r="AB31" s="25"/>
      <c r="AC31" s="25"/>
      <c r="AF31" s="134"/>
      <c r="AN31" s="17"/>
      <c r="AO31" s="17"/>
      <c r="AP31" s="17"/>
      <c r="AQ31" s="17"/>
      <c r="AR31" s="17"/>
      <c r="AS31" s="17"/>
      <c r="AT31" s="17"/>
      <c r="AU31" s="17"/>
      <c r="AV31" s="17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M31" s="17"/>
      <c r="BP31" s="11"/>
      <c r="BQ31" s="11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</row>
    <row r="32" s="32" customFormat="1" spans="2:88">
      <c r="B32" s="70" t="s">
        <v>88</v>
      </c>
      <c r="P32" s="118" t="s">
        <v>89</v>
      </c>
      <c r="Q32" s="17">
        <v>2.25</v>
      </c>
      <c r="R32" s="17">
        <v>1.9</v>
      </c>
      <c r="S32" s="17">
        <v>1.55</v>
      </c>
      <c r="T32" s="11"/>
      <c r="U32" s="17"/>
      <c r="V32" s="17" t="str">
        <f>IF(B9&lt;=5,"h≤5",IF(AND(B9&gt;5,B9&lt;=10),"5&lt;h≤10",IF(AND(B9&gt;10,B9&lt;=20),"10&lt;h≤20",IF(AND(B9&gt;20,B9&lt;=40),"20&lt;h≤40",IF(AND(B9&gt;40,B9&lt;=60),"40&lt;h≤60",IF(AND(B9&gt;60,B9&lt;=80),"60&lt;h≤80",IF(AND(B9&gt;80,B9&lt;=100),"80&lt;h≤100",IF(AND(B9&gt;100,B9&lt;=150),"100&lt;h≤150",IF(AND(B9&gt;150,B9&lt;=200),"150&lt;h≤200",IF(AND(B9&gt;200,B9&lt;=250),"200&lt;h≤250",IF(AND(B9&gt;250,B9&lt;=300),"250&lt;h≤300",)))))))))))</f>
        <v>40&lt;h≤60</v>
      </c>
      <c r="W32" s="140">
        <f>IF(AND(F34&lt;=5,F34&gt;0),1,IF(AND(F34&gt;5,F34&lt;=10),2,IF(AND(F34&gt;10,F34&lt;=20),3,IF(AND(F34&gt;20,F34&lt;=40),4,IF(AND(F34&gt;40,F34&lt;=60),5,IF(AND(F34&gt;60,F34&lt;=80),6,IF(AND(F34&gt;80,F34&lt;=100),7,IF(AND(F34&gt;100,F34&lt;=150),8,IF(AND(F34&gt;150,F34&lt;=200),9,IF(AND(F34&gt;200,F34&lt;=250),10,IF(AND(F34&gt;250,F34&lt;=300),11,)))))))))))</f>
        <v>5</v>
      </c>
      <c r="X32" s="139"/>
      <c r="Y32" s="25"/>
      <c r="Z32" s="25"/>
      <c r="AA32" s="25"/>
      <c r="AB32" s="25"/>
      <c r="AC32" s="25"/>
      <c r="AF32" s="134"/>
      <c r="AG32" s="25"/>
      <c r="AH32" s="143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M32" s="17" t="s">
        <v>90</v>
      </c>
      <c r="BP32" s="11"/>
      <c r="BQ32" s="11"/>
      <c r="BR32" s="17"/>
      <c r="BS32" s="17"/>
      <c r="BT32" s="17"/>
      <c r="BU32" s="17"/>
      <c r="BV32" s="17"/>
      <c r="BW32" s="17"/>
      <c r="BX32" s="17"/>
      <c r="BY32" s="17"/>
      <c r="BZ32" s="21"/>
      <c r="CA32" s="17"/>
      <c r="CB32" s="17"/>
      <c r="CC32" s="17"/>
      <c r="CD32" s="17"/>
      <c r="CE32" s="17"/>
      <c r="CF32" s="17"/>
      <c r="CG32" s="17"/>
      <c r="CH32" s="17"/>
      <c r="CI32" s="17"/>
      <c r="CJ32" s="17"/>
    </row>
    <row r="33" s="32" customFormat="1" spans="3:88">
      <c r="C33" s="32" t="s">
        <v>34</v>
      </c>
      <c r="F33" s="67" t="str">
        <f>B12</f>
        <v>C</v>
      </c>
      <c r="G33" s="32" t="s">
        <v>91</v>
      </c>
      <c r="L33" s="32" t="s">
        <v>19</v>
      </c>
      <c r="P33" s="118" t="s">
        <v>92</v>
      </c>
      <c r="Q33" s="17">
        <v>2.45</v>
      </c>
      <c r="R33" s="17">
        <v>2.1</v>
      </c>
      <c r="S33" s="17">
        <v>1.8</v>
      </c>
      <c r="T33" s="11"/>
      <c r="U33" s="11"/>
      <c r="V33" s="11"/>
      <c r="W33" s="11"/>
      <c r="X33" s="128"/>
      <c r="Y33" s="25"/>
      <c r="Z33" s="25"/>
      <c r="AA33" s="25"/>
      <c r="AB33" s="25"/>
      <c r="AC33" s="25"/>
      <c r="AF33" s="134"/>
      <c r="AG33" s="96" t="s">
        <v>93</v>
      </c>
      <c r="AH33" s="156">
        <f>IF(D8=L33,AH7,IF(E11&gt;AE17,AH9,IF(E11&lt;AE17,AH8)))</f>
        <v>1.2</v>
      </c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M33" s="17"/>
      <c r="BP33" s="11"/>
      <c r="BQ33" s="11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</row>
    <row r="34" ht="15.75" spans="2:88">
      <c r="B34" s="32"/>
      <c r="C34" s="55" t="s">
        <v>94</v>
      </c>
      <c r="D34" s="55"/>
      <c r="E34" s="73" t="s">
        <v>95</v>
      </c>
      <c r="F34" s="74">
        <f>IF(B9&lt;=B10,B9,IF(AND(B9&lt;B10,B9&lt;=2*B10),IF((B9-B10)&lt;=B11,B9,B10),IF((B9-B10)&lt;=B11,B9,IF(AND(B11&gt;0,B11&lt;=B10),B10,B11))))</f>
        <v>60</v>
      </c>
      <c r="G34" s="32" t="s">
        <v>96</v>
      </c>
      <c r="H34" s="32"/>
      <c r="I34" s="32"/>
      <c r="J34" s="122"/>
      <c r="L34" s="32" t="s">
        <v>97</v>
      </c>
      <c r="P34" s="118" t="s">
        <v>98</v>
      </c>
      <c r="Q34" s="17">
        <v>2.65</v>
      </c>
      <c r="R34" s="17">
        <v>2.3</v>
      </c>
      <c r="S34" s="17">
        <v>2</v>
      </c>
      <c r="T34" s="11"/>
      <c r="U34" s="11"/>
      <c r="V34" s="11"/>
      <c r="W34" s="11"/>
      <c r="X34" s="128"/>
      <c r="AD34" s="32"/>
      <c r="AE34" s="32"/>
      <c r="AF34" s="147"/>
      <c r="AG34" s="157"/>
      <c r="AH34" s="148"/>
      <c r="AI34" s="32"/>
      <c r="AM34" s="32"/>
      <c r="BL34" s="32"/>
      <c r="BM34" s="17" t="s">
        <v>90</v>
      </c>
      <c r="BN34" s="32"/>
      <c r="BO34" s="32"/>
      <c r="BP34" s="11"/>
      <c r="BQ34" s="11"/>
      <c r="BR34" s="17"/>
      <c r="BS34" s="17"/>
      <c r="BT34" s="17"/>
      <c r="BU34" s="17"/>
      <c r="BV34" s="17"/>
      <c r="BW34" s="17"/>
      <c r="BX34" s="17"/>
      <c r="BY34" s="17"/>
      <c r="BZ34" s="129"/>
      <c r="CA34" s="129"/>
      <c r="CB34" s="17"/>
      <c r="CC34" s="17"/>
      <c r="CD34" s="17"/>
      <c r="CE34" s="17"/>
      <c r="CF34" s="17"/>
      <c r="CG34" s="17"/>
      <c r="CH34" s="17"/>
      <c r="CI34" s="17"/>
      <c r="CJ34" s="17"/>
    </row>
    <row r="35" ht="15.75" spans="3:88">
      <c r="C35" s="32" t="s">
        <v>99</v>
      </c>
      <c r="D35" s="32"/>
      <c r="E35" s="32" t="s">
        <v>100</v>
      </c>
      <c r="F35" s="74">
        <f>IFERROR(INDEX(Q25:S35,W32,W27),"-")</f>
        <v>1</v>
      </c>
      <c r="G35" s="32" t="s">
        <v>91</v>
      </c>
      <c r="H35" s="32"/>
      <c r="L35" s="32" t="s">
        <v>101</v>
      </c>
      <c r="P35" s="123" t="s">
        <v>102</v>
      </c>
      <c r="Q35" s="141">
        <v>2.75</v>
      </c>
      <c r="R35" s="141">
        <v>2.5</v>
      </c>
      <c r="S35" s="141">
        <v>2.2</v>
      </c>
      <c r="T35" s="113"/>
      <c r="U35" s="113"/>
      <c r="V35" s="141"/>
      <c r="W35" s="141"/>
      <c r="X35" s="14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P35" s="11"/>
      <c r="AQ35" s="11"/>
      <c r="AR35" s="11"/>
      <c r="AS35" s="11"/>
      <c r="AT35" s="11"/>
      <c r="AU35" s="11"/>
      <c r="BL35" s="32"/>
      <c r="BM35" s="17"/>
      <c r="BN35" s="32"/>
      <c r="BO35" s="32"/>
      <c r="BP35" s="11"/>
      <c r="BQ35" s="11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</row>
    <row r="36" ht="15.75" spans="3:88">
      <c r="C36" s="33" t="s">
        <v>103</v>
      </c>
      <c r="D36" s="75"/>
      <c r="E36" s="76" t="s">
        <v>93</v>
      </c>
      <c r="F36" s="77">
        <f>G36</f>
        <v>0.8</v>
      </c>
      <c r="G36" s="78">
        <f>IF(D8=L33,S40,IF(D8=L34,S41,IF(AND(D8=L35,E11&lt;=R49),S42,IF(AND(D8=L35,E11&gt;R49,E11&lt;=R50+R49),S43,IF(AND(D8=L35,E11&gt;R46),S44,)))))</f>
        <v>0.8</v>
      </c>
      <c r="H36" s="32"/>
      <c r="K36" s="32" t="s">
        <v>104</v>
      </c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P36" s="11"/>
      <c r="BL36" s="32"/>
      <c r="BM36" s="17"/>
      <c r="BN36" s="32"/>
      <c r="BO36" s="32"/>
      <c r="BP36" s="11"/>
      <c r="BQ36" s="11"/>
      <c r="BR36" s="25"/>
      <c r="BS36" s="25"/>
      <c r="BT36" s="25"/>
      <c r="BU36" s="25"/>
      <c r="BV36" s="25"/>
      <c r="BW36" s="25"/>
      <c r="BX36" s="17"/>
      <c r="BY36" s="17"/>
      <c r="BZ36" s="21"/>
      <c r="CA36" s="167"/>
      <c r="CB36" s="17"/>
      <c r="CC36" s="17"/>
      <c r="CD36" s="17"/>
      <c r="CE36" s="17"/>
      <c r="CF36" s="25"/>
      <c r="CG36" s="25"/>
      <c r="CH36" s="25"/>
      <c r="CI36" s="25"/>
      <c r="CJ36" s="25"/>
    </row>
    <row r="37" spans="17:88">
      <c r="Q37" s="132" t="s">
        <v>105</v>
      </c>
      <c r="R37" s="133"/>
      <c r="S37" s="137"/>
      <c r="AD37" s="32"/>
      <c r="AE37" s="32"/>
      <c r="AF37" s="32"/>
      <c r="AG37" s="32" t="s">
        <v>106</v>
      </c>
      <c r="AH37" s="32"/>
      <c r="AI37" s="32"/>
      <c r="AJ37" s="32"/>
      <c r="AK37" s="32"/>
      <c r="AL37" s="32"/>
      <c r="AM37" s="32"/>
      <c r="AP37" s="11"/>
      <c r="BL37" s="32"/>
      <c r="BR37" s="32"/>
      <c r="BS37" s="32"/>
      <c r="BT37" s="32"/>
      <c r="BU37" s="32"/>
      <c r="BV37" s="32"/>
      <c r="BW37" s="32"/>
      <c r="BX37" s="17"/>
      <c r="BY37" s="17"/>
      <c r="BZ37" s="17"/>
      <c r="CA37" s="17"/>
      <c r="CB37" s="17"/>
      <c r="CC37" s="17"/>
      <c r="CD37" s="17"/>
      <c r="CE37" s="17"/>
      <c r="CF37" s="25"/>
      <c r="CG37" s="25"/>
      <c r="CH37" s="25"/>
      <c r="CI37" s="25"/>
      <c r="CJ37" s="25"/>
    </row>
    <row r="38" ht="25.2" customHeight="1" spans="13:83">
      <c r="M38" s="70" t="s">
        <v>107</v>
      </c>
      <c r="R38" s="25"/>
      <c r="S38" s="143"/>
      <c r="AD38" s="32"/>
      <c r="AE38" s="32"/>
      <c r="AF38" s="32"/>
      <c r="AG38" s="158" t="s">
        <v>55</v>
      </c>
      <c r="AH38" s="32"/>
      <c r="AI38" s="32"/>
      <c r="AJ38" s="32"/>
      <c r="AK38" s="32"/>
      <c r="AL38" s="32"/>
      <c r="AM38" s="32"/>
      <c r="AP38" s="11"/>
      <c r="BX38" s="129"/>
      <c r="BY38" s="129"/>
      <c r="BZ38" s="21"/>
      <c r="CA38" s="129"/>
      <c r="CB38" s="129"/>
      <c r="CC38" s="129"/>
      <c r="CD38" s="129"/>
      <c r="CE38" s="129"/>
    </row>
    <row r="39" ht="28.8" customHeight="1" spans="7:83">
      <c r="G39" s="70" t="s">
        <v>108</v>
      </c>
      <c r="H39" s="70"/>
      <c r="Q39" s="134" t="s">
        <v>109</v>
      </c>
      <c r="S39" s="143"/>
      <c r="AC39" s="33"/>
      <c r="AD39" s="32"/>
      <c r="AE39" s="32"/>
      <c r="AF39" s="32"/>
      <c r="AG39" s="159" t="s">
        <v>110</v>
      </c>
      <c r="AH39" s="32"/>
      <c r="AI39" s="32"/>
      <c r="AJ39" s="32"/>
      <c r="AK39" s="32"/>
      <c r="AL39" s="32"/>
      <c r="AM39" s="32"/>
      <c r="AP39" s="11"/>
      <c r="BO39" s="161" t="s">
        <v>111</v>
      </c>
      <c r="BQ39" s="161"/>
      <c r="BX39" s="129"/>
      <c r="BY39" s="129"/>
      <c r="BZ39" s="21"/>
      <c r="CA39" s="24"/>
      <c r="CB39" s="129"/>
      <c r="CC39" s="129"/>
      <c r="CD39" s="129"/>
      <c r="CE39" s="129"/>
    </row>
    <row r="40" ht="35.4" customHeight="1" spans="7:83">
      <c r="G40" s="79">
        <f>IFERROR(INDEX(O61:U67,T57,T58),"-")</f>
        <v>0.59</v>
      </c>
      <c r="H40" s="70"/>
      <c r="Q40" s="111"/>
      <c r="R40" s="144" t="s">
        <v>33</v>
      </c>
      <c r="S40" s="137">
        <v>0.8</v>
      </c>
      <c r="U40" s="117" t="s">
        <v>62</v>
      </c>
      <c r="V40" s="136" t="s">
        <v>112</v>
      </c>
      <c r="W40" s="136"/>
      <c r="X40" s="136"/>
      <c r="Y40" s="127"/>
      <c r="AC40" s="33"/>
      <c r="AF40" s="32"/>
      <c r="AG40" s="25"/>
      <c r="AH40" s="32"/>
      <c r="AP40" s="11"/>
      <c r="BO40" s="161" t="s">
        <v>113</v>
      </c>
      <c r="BQ40" s="161"/>
      <c r="BX40" s="129"/>
      <c r="BY40" s="129"/>
      <c r="BZ40" s="21"/>
      <c r="CA40" s="129"/>
      <c r="CB40" s="129"/>
      <c r="CC40" s="129"/>
      <c r="CD40" s="129"/>
      <c r="CE40" s="129"/>
    </row>
    <row r="41" spans="7:83">
      <c r="G41" s="32" t="s">
        <v>114</v>
      </c>
      <c r="H41" s="32"/>
      <c r="Q41" s="111"/>
      <c r="R41" s="145" t="s">
        <v>35</v>
      </c>
      <c r="S41" s="143">
        <v>-0.5</v>
      </c>
      <c r="U41" s="118"/>
      <c r="V41" s="146"/>
      <c r="W41" s="146"/>
      <c r="X41" s="146"/>
      <c r="Y41" s="128"/>
      <c r="AC41" s="33"/>
      <c r="AD41" s="33"/>
      <c r="AP41" s="11"/>
      <c r="BO41" s="162" t="s">
        <v>115</v>
      </c>
      <c r="BX41" s="129"/>
      <c r="BY41" s="129"/>
      <c r="BZ41" s="21"/>
      <c r="CA41" s="24"/>
      <c r="CB41" s="129"/>
      <c r="CC41" s="129"/>
      <c r="CD41" s="129"/>
      <c r="CE41" s="129"/>
    </row>
    <row r="42" spans="17:83">
      <c r="Q42" s="134"/>
      <c r="R42" s="134" t="s">
        <v>20</v>
      </c>
      <c r="S42" s="143">
        <v>-1</v>
      </c>
      <c r="U42" s="118"/>
      <c r="V42" s="146"/>
      <c r="W42" s="146"/>
      <c r="X42" s="146"/>
      <c r="Y42" s="128"/>
      <c r="AC42" s="33"/>
      <c r="AD42" s="33"/>
      <c r="AP42" s="11"/>
      <c r="BO42" s="162" t="s">
        <v>116</v>
      </c>
      <c r="BX42" s="129"/>
      <c r="BY42" s="129"/>
      <c r="BZ42" s="129"/>
      <c r="CA42" s="129"/>
      <c r="CB42" s="129"/>
      <c r="CC42" s="129"/>
      <c r="CD42" s="129"/>
      <c r="CE42" s="129"/>
    </row>
    <row r="43" spans="17:83">
      <c r="Q43" s="111"/>
      <c r="R43" s="134" t="s">
        <v>23</v>
      </c>
      <c r="S43" s="143">
        <v>-0.8</v>
      </c>
      <c r="U43" s="118"/>
      <c r="V43" s="138" t="s">
        <v>66</v>
      </c>
      <c r="W43" s="138" t="s">
        <v>23</v>
      </c>
      <c r="X43" s="138" t="s">
        <v>28</v>
      </c>
      <c r="Y43" s="128"/>
      <c r="AC43" s="33"/>
      <c r="AD43" s="33"/>
      <c r="AP43" s="11"/>
      <c r="BO43" s="162" t="s">
        <v>117</v>
      </c>
      <c r="BX43" s="129"/>
      <c r="BY43" s="129"/>
      <c r="BZ43" s="21"/>
      <c r="CA43" s="24"/>
      <c r="CB43" s="129"/>
      <c r="CC43" s="129"/>
      <c r="CD43" s="129"/>
      <c r="CE43" s="129"/>
    </row>
    <row r="44" ht="15.75" spans="17:83">
      <c r="Q44" s="111"/>
      <c r="R44" s="147" t="s">
        <v>28</v>
      </c>
      <c r="S44" s="148">
        <v>-0.5</v>
      </c>
      <c r="U44" s="118"/>
      <c r="V44" s="138"/>
      <c r="W44" s="138"/>
      <c r="X44" s="138"/>
      <c r="Y44" s="128"/>
      <c r="AC44" s="33"/>
      <c r="AD44" s="33"/>
      <c r="AP44" s="11"/>
      <c r="BO44" s="162" t="s">
        <v>118</v>
      </c>
      <c r="BX44" s="129"/>
      <c r="BY44" s="129"/>
      <c r="BZ44" s="21" t="s">
        <v>119</v>
      </c>
      <c r="CA44" s="168">
        <f>IFERROR(W10*F35*0.8*(1+F46),"-")</f>
        <v>513.6</v>
      </c>
      <c r="CB44" s="129"/>
      <c r="CC44" s="129"/>
      <c r="CD44" s="129"/>
      <c r="CE44" s="129"/>
    </row>
    <row r="45" spans="2:83">
      <c r="B45" s="32" t="s">
        <v>120</v>
      </c>
      <c r="Q45" s="111"/>
      <c r="R45" s="11"/>
      <c r="S45" s="143"/>
      <c r="U45" s="118" t="s">
        <v>69</v>
      </c>
      <c r="V45" s="17">
        <v>0.85</v>
      </c>
      <c r="W45" s="17">
        <v>1.22</v>
      </c>
      <c r="X45" s="17">
        <v>1.78</v>
      </c>
      <c r="Y45" s="128"/>
      <c r="AP45" s="11"/>
      <c r="BX45" s="129"/>
      <c r="BY45" s="129"/>
      <c r="BZ45" s="129"/>
      <c r="CA45" s="129"/>
      <c r="CB45" s="129"/>
      <c r="CC45" s="129"/>
      <c r="CD45" s="129"/>
      <c r="CE45" s="129"/>
    </row>
    <row r="46" spans="3:83">
      <c r="C46" s="48" t="s">
        <v>121</v>
      </c>
      <c r="D46" s="48"/>
      <c r="E46" s="48" t="s">
        <v>122</v>
      </c>
      <c r="F46" s="74">
        <f>IFERROR(INDEX(V45:X55,W32,W27),"-")</f>
        <v>1.14</v>
      </c>
      <c r="Q46" s="134" t="s">
        <v>123</v>
      </c>
      <c r="R46" s="149">
        <f>IF(B10&lt;E10,B10,IF(E10&lt;B10,E10))</f>
        <v>30</v>
      </c>
      <c r="S46" s="143"/>
      <c r="U46" s="118" t="s">
        <v>70</v>
      </c>
      <c r="V46" s="17">
        <v>0.76</v>
      </c>
      <c r="W46" s="17">
        <v>1.06</v>
      </c>
      <c r="X46" s="17">
        <v>1.78</v>
      </c>
      <c r="Y46" s="128"/>
      <c r="AP46" s="11"/>
      <c r="BP46" t="s">
        <v>124</v>
      </c>
      <c r="BX46" s="129"/>
      <c r="BY46" s="129"/>
      <c r="BZ46" s="129"/>
      <c r="CA46" s="129"/>
      <c r="CB46" s="129"/>
      <c r="CC46" s="129"/>
      <c r="CD46" s="129"/>
      <c r="CE46" s="129"/>
    </row>
    <row r="47" ht="30" customHeight="1" spans="3:83">
      <c r="C47" s="80" t="s">
        <v>125</v>
      </c>
      <c r="D47" s="80"/>
      <c r="E47" s="69" t="s">
        <v>126</v>
      </c>
      <c r="F47" s="81">
        <f>G40</f>
        <v>0.59</v>
      </c>
      <c r="N47" s="32"/>
      <c r="O47" s="32"/>
      <c r="P47" s="32"/>
      <c r="Q47" s="134"/>
      <c r="R47" s="25"/>
      <c r="S47" s="143"/>
      <c r="U47" s="118" t="s">
        <v>74</v>
      </c>
      <c r="V47" s="17">
        <v>0.69</v>
      </c>
      <c r="W47" s="17">
        <v>0.92</v>
      </c>
      <c r="X47" s="17">
        <v>1.5</v>
      </c>
      <c r="Y47" s="128"/>
      <c r="AP47" s="11"/>
      <c r="BX47" s="129"/>
      <c r="BY47" s="129"/>
      <c r="BZ47" s="129"/>
      <c r="CA47" s="129"/>
      <c r="CB47" s="129"/>
      <c r="CC47" s="129"/>
      <c r="CD47" s="129"/>
      <c r="CE47" s="129"/>
    </row>
    <row r="48" spans="4:83">
      <c r="D48" s="71"/>
      <c r="E48" s="71" t="s">
        <v>127</v>
      </c>
      <c r="F48" s="82">
        <f>F30*F46*F47</f>
        <v>161.424</v>
      </c>
      <c r="K48" t="s">
        <v>128</v>
      </c>
      <c r="L48" t="s">
        <v>129</v>
      </c>
      <c r="M48" t="s">
        <v>130</v>
      </c>
      <c r="N48" t="s">
        <v>131</v>
      </c>
      <c r="O48" s="32"/>
      <c r="P48" s="32"/>
      <c r="Q48" s="150"/>
      <c r="R48" s="151"/>
      <c r="S48" s="152"/>
      <c r="U48" s="118" t="s">
        <v>77</v>
      </c>
      <c r="V48" s="17">
        <v>0.62</v>
      </c>
      <c r="W48" s="17">
        <v>0.8</v>
      </c>
      <c r="X48" s="17">
        <v>1.26</v>
      </c>
      <c r="Y48" s="128"/>
      <c r="AP48" s="11"/>
      <c r="BO48" s="100">
        <f>K28*1000</f>
        <v>12.6722503851907</v>
      </c>
      <c r="BP48" s="100"/>
      <c r="BQ48" s="100"/>
      <c r="BR48" t="s">
        <v>132</v>
      </c>
      <c r="BU48" s="169">
        <f>F64/200</f>
        <v>0.009</v>
      </c>
      <c r="BX48" s="129"/>
      <c r="BY48" s="129"/>
      <c r="BZ48" s="129"/>
      <c r="CA48" s="170"/>
      <c r="CB48" s="170"/>
      <c r="CC48" s="129"/>
      <c r="CD48" s="129"/>
      <c r="CE48" s="129"/>
    </row>
    <row r="49" spans="11:83">
      <c r="K49" t="s">
        <v>133</v>
      </c>
      <c r="L49" t="s">
        <v>134</v>
      </c>
      <c r="Q49" s="111" t="s">
        <v>135</v>
      </c>
      <c r="R49" s="153">
        <f>R46/5</f>
        <v>6</v>
      </c>
      <c r="S49" s="128" t="s">
        <v>136</v>
      </c>
      <c r="U49" s="118" t="s">
        <v>81</v>
      </c>
      <c r="V49" s="17">
        <v>0.58</v>
      </c>
      <c r="W49" s="17">
        <v>0.74</v>
      </c>
      <c r="X49" s="17">
        <v>1.14</v>
      </c>
      <c r="Y49" s="128"/>
      <c r="AP49" s="11"/>
      <c r="BR49" t="s">
        <v>137</v>
      </c>
      <c r="BX49" s="129"/>
      <c r="BY49" s="129"/>
      <c r="BZ49" s="129"/>
      <c r="CA49" s="170"/>
      <c r="CB49" s="129"/>
      <c r="CC49" s="129"/>
      <c r="CD49" s="129"/>
      <c r="CE49" s="129"/>
    </row>
    <row r="50" ht="45" spans="1:83">
      <c r="A50" s="83" t="s">
        <v>138</v>
      </c>
      <c r="F50" s="84"/>
      <c r="G50" s="85" t="s">
        <v>139</v>
      </c>
      <c r="K50" t="s">
        <v>140</v>
      </c>
      <c r="L50" t="s">
        <v>141</v>
      </c>
      <c r="M50">
        <v>1.08</v>
      </c>
      <c r="N50">
        <v>0.78</v>
      </c>
      <c r="Q50" s="111" t="s">
        <v>142</v>
      </c>
      <c r="R50" s="153">
        <f>R46-R49</f>
        <v>24</v>
      </c>
      <c r="S50" s="128" t="s">
        <v>136</v>
      </c>
      <c r="U50" s="118" t="s">
        <v>84</v>
      </c>
      <c r="V50" s="17">
        <v>0.56</v>
      </c>
      <c r="W50" s="17">
        <v>0.7</v>
      </c>
      <c r="X50" s="17">
        <v>1.06</v>
      </c>
      <c r="Y50" s="128"/>
      <c r="AP50" s="11"/>
      <c r="BP50" t="s">
        <v>143</v>
      </c>
      <c r="BX50" s="129"/>
      <c r="BY50" s="129"/>
      <c r="BZ50" s="129"/>
      <c r="CA50" s="170"/>
      <c r="CB50" s="129"/>
      <c r="CC50" s="129"/>
      <c r="CD50" s="129"/>
      <c r="CE50" s="129"/>
    </row>
    <row r="51" ht="10.8" customHeight="1" spans="2:69">
      <c r="B51" s="86" t="s">
        <v>144</v>
      </c>
      <c r="L51" t="s">
        <v>145</v>
      </c>
      <c r="M51">
        <v>1.2</v>
      </c>
      <c r="N51">
        <v>0.82</v>
      </c>
      <c r="Q51" s="111" t="s">
        <v>146</v>
      </c>
      <c r="R51" s="153">
        <f>IF((E10-R46)&lt;=0,0,E10-R46)</f>
        <v>0</v>
      </c>
      <c r="S51" s="128" t="s">
        <v>136</v>
      </c>
      <c r="U51" s="118" t="s">
        <v>85</v>
      </c>
      <c r="V51" s="17">
        <v>0.54</v>
      </c>
      <c r="W51" s="17">
        <v>0.67</v>
      </c>
      <c r="X51" s="17">
        <v>1</v>
      </c>
      <c r="Y51" s="128"/>
      <c r="AP51" s="11"/>
      <c r="BO51" s="100">
        <f>C53</f>
        <v>0.00644108039627903</v>
      </c>
      <c r="BP51" s="100"/>
      <c r="BQ51" t="s">
        <v>147</v>
      </c>
    </row>
    <row r="52" ht="20.4" customHeight="1" spans="1:69">
      <c r="A52" s="32"/>
      <c r="B52" s="87"/>
      <c r="C52" s="88"/>
      <c r="D52" s="88"/>
      <c r="E52" s="88"/>
      <c r="H52" s="88"/>
      <c r="L52" t="s">
        <v>148</v>
      </c>
      <c r="M52">
        <v>1.11</v>
      </c>
      <c r="N52">
        <v>0.8</v>
      </c>
      <c r="Q52" s="112"/>
      <c r="R52" s="113"/>
      <c r="S52" s="154"/>
      <c r="U52" s="118" t="s">
        <v>89</v>
      </c>
      <c r="V52" s="17">
        <v>0.51</v>
      </c>
      <c r="W52" s="17">
        <v>0.62</v>
      </c>
      <c r="X52" s="17">
        <v>0.9</v>
      </c>
      <c r="Y52" s="128"/>
      <c r="BP52" s="100"/>
      <c r="BQ52" t="s">
        <v>149</v>
      </c>
    </row>
    <row r="53" ht="16.2" customHeight="1" spans="1:25">
      <c r="A53" s="32"/>
      <c r="B53" s="89" t="s">
        <v>150</v>
      </c>
      <c r="C53" s="90">
        <f>(F54/(F62*F58+F61*F57))*(F67*(F67^2-5*F64^2)^2+F68*(F68^2-5*F64^2)^2)/3840</f>
        <v>0.00644108039627903</v>
      </c>
      <c r="L53" t="s">
        <v>151</v>
      </c>
      <c r="M53">
        <v>1.32</v>
      </c>
      <c r="N53">
        <v>0.85</v>
      </c>
      <c r="U53" s="118" t="s">
        <v>92</v>
      </c>
      <c r="V53" s="17">
        <v>0.49</v>
      </c>
      <c r="W53" s="17">
        <v>0.58</v>
      </c>
      <c r="X53" s="17">
        <v>0.84</v>
      </c>
      <c r="Y53" s="128"/>
    </row>
    <row r="54" ht="31.2" customHeight="1" spans="1:68">
      <c r="A54" s="91"/>
      <c r="B54" s="92"/>
      <c r="C54" s="93" t="s">
        <v>152</v>
      </c>
      <c r="D54" s="93"/>
      <c r="E54" s="94" t="s">
        <v>153</v>
      </c>
      <c r="F54" s="95">
        <f>D25</f>
        <v>401.424</v>
      </c>
      <c r="K54" s="11"/>
      <c r="L54" s="11"/>
      <c r="N54" s="11"/>
      <c r="U54" s="118" t="s">
        <v>98</v>
      </c>
      <c r="V54" s="17">
        <v>0.47</v>
      </c>
      <c r="W54" s="17">
        <v>0.56</v>
      </c>
      <c r="X54" s="17">
        <v>0.8</v>
      </c>
      <c r="Y54" s="128"/>
      <c r="BP54" s="163" t="s">
        <v>154</v>
      </c>
    </row>
    <row r="55" ht="16.5" spans="1:25">
      <c r="A55" s="32"/>
      <c r="B55" s="32"/>
      <c r="D55" s="32"/>
      <c r="E55" s="32"/>
      <c r="F55" s="32"/>
      <c r="M55" s="124">
        <f>IF(OR(B19=K3,B19=L3,B19=O3),M50,IF(B19=P3,M51,IF(OR(B19=M3,B19=N3),M52,IF(B19=Q3,M53))))</f>
        <v>1.11</v>
      </c>
      <c r="N55">
        <f>IF(OR(B19=K3,B19=O3,B19=L3),N50,IF(B19=P3,N51,IF(OR(B19=M3,B19=N3),N52,IF(B19=Q3,N53))))</f>
        <v>0.8</v>
      </c>
      <c r="U55" s="123" t="s">
        <v>102</v>
      </c>
      <c r="V55" s="141">
        <v>0.46</v>
      </c>
      <c r="W55" s="141">
        <v>0.54</v>
      </c>
      <c r="X55" s="141">
        <v>0.76</v>
      </c>
      <c r="Y55" s="154"/>
    </row>
    <row r="56" ht="15.75" spans="1:66">
      <c r="A56" s="32"/>
      <c r="B56" s="83" t="s">
        <v>155</v>
      </c>
      <c r="C56" s="32"/>
      <c r="D56" s="32"/>
      <c r="E56" s="32"/>
      <c r="F56" s="32"/>
      <c r="BN56" t="s">
        <v>156</v>
      </c>
    </row>
    <row r="57" spans="1:76">
      <c r="A57" s="96"/>
      <c r="B57" s="97" t="s">
        <v>157</v>
      </c>
      <c r="C57" s="97"/>
      <c r="D57" s="97"/>
      <c r="E57" s="98" t="s">
        <v>158</v>
      </c>
      <c r="F57" s="99">
        <f>G57</f>
        <v>5.33651e-7</v>
      </c>
      <c r="G57" s="100">
        <f>IF(B19=K3,K10,IF(B19=L3,L10,IF(B19=M3,M10,IF(B19=N3,N10,IF(B19=O3,O10,IF(B19=P3,P10,IF(B19=Q3,Q10)))))))/1000000000000</f>
        <v>5.33651e-7</v>
      </c>
      <c r="K57">
        <v>3.49918e-7</v>
      </c>
      <c r="M57" s="125"/>
      <c r="N57" s="110"/>
      <c r="O57" s="110" t="s">
        <v>159</v>
      </c>
      <c r="P57" s="110" t="s">
        <v>160</v>
      </c>
      <c r="R57" s="110"/>
      <c r="S57" s="110" t="s">
        <v>161</v>
      </c>
      <c r="T57" s="110">
        <f>IF(AND(B10&lt;=0.1,B10&gt;0),1,IF(AND(B10&lt;=5,B10&gt;0.1),2,IF(AND(B10&lt;=10,B10&gt;5),3,IF(AND(B10&lt;=20,B10&gt;10),4,IF(AND(B10&lt;=40,B10&gt;20),5,IF(AND(B10&lt;=80,B10&gt;40),6,IF(AND(B10&lt;=160,B10&gt;80),7)))))))</f>
        <v>6</v>
      </c>
      <c r="U57" s="127" t="s">
        <v>162</v>
      </c>
      <c r="BO57" s="75" t="s">
        <v>163</v>
      </c>
      <c r="BV57" t="s">
        <v>163</v>
      </c>
      <c r="BW57" t="s">
        <v>163</v>
      </c>
      <c r="BX57" t="s">
        <v>163</v>
      </c>
    </row>
    <row r="58" spans="1:75">
      <c r="A58" s="96"/>
      <c r="B58" s="73" t="s">
        <v>164</v>
      </c>
      <c r="C58" s="73"/>
      <c r="D58" s="73"/>
      <c r="E58" s="98" t="s">
        <v>165</v>
      </c>
      <c r="F58" s="101">
        <f>D21/100000000</f>
        <v>2.82e-8</v>
      </c>
      <c r="M58" s="111"/>
      <c r="N58" s="11"/>
      <c r="O58" s="11" t="s">
        <v>166</v>
      </c>
      <c r="P58" s="11" t="s">
        <v>167</v>
      </c>
      <c r="R58" s="11"/>
      <c r="S58" s="11" t="s">
        <v>168</v>
      </c>
      <c r="T58" s="11">
        <f>IF(AND(E10&lt;=5,E10&gt;=0),1,IF(AND(E10&lt;=10,E10&gt;5),2,IF(AND(E10&lt;=20,E10&gt;10),3,IF(AND(E10&lt;=40,E10&gt;20),4,IF(AND(E10&lt;=80,E10&gt;40),5,IF(AND(E10&lt;=160,E10&gt;80),6,IF(AND(E10&lt;=350,E10&gt;160),7)))))))</f>
        <v>4</v>
      </c>
      <c r="U58" s="128" t="s">
        <v>169</v>
      </c>
      <c r="BW58" t="s">
        <v>163</v>
      </c>
    </row>
    <row r="59" spans="1:68">
      <c r="A59" s="96"/>
      <c r="B59" s="32"/>
      <c r="C59" s="32"/>
      <c r="D59" s="32"/>
      <c r="E59" s="32"/>
      <c r="F59" s="32"/>
      <c r="M59" s="111"/>
      <c r="N59" s="11"/>
      <c r="O59" s="11"/>
      <c r="P59" s="11"/>
      <c r="Q59" s="11"/>
      <c r="R59" s="11" t="s">
        <v>168</v>
      </c>
      <c r="S59" s="11"/>
      <c r="T59" s="11"/>
      <c r="U59" s="128"/>
      <c r="BP59" t="s">
        <v>143</v>
      </c>
    </row>
    <row r="60" spans="1:69">
      <c r="A60" s="102"/>
      <c r="B60" s="83" t="s">
        <v>170</v>
      </c>
      <c r="C60" s="32"/>
      <c r="D60" s="32"/>
      <c r="E60" s="32"/>
      <c r="F60" s="32"/>
      <c r="M60" s="111"/>
      <c r="N60" s="11"/>
      <c r="O60" s="11">
        <v>5</v>
      </c>
      <c r="P60" s="11">
        <v>10</v>
      </c>
      <c r="Q60" s="11">
        <v>20</v>
      </c>
      <c r="R60" s="11">
        <v>40</v>
      </c>
      <c r="S60" s="11">
        <v>80</v>
      </c>
      <c r="T60" s="11">
        <v>160</v>
      </c>
      <c r="U60" s="128">
        <v>350</v>
      </c>
      <c r="BO60" s="164">
        <f>CA44</f>
        <v>513.6</v>
      </c>
      <c r="BP60" s="165"/>
      <c r="BQ60" t="s">
        <v>171</v>
      </c>
    </row>
    <row r="61" spans="1:79">
      <c r="A61" s="96"/>
      <c r="B61" s="32"/>
      <c r="C61" s="32" t="s">
        <v>172</v>
      </c>
      <c r="E61" s="103" t="s">
        <v>173</v>
      </c>
      <c r="F61" s="104" t="s">
        <v>174</v>
      </c>
      <c r="M61" s="111"/>
      <c r="N61" s="11">
        <v>0.1</v>
      </c>
      <c r="O61" s="11">
        <v>0.95</v>
      </c>
      <c r="P61" s="11">
        <v>0.92</v>
      </c>
      <c r="Q61" s="11">
        <v>0.88</v>
      </c>
      <c r="R61" s="11">
        <v>0.83</v>
      </c>
      <c r="S61" s="11">
        <v>0.76</v>
      </c>
      <c r="T61" s="11">
        <v>0.67</v>
      </c>
      <c r="U61" s="128">
        <v>0.56</v>
      </c>
      <c r="BP61" s="166"/>
      <c r="BQ61" t="s">
        <v>175</v>
      </c>
      <c r="CA61" s="164"/>
    </row>
    <row r="62" spans="1:69">
      <c r="A62" s="105"/>
      <c r="B62" s="55"/>
      <c r="C62" s="55" t="s">
        <v>176</v>
      </c>
      <c r="D62" s="32"/>
      <c r="E62" s="106" t="s">
        <v>177</v>
      </c>
      <c r="F62" s="107">
        <v>210000000000</v>
      </c>
      <c r="M62" s="111"/>
      <c r="N62" s="11">
        <v>5</v>
      </c>
      <c r="O62" s="11">
        <v>0.89</v>
      </c>
      <c r="P62" s="11">
        <v>0.87</v>
      </c>
      <c r="Q62" s="11">
        <v>0.84</v>
      </c>
      <c r="R62" s="11">
        <v>0.8</v>
      </c>
      <c r="S62" s="11">
        <v>0.73</v>
      </c>
      <c r="T62" s="11">
        <v>0.65</v>
      </c>
      <c r="U62" s="128">
        <v>0.54</v>
      </c>
      <c r="BN62" s="164"/>
      <c r="BP62" s="166"/>
      <c r="BQ62" t="s">
        <v>178</v>
      </c>
    </row>
    <row r="63" spans="1:79">
      <c r="A63" s="96"/>
      <c r="B63" s="32"/>
      <c r="C63" s="32"/>
      <c r="D63" s="32"/>
      <c r="E63" s="32"/>
      <c r="F63" s="32"/>
      <c r="M63" s="111"/>
      <c r="N63" s="11">
        <v>10</v>
      </c>
      <c r="O63" s="11">
        <v>0.85</v>
      </c>
      <c r="P63" s="11">
        <v>0.84</v>
      </c>
      <c r="Q63" s="11">
        <v>0.81</v>
      </c>
      <c r="R63" s="11">
        <v>0.77</v>
      </c>
      <c r="S63" s="11">
        <v>0.71</v>
      </c>
      <c r="T63" s="11">
        <v>0.64</v>
      </c>
      <c r="U63" s="128">
        <v>0.53</v>
      </c>
      <c r="BP63" s="166"/>
      <c r="BQ63" t="s">
        <v>179</v>
      </c>
      <c r="CA63" s="164"/>
    </row>
    <row r="64" spans="1:69">
      <c r="A64" s="105"/>
      <c r="B64" s="32"/>
      <c r="C64" s="32" t="s">
        <v>180</v>
      </c>
      <c r="D64" s="32"/>
      <c r="E64" s="106" t="s">
        <v>181</v>
      </c>
      <c r="F64" s="95">
        <f>B13/100</f>
        <v>1.8</v>
      </c>
      <c r="M64" s="126" t="s">
        <v>161</v>
      </c>
      <c r="N64" s="11">
        <v>20</v>
      </c>
      <c r="O64" s="11">
        <v>0.8</v>
      </c>
      <c r="P64" s="11">
        <v>0.78</v>
      </c>
      <c r="Q64" s="11">
        <v>0.76</v>
      </c>
      <c r="R64" s="11">
        <v>0.73</v>
      </c>
      <c r="S64" s="11">
        <v>0.68</v>
      </c>
      <c r="T64" s="11">
        <v>0.61</v>
      </c>
      <c r="U64" s="128">
        <v>0.51</v>
      </c>
      <c r="BP64" s="166"/>
      <c r="BQ64" t="s">
        <v>182</v>
      </c>
    </row>
    <row r="65" spans="1:69">
      <c r="A65" s="96"/>
      <c r="B65" s="32"/>
      <c r="C65" s="32"/>
      <c r="D65" s="32"/>
      <c r="E65" s="32"/>
      <c r="F65" s="32"/>
      <c r="M65" s="111"/>
      <c r="N65" s="11">
        <v>40</v>
      </c>
      <c r="O65" s="11">
        <v>0.72</v>
      </c>
      <c r="P65" s="11">
        <v>0.72</v>
      </c>
      <c r="Q65" s="11">
        <v>0.7</v>
      </c>
      <c r="R65" s="11">
        <v>0.67</v>
      </c>
      <c r="S65" s="11">
        <v>0.63</v>
      </c>
      <c r="T65" s="11">
        <v>0.57</v>
      </c>
      <c r="U65" s="128">
        <v>0.48</v>
      </c>
      <c r="BP65" s="166"/>
      <c r="BQ65" t="s">
        <v>183</v>
      </c>
    </row>
    <row r="66" spans="1:69">
      <c r="A66" s="105"/>
      <c r="B66" s="32" t="s">
        <v>184</v>
      </c>
      <c r="C66" s="32"/>
      <c r="D66" s="32"/>
      <c r="E66" s="32"/>
      <c r="F66" s="32"/>
      <c r="M66" s="111"/>
      <c r="N66" s="11">
        <v>80</v>
      </c>
      <c r="O66" s="11">
        <v>0.63</v>
      </c>
      <c r="P66" s="11">
        <v>0.63</v>
      </c>
      <c r="Q66" s="11">
        <v>0.61</v>
      </c>
      <c r="R66" s="11">
        <v>0.59</v>
      </c>
      <c r="S66" s="11">
        <v>0.56</v>
      </c>
      <c r="T66" s="11">
        <v>0.51</v>
      </c>
      <c r="U66" s="128">
        <v>0.44</v>
      </c>
      <c r="BP66" s="202"/>
      <c r="BQ66" t="s">
        <v>185</v>
      </c>
    </row>
    <row r="67" spans="1:69">
      <c r="A67" s="96"/>
      <c r="B67" s="32"/>
      <c r="C67" s="32"/>
      <c r="D67" s="32"/>
      <c r="E67" s="106" t="s">
        <v>186</v>
      </c>
      <c r="F67" s="95">
        <f>B14/100</f>
        <v>1.09</v>
      </c>
      <c r="M67" s="111"/>
      <c r="N67" s="11">
        <v>160</v>
      </c>
      <c r="O67" s="11">
        <v>0.53</v>
      </c>
      <c r="P67" s="11">
        <v>0.53</v>
      </c>
      <c r="Q67" s="11">
        <v>0.52</v>
      </c>
      <c r="R67" s="11">
        <v>0.5</v>
      </c>
      <c r="S67" s="11">
        <v>0.47</v>
      </c>
      <c r="T67" s="11">
        <v>0.44</v>
      </c>
      <c r="U67" s="128">
        <v>0.38</v>
      </c>
      <c r="BP67" s="202"/>
      <c r="BQ67" t="s">
        <v>185</v>
      </c>
    </row>
    <row r="68" spans="1:68">
      <c r="A68" s="96"/>
      <c r="B68" s="32"/>
      <c r="C68" s="32"/>
      <c r="D68" s="32"/>
      <c r="E68" s="106" t="s">
        <v>187</v>
      </c>
      <c r="F68" s="95">
        <f>B15/100</f>
        <v>1</v>
      </c>
      <c r="M68" s="111"/>
      <c r="N68" s="11"/>
      <c r="O68" s="11"/>
      <c r="P68" s="11"/>
      <c r="Q68" s="11"/>
      <c r="R68" s="11"/>
      <c r="S68" s="11"/>
      <c r="T68" s="11"/>
      <c r="U68" s="128"/>
      <c r="BP68" t="s">
        <v>188</v>
      </c>
    </row>
    <row r="69" ht="15.75" spans="1:70">
      <c r="A69" s="96"/>
      <c r="B69" s="32"/>
      <c r="C69" s="32"/>
      <c r="D69" s="32"/>
      <c r="E69" s="32"/>
      <c r="F69" s="32"/>
      <c r="M69" s="112"/>
      <c r="N69" s="113"/>
      <c r="O69" s="113"/>
      <c r="P69" s="113"/>
      <c r="Q69" s="113" t="s">
        <v>189</v>
      </c>
      <c r="S69" s="113"/>
      <c r="T69" s="113"/>
      <c r="U69" s="154"/>
      <c r="BR69" t="s">
        <v>190</v>
      </c>
    </row>
    <row r="70" ht="15.75" spans="1:43">
      <c r="A70" s="171"/>
      <c r="B70" s="32"/>
      <c r="C70" s="32"/>
      <c r="D70" s="32"/>
      <c r="E70" s="32"/>
      <c r="F70" s="32"/>
      <c r="AB70" s="196"/>
      <c r="AC70" s="196"/>
      <c r="AD70" s="196"/>
      <c r="AE70" s="196"/>
      <c r="AF70" s="196"/>
      <c r="AG70" s="196" t="s">
        <v>191</v>
      </c>
      <c r="AH70" s="196"/>
      <c r="AI70" s="196"/>
      <c r="AJ70" s="196"/>
      <c r="AK70" s="196"/>
      <c r="AL70" s="196"/>
      <c r="AM70" s="196"/>
      <c r="AN70" s="196"/>
      <c r="AO70" s="196"/>
      <c r="AP70" s="196"/>
      <c r="AQ70" s="201"/>
    </row>
    <row r="71" spans="1:68">
      <c r="A71" s="38" t="s">
        <v>192</v>
      </c>
      <c r="B71" s="32"/>
      <c r="C71" s="32"/>
      <c r="D71" s="32"/>
      <c r="E71" s="32"/>
      <c r="F71" s="32"/>
      <c r="G71" s="172">
        <f>(F120*F64^2*F61*F57-G77*(F80*F64^2+F79*(F64^2-4*F76^2)))/(8*(F62*F58+F61*F57))</f>
        <v>0.0062311699889117</v>
      </c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P71" s="110"/>
      <c r="AQ71" s="127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P71" s="163" t="s">
        <v>193</v>
      </c>
    </row>
    <row r="72" spans="2:57">
      <c r="B72" s="32"/>
      <c r="C72" s="32"/>
      <c r="D72" s="32"/>
      <c r="E72" s="32"/>
      <c r="F72" s="32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33"/>
      <c r="AP72" s="11"/>
      <c r="AQ72" s="128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</row>
    <row r="73" spans="1:72">
      <c r="A73" s="96"/>
      <c r="B73" s="32"/>
      <c r="C73" s="32"/>
      <c r="D73" s="32"/>
      <c r="E73" s="32"/>
      <c r="F73" s="32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33"/>
      <c r="AP73" s="11"/>
      <c r="AQ73" s="128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O73" s="75" t="s">
        <v>163</v>
      </c>
      <c r="BT73" s="203">
        <f>C75</f>
        <v>0.0062311699889117</v>
      </c>
    </row>
    <row r="74" spans="1:57">
      <c r="A74" s="96"/>
      <c r="B74" s="32"/>
      <c r="C74" s="32"/>
      <c r="D74" s="32"/>
      <c r="E74" s="32"/>
      <c r="F74" s="32"/>
      <c r="O74" s="190"/>
      <c r="AB74" s="11"/>
      <c r="AC74" s="11"/>
      <c r="AD74" s="11"/>
      <c r="AE74" s="11"/>
      <c r="AF74" s="11"/>
      <c r="AP74" s="11"/>
      <c r="AQ74" s="128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</row>
    <row r="75" spans="1:68">
      <c r="A75" s="105"/>
      <c r="B75" s="173" t="s">
        <v>194</v>
      </c>
      <c r="C75" s="174">
        <f>(F120*F64^2*F61*F57-F77*(F80*F64^2+F79*(F64^2-4*F76^2)))/(8*(F62*F58+F61*F57))</f>
        <v>0.0062311699889117</v>
      </c>
      <c r="D75" s="32"/>
      <c r="E75" s="32"/>
      <c r="G75" s="175">
        <f>(F120*F64^2*F61*F57-F77*(BO86*F64^2+BO87*(F64^2-4*F76^2)))/(8*(F62*F58+F61*F57))</f>
        <v>0.0062311699889117</v>
      </c>
      <c r="AB75" s="11"/>
      <c r="AC75" s="11"/>
      <c r="AD75" s="11"/>
      <c r="AE75" s="11"/>
      <c r="AF75" s="11"/>
      <c r="AI75" t="s">
        <v>143</v>
      </c>
      <c r="AP75" s="11"/>
      <c r="AQ75" s="128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P75" t="s">
        <v>143</v>
      </c>
    </row>
    <row r="76" ht="15.75" spans="1:69">
      <c r="A76" s="96"/>
      <c r="C76" s="32" t="s">
        <v>195</v>
      </c>
      <c r="D76" s="32"/>
      <c r="E76" s="106" t="s">
        <v>196</v>
      </c>
      <c r="F76" s="95">
        <f>IF(B20=AG38,0.3,IF(B20=AG39,0.25))</f>
        <v>0.3</v>
      </c>
      <c r="M76" t="s">
        <v>197</v>
      </c>
      <c r="P76" t="s">
        <v>198</v>
      </c>
      <c r="AB76" s="11"/>
      <c r="AC76" s="11"/>
      <c r="AD76" s="11"/>
      <c r="AE76" s="11"/>
      <c r="AF76" s="11"/>
      <c r="AI76" s="166"/>
      <c r="AJ76" t="s">
        <v>199</v>
      </c>
      <c r="AP76" s="11"/>
      <c r="AQ76" s="128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P76" s="200"/>
      <c r="BQ76" t="s">
        <v>200</v>
      </c>
    </row>
    <row r="77" ht="43.2" customHeight="1" spans="1:69">
      <c r="A77" s="96"/>
      <c r="B77" s="32"/>
      <c r="C77" s="68" t="s">
        <v>201</v>
      </c>
      <c r="D77" s="68"/>
      <c r="E77" s="63" t="s">
        <v>202</v>
      </c>
      <c r="F77" s="176">
        <f>G77</f>
        <v>0.01127</v>
      </c>
      <c r="G77" s="177">
        <f>IF(AND(B19=M77,B21=M78),N78,IF(AND(B19=M77,B21=M79),N79,IF(AND(B19=M77,B21=M80),N80,IF(AND(B19=M77,B21=M81),N81,IF(AND(B19=M82,B21=M83),N83,IF(AND(B19=M82,B21=M84),N84,IF(AND(B19=M82,B21=M85),N85,IF(AND(B19=M82,B21=M86),N86,IF(AND(B19=M87,B21=M88),N88,IF(AND(B19=M87,B21=M89),N89,IF(AND(B19=M87,B21=M90),N90,IF(AND(B19=M87,B21=M91),N91,IF(AND(B19=M92,B21=M93),N93,IF(AND(B19=M92,B21=M94),N94,IF(AND(B19=M92,B21=M95),N95,IF(AND(B19=M92,B21=M96),N96,IF(AND(B19=M97,B21=M98),N98,IF(AND(B19=M97,B21=M99),N99,IF(AND(B19=M97,B21=M100),N100,IF(AND(B19=M97,B21=M101),N101,IF(AND(B19=M102,B21=M103),N103,IF(AND(B19=M102,B21=M104),N104,IF(AND(B19=M105,B21=M106),N106,IF(AND(B19=M105,B21=M108),N108))))))))))))))))))))))))/1000</f>
        <v>0.01127</v>
      </c>
      <c r="M77" s="109" t="s">
        <v>2</v>
      </c>
      <c r="AB77" s="11"/>
      <c r="AC77" s="11"/>
      <c r="AD77" s="11"/>
      <c r="AE77" s="11"/>
      <c r="AF77" s="11"/>
      <c r="AI77" s="166"/>
      <c r="AJ77" t="s">
        <v>203</v>
      </c>
      <c r="AP77" s="11"/>
      <c r="AQ77" s="128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P77" s="200"/>
      <c r="BQ77" t="s">
        <v>204</v>
      </c>
    </row>
    <row r="78" spans="1:69">
      <c r="A78" s="96"/>
      <c r="B78" s="32"/>
      <c r="M78" s="111" t="s">
        <v>9</v>
      </c>
      <c r="N78">
        <v>6.6</v>
      </c>
      <c r="P78">
        <v>148.7</v>
      </c>
      <c r="AB78" s="11"/>
      <c r="AC78" s="11"/>
      <c r="AD78" s="11"/>
      <c r="AE78" s="11"/>
      <c r="AF78" s="11"/>
      <c r="AI78" s="166"/>
      <c r="AJ78" t="s">
        <v>205</v>
      </c>
      <c r="AP78" s="11"/>
      <c r="AQ78" s="128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P78" s="200"/>
      <c r="BQ78" t="s">
        <v>179</v>
      </c>
    </row>
    <row r="79" spans="1:69">
      <c r="A79" s="178"/>
      <c r="B79" s="32"/>
      <c r="C79" s="32" t="s">
        <v>206</v>
      </c>
      <c r="D79" s="32"/>
      <c r="E79" s="103" t="s">
        <v>207</v>
      </c>
      <c r="F79" s="95">
        <f>((F98-F17)*(F96*F115-F95))/(F82*F76*F91*(F82+(2/(F91*(F64-2*F76)))+2*F82+(2/(F91*(F64-2*F76)))))</f>
        <v>-2027.05063763859</v>
      </c>
      <c r="M79" s="111" t="s">
        <v>12</v>
      </c>
      <c r="N79">
        <v>6.6</v>
      </c>
      <c r="P79">
        <v>193</v>
      </c>
      <c r="AB79" s="11"/>
      <c r="AC79" s="11"/>
      <c r="AD79" s="11"/>
      <c r="AE79" s="11"/>
      <c r="AF79" s="11"/>
      <c r="AI79" s="200"/>
      <c r="AJ79" t="s">
        <v>208</v>
      </c>
      <c r="AP79" s="11"/>
      <c r="AQ79" s="128"/>
      <c r="BP79" s="200"/>
      <c r="BQ79" t="s">
        <v>209</v>
      </c>
    </row>
    <row r="80" spans="1:69">
      <c r="A80" s="24"/>
      <c r="B80" s="32"/>
      <c r="E80" s="103" t="s">
        <v>210</v>
      </c>
      <c r="F80" s="95">
        <f>F79*(F76*F91*(F82+(2/(F91*(F64-2*F76))))+1)</f>
        <v>-3819.87148032132</v>
      </c>
      <c r="M80" s="111" t="s">
        <v>14</v>
      </c>
      <c r="N80">
        <v>6.46</v>
      </c>
      <c r="P80">
        <v>105.1</v>
      </c>
      <c r="AD80" s="11"/>
      <c r="AI80" s="166"/>
      <c r="AP80" s="11"/>
      <c r="AQ80" s="128"/>
      <c r="BP80" s="200"/>
      <c r="BQ80" t="s">
        <v>208</v>
      </c>
    </row>
    <row r="81" ht="15.75" spans="1:69">
      <c r="A81" s="179"/>
      <c r="B81" s="32"/>
      <c r="D81" s="32"/>
      <c r="M81" s="112" t="s">
        <v>15</v>
      </c>
      <c r="N81">
        <v>6.46</v>
      </c>
      <c r="P81">
        <v>137</v>
      </c>
      <c r="AD81" s="11"/>
      <c r="AI81" s="166"/>
      <c r="AJ81" t="s">
        <v>211</v>
      </c>
      <c r="AP81" s="11"/>
      <c r="AQ81" s="128"/>
      <c r="BP81" s="166"/>
      <c r="BQ81" t="s">
        <v>212</v>
      </c>
    </row>
    <row r="82" ht="13.8" customHeight="1" spans="1:69">
      <c r="A82" s="171"/>
      <c r="B82" s="32"/>
      <c r="C82" s="32" t="s">
        <v>213</v>
      </c>
      <c r="D82" s="180"/>
      <c r="E82" s="32" t="s">
        <v>214</v>
      </c>
      <c r="F82" s="181">
        <f>(1/(F89*F61))+(1/(F90*F62))</f>
        <v>3.7690978473236e-7</v>
      </c>
      <c r="M82" s="110" t="s">
        <v>3</v>
      </c>
      <c r="AB82" s="197"/>
      <c r="AD82" s="11"/>
      <c r="AI82" s="166"/>
      <c r="AJ82" t="s">
        <v>215</v>
      </c>
      <c r="AP82" s="11"/>
      <c r="AQ82" s="128"/>
      <c r="BP82" s="166"/>
      <c r="BQ82" t="s">
        <v>216</v>
      </c>
    </row>
    <row r="83" ht="14.4" customHeight="1" spans="1:69">
      <c r="A83" s="179"/>
      <c r="D83" s="88"/>
      <c r="M83" s="11" t="s">
        <v>9</v>
      </c>
      <c r="N83">
        <v>9.27</v>
      </c>
      <c r="AB83" s="11"/>
      <c r="AC83" s="11"/>
      <c r="AD83" s="11"/>
      <c r="AP83" s="11"/>
      <c r="AQ83" s="128"/>
      <c r="BQ83" t="s">
        <v>217</v>
      </c>
    </row>
    <row r="84" ht="22.8" customHeight="1" spans="1:43">
      <c r="A84" s="179"/>
      <c r="M84" s="11" t="s">
        <v>12</v>
      </c>
      <c r="N84">
        <v>9.27</v>
      </c>
      <c r="AB84" s="11"/>
      <c r="AC84" s="11"/>
      <c r="AD84" s="11"/>
      <c r="AI84" s="166"/>
      <c r="AP84" s="11"/>
      <c r="AQ84" s="128"/>
    </row>
    <row r="85" spans="1:69">
      <c r="A85" s="171"/>
      <c r="M85" s="11" t="s">
        <v>14</v>
      </c>
      <c r="N85">
        <v>9.1</v>
      </c>
      <c r="AB85" s="11"/>
      <c r="AC85" s="11"/>
      <c r="AD85" s="11"/>
      <c r="AH85" s="100">
        <f>F98</f>
        <v>-10.8780145165067</v>
      </c>
      <c r="AJ85" t="s">
        <v>218</v>
      </c>
      <c r="AP85" s="33"/>
      <c r="AQ85" s="128"/>
      <c r="BQ85" t="s">
        <v>219</v>
      </c>
    </row>
    <row r="86" ht="15.75" spans="1:69">
      <c r="A86" s="182"/>
      <c r="M86" s="113" t="s">
        <v>15</v>
      </c>
      <c r="N86">
        <v>9.1</v>
      </c>
      <c r="AB86" s="198"/>
      <c r="AD86" s="11"/>
      <c r="AP86" s="33"/>
      <c r="AQ86" s="128"/>
      <c r="BO86" s="100">
        <f>F80</f>
        <v>-3819.87148032132</v>
      </c>
      <c r="BP86" s="100"/>
      <c r="BQ86" t="s">
        <v>220</v>
      </c>
    </row>
    <row r="87" spans="2:69">
      <c r="B87" s="32" t="s">
        <v>221</v>
      </c>
      <c r="G87" s="100">
        <f>IF(B19=K3,K11,IF(B19=L3,L11,IF(B19=M3,M11,IF(B19=N3,N11,IF(B19=O3,O11,IF(B19=P3,P11,IF(B19=Q3,Q11)))))))/1000000</f>
        <v>0.000835</v>
      </c>
      <c r="K87">
        <v>0.000727</v>
      </c>
      <c r="M87" s="110" t="s">
        <v>4</v>
      </c>
      <c r="AB87" s="11"/>
      <c r="AC87" s="11"/>
      <c r="AD87" s="11"/>
      <c r="AP87" s="33"/>
      <c r="AQ87" s="128"/>
      <c r="BO87" s="100">
        <f>F79</f>
        <v>-2027.05063763859</v>
      </c>
      <c r="BP87" s="100"/>
      <c r="BQ87" t="s">
        <v>220</v>
      </c>
    </row>
    <row r="88" spans="7:43">
      <c r="G88" s="100">
        <f>IF(B21=M78,P78,IF(B21=M79,P79,IF(B21=M80,P80,IF(B21=M81,P81,IF(B21=M103,P103,IF(B21=M104,P104))))))/1000000</f>
        <v>0.000193</v>
      </c>
      <c r="M88" s="11" t="s">
        <v>9</v>
      </c>
      <c r="N88">
        <v>7.9</v>
      </c>
      <c r="AB88" s="11"/>
      <c r="AC88" s="11"/>
      <c r="AD88" s="11"/>
      <c r="AH88" s="75" t="s">
        <v>163</v>
      </c>
      <c r="AP88" s="33"/>
      <c r="AQ88" s="128"/>
    </row>
    <row r="89" spans="3:43">
      <c r="C89" s="183" t="s">
        <v>222</v>
      </c>
      <c r="D89" s="183"/>
      <c r="E89" s="32" t="s">
        <v>223</v>
      </c>
      <c r="F89" s="184">
        <f>G87</f>
        <v>0.000835</v>
      </c>
      <c r="M89" s="11" t="s">
        <v>12</v>
      </c>
      <c r="N89">
        <v>7.9</v>
      </c>
      <c r="AB89" s="11"/>
      <c r="AC89" s="11"/>
      <c r="AD89" s="11"/>
      <c r="AP89" s="33"/>
      <c r="AQ89" s="128"/>
    </row>
    <row r="90" spans="3:67">
      <c r="C90" s="5" t="s">
        <v>224</v>
      </c>
      <c r="D90" s="5"/>
      <c r="E90" s="32" t="s">
        <v>225</v>
      </c>
      <c r="F90" s="184">
        <f>G88</f>
        <v>0.000193</v>
      </c>
      <c r="M90" s="11" t="s">
        <v>14</v>
      </c>
      <c r="N90">
        <v>7.7</v>
      </c>
      <c r="AB90" s="11"/>
      <c r="AC90" s="11"/>
      <c r="AD90" s="11"/>
      <c r="AI90" t="s">
        <v>143</v>
      </c>
      <c r="AP90" s="33"/>
      <c r="AQ90" s="128"/>
      <c r="BO90" s="75" t="s">
        <v>163</v>
      </c>
    </row>
    <row r="91" ht="15.75" spans="3:43">
      <c r="C91" s="32" t="s">
        <v>226</v>
      </c>
      <c r="E91" t="s">
        <v>227</v>
      </c>
      <c r="F91" s="185">
        <v>3400000</v>
      </c>
      <c r="M91" s="113" t="s">
        <v>15</v>
      </c>
      <c r="N91">
        <v>7.7</v>
      </c>
      <c r="AB91" s="11"/>
      <c r="AC91" s="11"/>
      <c r="AD91" s="11"/>
      <c r="AI91" s="166"/>
      <c r="AJ91" t="s">
        <v>228</v>
      </c>
      <c r="AP91" s="33"/>
      <c r="AQ91" s="128"/>
    </row>
    <row r="92" spans="13:43">
      <c r="M92" s="110" t="s">
        <v>5</v>
      </c>
      <c r="AB92" s="11"/>
      <c r="AC92" s="11"/>
      <c r="AD92" s="11"/>
      <c r="AI92" s="166"/>
      <c r="AJ92" t="s">
        <v>229</v>
      </c>
      <c r="AP92" s="33"/>
      <c r="AQ92" s="128"/>
    </row>
    <row r="93" spans="2:67">
      <c r="B93" s="83" t="s">
        <v>230</v>
      </c>
      <c r="M93" s="11" t="s">
        <v>9</v>
      </c>
      <c r="N93">
        <v>11.27</v>
      </c>
      <c r="AB93" s="11"/>
      <c r="AC93" s="11"/>
      <c r="AD93" s="11"/>
      <c r="AI93" s="166"/>
      <c r="AJ93" t="s">
        <v>231</v>
      </c>
      <c r="AP93" s="33"/>
      <c r="AQ93" s="128"/>
      <c r="BO93" s="75" t="s">
        <v>163</v>
      </c>
    </row>
    <row r="94" spans="13:43">
      <c r="M94" s="11" t="s">
        <v>12</v>
      </c>
      <c r="N94">
        <v>11.27</v>
      </c>
      <c r="AB94" s="11"/>
      <c r="AC94" s="11"/>
      <c r="AD94" s="11"/>
      <c r="AE94" s="11"/>
      <c r="AF94" s="11"/>
      <c r="AI94" s="166"/>
      <c r="AJ94" t="s">
        <v>232</v>
      </c>
      <c r="AP94" s="33"/>
      <c r="AQ94" s="128"/>
    </row>
    <row r="95" ht="14.4" customHeight="1" spans="3:68">
      <c r="C95" s="183" t="s">
        <v>233</v>
      </c>
      <c r="D95" s="183"/>
      <c r="F95" s="186">
        <v>1e-5</v>
      </c>
      <c r="M95" s="11" t="s">
        <v>14</v>
      </c>
      <c r="N95">
        <v>11.1</v>
      </c>
      <c r="AB95" s="11"/>
      <c r="AC95" s="11"/>
      <c r="AD95" s="11"/>
      <c r="AE95" s="11"/>
      <c r="AF95" s="11"/>
      <c r="AI95" s="166"/>
      <c r="AJ95" t="s">
        <v>234</v>
      </c>
      <c r="AP95" s="33"/>
      <c r="AQ95" s="128"/>
      <c r="BP95" t="s">
        <v>143</v>
      </c>
    </row>
    <row r="96" ht="15.75" spans="3:69">
      <c r="C96" s="122" t="s">
        <v>235</v>
      </c>
      <c r="D96" s="122"/>
      <c r="F96" s="186">
        <v>8e-5</v>
      </c>
      <c r="M96" s="113" t="s">
        <v>15</v>
      </c>
      <c r="N96">
        <v>11.1</v>
      </c>
      <c r="AB96" s="11"/>
      <c r="AC96" s="11"/>
      <c r="AD96" s="11"/>
      <c r="AE96" s="11"/>
      <c r="AF96" s="11"/>
      <c r="AI96" s="166"/>
      <c r="AJ96" t="s">
        <v>236</v>
      </c>
      <c r="AP96" s="11"/>
      <c r="AQ96" s="128"/>
      <c r="BB96" s="32"/>
      <c r="BP96" s="200"/>
      <c r="BQ96" t="s">
        <v>216</v>
      </c>
    </row>
    <row r="97" spans="11:69">
      <c r="K97" s="191" t="s">
        <v>237</v>
      </c>
      <c r="M97" s="110" t="s">
        <v>6</v>
      </c>
      <c r="AB97" s="11"/>
      <c r="AC97" s="11"/>
      <c r="AD97" s="11"/>
      <c r="AP97" s="11"/>
      <c r="AQ97" s="128"/>
      <c r="BQ97" t="s">
        <v>217</v>
      </c>
    </row>
    <row r="98" ht="24.6" customHeight="1" spans="3:69">
      <c r="C98" s="5" t="s">
        <v>238</v>
      </c>
      <c r="D98" s="5"/>
      <c r="F98" s="184">
        <f>K98</f>
        <v>-10.8780145165067</v>
      </c>
      <c r="K98" s="192">
        <f>(F15-(F15-F16))*((1/F106+F101/(F110+1))/(1/F106+F101+1/F105))</f>
        <v>-10.8780145165067</v>
      </c>
      <c r="M98" s="11" t="s">
        <v>9</v>
      </c>
      <c r="N98">
        <v>5.22</v>
      </c>
      <c r="AB98" s="11"/>
      <c r="AC98" s="11"/>
      <c r="AD98" s="11"/>
      <c r="AH98" s="75" t="s">
        <v>163</v>
      </c>
      <c r="AP98" s="11"/>
      <c r="AQ98" s="128"/>
      <c r="BQ98" t="s">
        <v>219</v>
      </c>
    </row>
    <row r="99" ht="13.8" customHeight="1" spans="13:69">
      <c r="M99" s="11" t="s">
        <v>12</v>
      </c>
      <c r="N99">
        <v>5.22</v>
      </c>
      <c r="AB99" s="11"/>
      <c r="AC99" s="11"/>
      <c r="AD99" s="11"/>
      <c r="AH99" s="100">
        <f>F120</f>
        <v>0.030683694016122</v>
      </c>
      <c r="AP99" s="11"/>
      <c r="AQ99" s="128"/>
      <c r="BO99" s="204">
        <f>F82</f>
        <v>3.7690978473236e-7</v>
      </c>
      <c r="BP99" s="100"/>
      <c r="BQ99" t="s">
        <v>239</v>
      </c>
    </row>
    <row r="100" ht="14.4" customHeight="1" spans="13:43">
      <c r="M100" s="11" t="s">
        <v>14</v>
      </c>
      <c r="N100">
        <v>5.05</v>
      </c>
      <c r="AB100" s="11"/>
      <c r="AD100" s="11"/>
      <c r="AP100" s="11"/>
      <c r="AQ100" s="128"/>
    </row>
    <row r="101" ht="25.2" customHeight="1" spans="3:43">
      <c r="C101" s="5" t="s">
        <v>240</v>
      </c>
      <c r="D101" s="5"/>
      <c r="E101" s="32" t="s">
        <v>241</v>
      </c>
      <c r="F101" s="184">
        <v>0.76</v>
      </c>
      <c r="M101" s="113" t="s">
        <v>15</v>
      </c>
      <c r="N101">
        <v>5.05</v>
      </c>
      <c r="AA101" s="111"/>
      <c r="AB101" s="11"/>
      <c r="AC101" s="11"/>
      <c r="AD101" s="11"/>
      <c r="AI101" t="s">
        <v>143</v>
      </c>
      <c r="AP101" s="11"/>
      <c r="AQ101" s="128"/>
    </row>
    <row r="102" ht="16.2" customHeight="1" spans="13:43">
      <c r="M102" s="110" t="s">
        <v>7</v>
      </c>
      <c r="AA102" s="111"/>
      <c r="AB102" s="11"/>
      <c r="AC102" s="11"/>
      <c r="AD102" s="11"/>
      <c r="AH102" t="s">
        <v>163</v>
      </c>
      <c r="AI102" s="191"/>
      <c r="AJ102" t="s">
        <v>228</v>
      </c>
      <c r="AP102" s="11"/>
      <c r="AQ102" s="128"/>
    </row>
    <row r="103" ht="31.2" customHeight="1" spans="2:43">
      <c r="B103" s="187" t="s">
        <v>242</v>
      </c>
      <c r="C103" s="187"/>
      <c r="D103" s="187"/>
      <c r="M103" s="11" t="s">
        <v>10</v>
      </c>
      <c r="N103">
        <v>4.49</v>
      </c>
      <c r="P103">
        <v>133.8</v>
      </c>
      <c r="AA103" s="111"/>
      <c r="AB103" s="11"/>
      <c r="AC103" s="11"/>
      <c r="AD103" s="11"/>
      <c r="AH103" t="s">
        <v>163</v>
      </c>
      <c r="AI103" s="200"/>
      <c r="AJ103" t="s">
        <v>229</v>
      </c>
      <c r="AP103" s="11"/>
      <c r="AQ103" s="128"/>
    </row>
    <row r="104" ht="15.75" spans="13:43">
      <c r="M104" s="11" t="s">
        <v>13</v>
      </c>
      <c r="N104">
        <v>4.45</v>
      </c>
      <c r="P104">
        <v>176.3</v>
      </c>
      <c r="AA104" s="111"/>
      <c r="AB104" s="11"/>
      <c r="AC104" s="11"/>
      <c r="AD104" s="11"/>
      <c r="AH104" t="s">
        <v>163</v>
      </c>
      <c r="AI104" s="200"/>
      <c r="AJ104" t="s">
        <v>243</v>
      </c>
      <c r="AP104" s="11"/>
      <c r="AQ104" s="128"/>
    </row>
    <row r="105" spans="5:43">
      <c r="E105" s="32" t="s">
        <v>244</v>
      </c>
      <c r="F105" s="184">
        <v>23</v>
      </c>
      <c r="M105" s="127" t="s">
        <v>8</v>
      </c>
      <c r="AA105" s="111"/>
      <c r="AB105" s="11"/>
      <c r="AC105" s="11"/>
      <c r="AD105" s="11"/>
      <c r="AH105" t="s">
        <v>163</v>
      </c>
      <c r="AI105" s="191"/>
      <c r="AJ105" t="s">
        <v>231</v>
      </c>
      <c r="AP105" s="11"/>
      <c r="AQ105" s="128"/>
    </row>
    <row r="106" customHeight="1" spans="5:43">
      <c r="E106" s="32" t="s">
        <v>245</v>
      </c>
      <c r="F106" s="184">
        <v>8</v>
      </c>
      <c r="M106" s="128" t="s">
        <v>10</v>
      </c>
      <c r="N106">
        <v>6.72</v>
      </c>
      <c r="AA106" s="111"/>
      <c r="AB106" s="11"/>
      <c r="AC106" s="11"/>
      <c r="AD106" s="11"/>
      <c r="AH106" t="s">
        <v>163</v>
      </c>
      <c r="AI106" s="191"/>
      <c r="AJ106" t="s">
        <v>232</v>
      </c>
      <c r="AP106" s="11"/>
      <c r="AQ106" s="128"/>
    </row>
    <row r="107" ht="0.6" hidden="1" customHeight="1" spans="13:43">
      <c r="M107" s="128" t="s">
        <v>13</v>
      </c>
      <c r="AA107" s="111"/>
      <c r="AB107" s="11"/>
      <c r="AC107" s="11"/>
      <c r="AD107" s="11"/>
      <c r="AH107" t="s">
        <v>163</v>
      </c>
      <c r="AI107" s="191"/>
      <c r="AJ107" t="s">
        <v>234</v>
      </c>
      <c r="AP107" s="11"/>
      <c r="AQ107" s="128"/>
    </row>
    <row r="108" ht="13.8" customHeight="1" spans="13:43">
      <c r="M108" s="11" t="s">
        <v>13</v>
      </c>
      <c r="N108">
        <v>6.77</v>
      </c>
      <c r="AA108" s="111"/>
      <c r="AB108" s="11"/>
      <c r="AC108" s="11"/>
      <c r="AD108" s="11"/>
      <c r="AI108" s="191"/>
      <c r="AP108" s="11"/>
      <c r="AQ108" s="128"/>
    </row>
    <row r="109" ht="3" customHeight="1" spans="27:43">
      <c r="AA109" s="111"/>
      <c r="AB109" s="11"/>
      <c r="AC109" s="11"/>
      <c r="AD109" s="11"/>
      <c r="AI109" s="191"/>
      <c r="AP109" s="11"/>
      <c r="AQ109" s="128"/>
    </row>
    <row r="110" ht="23.4" customHeight="1" spans="2:43">
      <c r="B110" s="5" t="s">
        <v>246</v>
      </c>
      <c r="C110" s="5"/>
      <c r="D110" s="5"/>
      <c r="F110" s="188">
        <f>G110</f>
        <v>1</v>
      </c>
      <c r="G110" s="100">
        <f>IF(OR(B19=L115,B19=L116,B19=L117,B19=L118),M115,IF(B19=L119,M119,IF(B19=L120,M120,IF(B19=L121,M121))))</f>
        <v>1</v>
      </c>
      <c r="AA110" s="111"/>
      <c r="AB110" s="11"/>
      <c r="AC110" s="11"/>
      <c r="AD110" s="11"/>
      <c r="AP110" s="11"/>
      <c r="AQ110" s="128"/>
    </row>
    <row r="111" ht="27.6" customHeight="1" spans="2:43">
      <c r="B111" s="5"/>
      <c r="C111" s="5"/>
      <c r="D111" s="5"/>
      <c r="F111" s="188"/>
      <c r="AA111" s="111"/>
      <c r="AB111" s="11"/>
      <c r="AC111" s="11"/>
      <c r="AD111" s="11"/>
      <c r="AI111" s="166"/>
      <c r="AJ111" t="s">
        <v>215</v>
      </c>
      <c r="AP111" s="11"/>
      <c r="AQ111" s="128"/>
    </row>
    <row r="112" spans="27:43">
      <c r="AA112" s="111"/>
      <c r="AB112" s="11"/>
      <c r="AC112" s="11"/>
      <c r="AD112" s="11"/>
      <c r="AP112" s="11"/>
      <c r="AQ112" s="128"/>
    </row>
    <row r="113" ht="31.2" customHeight="1" spans="2:43">
      <c r="B113" s="187" t="s">
        <v>247</v>
      </c>
      <c r="C113" s="187"/>
      <c r="D113" s="187"/>
      <c r="AA113" s="111"/>
      <c r="AB113" s="11"/>
      <c r="AC113" s="11"/>
      <c r="AD113" s="11"/>
      <c r="AP113" s="11"/>
      <c r="AQ113" s="128"/>
    </row>
    <row r="114" ht="15.75" spans="12:43">
      <c r="L114" s="109" t="s">
        <v>248</v>
      </c>
      <c r="M114" s="193"/>
      <c r="AA114" s="111"/>
      <c r="AB114" s="199" t="s">
        <v>249</v>
      </c>
      <c r="AD114" s="11"/>
      <c r="AP114" s="11"/>
      <c r="AQ114" s="128"/>
    </row>
    <row r="115" ht="15.75" spans="5:43">
      <c r="E115" s="63" t="s">
        <v>250</v>
      </c>
      <c r="F115" s="184">
        <f>G115</f>
        <v>1.11</v>
      </c>
      <c r="G115" s="100">
        <f>M55</f>
        <v>1.11</v>
      </c>
      <c r="L115" s="109" t="s">
        <v>2</v>
      </c>
      <c r="M115" s="194">
        <v>1</v>
      </c>
      <c r="AA115" s="111"/>
      <c r="AB115" s="11"/>
      <c r="AC115" s="11"/>
      <c r="AD115" s="11"/>
      <c r="AP115" s="11"/>
      <c r="AQ115" s="128"/>
    </row>
    <row r="116" ht="15.75" spans="5:43">
      <c r="E116" s="103" t="s">
        <v>251</v>
      </c>
      <c r="F116" s="184">
        <f>G116</f>
        <v>0.8</v>
      </c>
      <c r="G116" s="100">
        <f>N55</f>
        <v>0.8</v>
      </c>
      <c r="L116" s="125" t="s">
        <v>3</v>
      </c>
      <c r="M116" s="194">
        <v>1</v>
      </c>
      <c r="AA116" s="111"/>
      <c r="AB116" s="11"/>
      <c r="AC116" s="11"/>
      <c r="AD116" s="11"/>
      <c r="AE116" s="11"/>
      <c r="AF116" s="11"/>
      <c r="AP116" s="11"/>
      <c r="AQ116" s="128"/>
    </row>
    <row r="117" ht="15.75" spans="12:43">
      <c r="L117" s="125" t="s">
        <v>4</v>
      </c>
      <c r="M117" s="194">
        <v>1</v>
      </c>
      <c r="AA117" s="111"/>
      <c r="AB117" s="11"/>
      <c r="AC117" s="11"/>
      <c r="AD117" s="11"/>
      <c r="AE117" s="11"/>
      <c r="AF117" s="11"/>
      <c r="AP117" s="11"/>
      <c r="AQ117" s="128"/>
    </row>
    <row r="118" ht="15.75" spans="3:43">
      <c r="C118" s="32" t="s">
        <v>252</v>
      </c>
      <c r="E118" s="32" t="s">
        <v>253</v>
      </c>
      <c r="F118" s="184">
        <f>G118</f>
        <v>0.07</v>
      </c>
      <c r="G118" s="189">
        <f>IF(OR(B19=K3,B19=O3,B19=P3,B19=L3),0.06,IF(OR(B19=M3,B19=Q3,B19=N3),0.07))</f>
        <v>0.07</v>
      </c>
      <c r="L118" s="125" t="s">
        <v>5</v>
      </c>
      <c r="M118" s="194">
        <v>1</v>
      </c>
      <c r="AA118" s="111"/>
      <c r="AB118" s="11"/>
      <c r="AC118" s="11"/>
      <c r="AD118" s="11"/>
      <c r="AE118" s="11"/>
      <c r="AF118" s="11"/>
      <c r="AP118" s="11"/>
      <c r="AQ118" s="128"/>
    </row>
    <row r="119" ht="15.75" spans="12:43">
      <c r="L119" s="125" t="s">
        <v>6</v>
      </c>
      <c r="M119" s="194">
        <v>2</v>
      </c>
      <c r="AA119" s="111"/>
      <c r="AB119" s="11"/>
      <c r="AC119" s="11"/>
      <c r="AD119" s="11"/>
      <c r="AE119" s="11"/>
      <c r="AF119" s="11"/>
      <c r="AP119" s="11"/>
      <c r="AQ119" s="128"/>
    </row>
    <row r="120" ht="26.4" customHeight="1" spans="3:43">
      <c r="C120" s="68" t="s">
        <v>254</v>
      </c>
      <c r="D120" s="68"/>
      <c r="E120" s="63" t="s">
        <v>255</v>
      </c>
      <c r="F120" s="188">
        <f>F96*((F15-F16)/F118)*(F101/((1/F106)+F101+(1/F105)))*F116</f>
        <v>0.030683694016122</v>
      </c>
      <c r="L120" s="125" t="s">
        <v>7</v>
      </c>
      <c r="M120" s="194">
        <v>0.5</v>
      </c>
      <c r="AA120" s="111"/>
      <c r="AB120" s="11"/>
      <c r="AC120" s="11"/>
      <c r="AD120" s="11"/>
      <c r="AE120" s="11"/>
      <c r="AF120" s="11"/>
      <c r="AP120" s="11"/>
      <c r="AQ120" s="128"/>
    </row>
    <row r="121" spans="12:43">
      <c r="L121" s="195" t="s">
        <v>8</v>
      </c>
      <c r="M121" s="194">
        <v>1.25</v>
      </c>
      <c r="AA121" s="111"/>
      <c r="AB121" s="11"/>
      <c r="AC121" s="11"/>
      <c r="AD121" s="11"/>
      <c r="AE121" s="11"/>
      <c r="AF121" s="11"/>
      <c r="AP121" s="11"/>
      <c r="AQ121" s="128"/>
    </row>
    <row r="122" ht="15.75" spans="12:43">
      <c r="L122" s="112"/>
      <c r="M122" s="154"/>
      <c r="AA122" s="111"/>
      <c r="AB122" s="11"/>
      <c r="AC122" s="11"/>
      <c r="AD122" s="11"/>
      <c r="AE122" s="11"/>
      <c r="AF122" s="11"/>
      <c r="AP122" s="11"/>
      <c r="AQ122" s="128"/>
    </row>
    <row r="123" spans="27:43">
      <c r="AA123" s="111"/>
      <c r="AB123" s="11"/>
      <c r="AC123" s="11"/>
      <c r="AD123" s="11"/>
      <c r="AE123" s="11"/>
      <c r="AF123" s="11"/>
      <c r="AP123" s="11"/>
      <c r="AQ123" s="128"/>
    </row>
    <row r="124" spans="27:43">
      <c r="AA124" s="111"/>
      <c r="AB124" s="11"/>
      <c r="AC124" s="11"/>
      <c r="AD124" s="11"/>
      <c r="AE124" s="11"/>
      <c r="AF124" s="11"/>
      <c r="AP124" s="11"/>
      <c r="AQ124" s="128"/>
    </row>
    <row r="125" spans="27:43">
      <c r="AA125" s="1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28"/>
    </row>
    <row r="126" spans="27:43">
      <c r="AA126" s="1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28"/>
    </row>
    <row r="127" spans="27:43">
      <c r="AA127" s="1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28"/>
    </row>
    <row r="128" spans="27:43">
      <c r="AA128" s="1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28"/>
    </row>
    <row r="129" spans="27:43">
      <c r="AA129" s="1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28"/>
    </row>
    <row r="130" spans="27:43">
      <c r="AA130" s="1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28"/>
    </row>
    <row r="131" spans="27:43">
      <c r="AA131" s="1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28"/>
    </row>
    <row r="132" spans="27:43">
      <c r="AA132" s="1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28"/>
    </row>
    <row r="133" spans="27:43">
      <c r="AA133" s="1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28"/>
    </row>
    <row r="134" spans="27:43">
      <c r="AA134" s="1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28"/>
    </row>
    <row r="135" spans="27:43">
      <c r="AA135" s="1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28"/>
    </row>
    <row r="136" spans="27:43">
      <c r="AA136" s="1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28"/>
    </row>
    <row r="137" spans="27:43">
      <c r="AA137" s="1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28"/>
    </row>
    <row r="138" spans="27:43">
      <c r="AA138" s="1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28"/>
    </row>
    <row r="139" spans="27:43">
      <c r="AA139" s="1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28"/>
    </row>
    <row r="140" spans="27:43">
      <c r="AA140" s="1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28"/>
    </row>
    <row r="141" spans="27:43">
      <c r="AA141" s="1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28"/>
    </row>
    <row r="142" spans="27:43">
      <c r="AA142" s="111"/>
      <c r="AB142" s="199" t="s">
        <v>256</v>
      </c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28"/>
    </row>
    <row r="143" spans="27:43">
      <c r="AA143" s="1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28"/>
    </row>
    <row r="144" spans="27:43">
      <c r="AA144" s="1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28"/>
    </row>
    <row r="145" spans="27:43">
      <c r="AA145" s="1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28"/>
    </row>
    <row r="146" spans="27:43">
      <c r="AA146" s="1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28"/>
    </row>
    <row r="147" spans="27:43">
      <c r="AA147" s="1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28"/>
    </row>
    <row r="148" spans="27:43">
      <c r="AA148" s="1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28"/>
    </row>
    <row r="149" spans="27:43">
      <c r="AA149" s="1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28"/>
    </row>
    <row r="150" spans="27:43">
      <c r="AA150" s="1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28"/>
    </row>
    <row r="151" spans="27:43">
      <c r="AA151" s="1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28"/>
    </row>
    <row r="152" spans="27:43">
      <c r="AA152" s="1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28"/>
    </row>
    <row r="153" spans="27:43">
      <c r="AA153" s="1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28"/>
    </row>
    <row r="154" spans="27:43">
      <c r="AA154" s="1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28"/>
    </row>
    <row r="155" spans="27:43">
      <c r="AA155" s="1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28"/>
    </row>
    <row r="156" spans="27:43">
      <c r="AA156" s="1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28"/>
    </row>
    <row r="157" spans="27:43">
      <c r="AA157" s="1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28"/>
    </row>
    <row r="158" spans="27:43">
      <c r="AA158" s="1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28"/>
    </row>
    <row r="159" spans="27:43">
      <c r="AA159" s="205" t="s">
        <v>257</v>
      </c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28"/>
    </row>
    <row r="160" spans="27:43">
      <c r="AA160" s="1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28"/>
    </row>
    <row r="161" spans="27:43">
      <c r="AA161" s="1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28"/>
    </row>
    <row r="162" spans="27:43">
      <c r="AA162" s="1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28"/>
    </row>
    <row r="163" spans="27:43">
      <c r="AA163" s="1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28"/>
    </row>
    <row r="164" spans="27:43">
      <c r="AA164" s="1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28"/>
    </row>
    <row r="165" spans="27:43">
      <c r="AA165" s="1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28"/>
    </row>
    <row r="166" spans="27:43">
      <c r="AA166" s="1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28"/>
    </row>
    <row r="167" spans="27:43">
      <c r="AA167" s="1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28"/>
    </row>
    <row r="168" spans="27:43">
      <c r="AA168" s="1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28"/>
    </row>
    <row r="169" ht="15.75" spans="27:43">
      <c r="AA169" s="112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54"/>
    </row>
    <row r="177" spans="26:26">
      <c r="Z177" t="e">
        <f>#REF!*#REF!*(1+#REF!)*F36*F47</f>
        <v>#REF!</v>
      </c>
    </row>
  </sheetData>
  <mergeCells count="29">
    <mergeCell ref="A2:F2"/>
    <mergeCell ref="A3:F3"/>
    <mergeCell ref="C15:D15"/>
    <mergeCell ref="C16:D16"/>
    <mergeCell ref="C17:D17"/>
    <mergeCell ref="Q23:S23"/>
    <mergeCell ref="C24:D24"/>
    <mergeCell ref="C29:D29"/>
    <mergeCell ref="V40:X40"/>
    <mergeCell ref="C46:D46"/>
    <mergeCell ref="C47:D47"/>
    <mergeCell ref="C54:D54"/>
    <mergeCell ref="B57:D57"/>
    <mergeCell ref="B58:D58"/>
    <mergeCell ref="C77:D77"/>
    <mergeCell ref="C89:D89"/>
    <mergeCell ref="C90:D90"/>
    <mergeCell ref="C95:D95"/>
    <mergeCell ref="C96:D96"/>
    <mergeCell ref="C98:D98"/>
    <mergeCell ref="C101:D101"/>
    <mergeCell ref="B103:D103"/>
    <mergeCell ref="B113:D113"/>
    <mergeCell ref="L114:M114"/>
    <mergeCell ref="C120:D120"/>
    <mergeCell ref="F110:F111"/>
    <mergeCell ref="P23:P24"/>
    <mergeCell ref="U40:U43"/>
    <mergeCell ref="B110:D111"/>
  </mergeCells>
  <dataValidations count="6">
    <dataValidation type="list" allowBlank="1" showInputMessage="1" showErrorMessage="1" sqref="R7 B21">
      <formula1>INDIRECT($B$19)</formula1>
    </dataValidation>
    <dataValidation type="list" allowBlank="1" showInputMessage="1" showErrorMessage="1" sqref="B8 CA18 A60">
      <formula1>$V$10:$V$17</formula1>
    </dataValidation>
    <dataValidation type="list" allowBlank="1" showInputMessage="1" showErrorMessage="1" sqref="D8">
      <formula1>$L$33:$L$35</formula1>
    </dataValidation>
    <dataValidation type="list" allowBlank="1" showInputMessage="1" showErrorMessage="1" sqref="B12 CA29 CA39 A70 A80">
      <formula1>$V$27:$V$29</formula1>
    </dataValidation>
    <dataValidation type="list" allowBlank="1" showInputMessage="1" showErrorMessage="1" sqref="B19">
      <formula1>$K$3:$Q$3</formula1>
    </dataValidation>
    <dataValidation type="list" allowBlank="1" showInputMessage="1" showErrorMessage="1" sqref="B20">
      <formula1>$AG$38:$AG$39</formula1>
    </dataValidation>
  </dataValidations>
  <pageMargins left="0.7" right="0.7" top="0.75" bottom="0.75" header="0.3" footer="0.3"/>
  <pageSetup paperSize="9" orientation="portrait"/>
  <headerFooter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5"/>
  <sheetViews>
    <sheetView zoomScale="85" zoomScaleNormal="85" topLeftCell="A4" workbookViewId="0">
      <selection activeCell="H12" sqref="H12"/>
    </sheetView>
  </sheetViews>
  <sheetFormatPr defaultColWidth="9" defaultRowHeight="15"/>
  <cols>
    <col min="8" max="8" width="5.33333333333333" customWidth="1"/>
    <col min="9" max="9" width="9.21904761904762" customWidth="1"/>
  </cols>
  <sheetData>
    <row r="1" ht="14.4" customHeight="1" spans="3:16">
      <c r="C1" s="1"/>
      <c r="D1" s="1"/>
      <c r="E1" s="2"/>
      <c r="F1" s="2"/>
      <c r="G1" s="2"/>
      <c r="H1" s="2"/>
      <c r="I1" s="2"/>
      <c r="J1" s="2"/>
      <c r="K1" s="2"/>
      <c r="L1" s="30"/>
      <c r="M1" s="30"/>
      <c r="N1" s="30"/>
      <c r="O1" s="30"/>
      <c r="P1" s="30"/>
    </row>
    <row r="2" ht="14.4" customHeight="1" spans="3:16">
      <c r="C2" s="1"/>
      <c r="D2" s="1"/>
      <c r="E2" s="3" t="s">
        <v>0</v>
      </c>
      <c r="F2" s="4"/>
      <c r="G2" s="4"/>
      <c r="H2" s="4"/>
      <c r="I2" s="4"/>
      <c r="J2" s="4"/>
      <c r="K2" s="2"/>
      <c r="L2" s="30"/>
      <c r="M2" s="30"/>
      <c r="N2" s="30"/>
      <c r="O2" s="30"/>
      <c r="P2" s="30"/>
    </row>
    <row r="3" ht="14.4" customHeight="1" spans="3:16">
      <c r="C3" s="1"/>
      <c r="D3" s="1"/>
      <c r="E3" s="4"/>
      <c r="F3" s="4"/>
      <c r="G3" s="4"/>
      <c r="H3" s="4"/>
      <c r="I3" s="4"/>
      <c r="J3" s="4"/>
      <c r="K3" s="30"/>
      <c r="L3" s="30"/>
      <c r="M3" s="30"/>
      <c r="N3" s="30"/>
      <c r="O3" s="30"/>
      <c r="P3" s="30"/>
    </row>
    <row r="4" ht="14.4" customHeight="1" spans="2:16">
      <c r="B4" s="5" t="s">
        <v>163</v>
      </c>
      <c r="C4" s="6"/>
      <c r="D4" s="6"/>
      <c r="E4" s="4"/>
      <c r="F4" s="4"/>
      <c r="G4" s="4"/>
      <c r="H4" s="4"/>
      <c r="I4" s="4"/>
      <c r="J4" s="4"/>
      <c r="K4" s="30"/>
      <c r="L4" s="30"/>
      <c r="M4" s="30"/>
      <c r="N4" s="30"/>
      <c r="O4" s="30"/>
      <c r="P4" s="30"/>
    </row>
    <row r="5" ht="14.4" customHeight="1" spans="2:16">
      <c r="B5" s="7"/>
      <c r="C5" s="6"/>
      <c r="D5" s="6"/>
      <c r="E5" s="6"/>
      <c r="F5" s="6"/>
      <c r="G5" s="6"/>
      <c r="H5" s="6"/>
      <c r="I5" s="6"/>
      <c r="J5" s="6"/>
      <c r="K5" s="30"/>
      <c r="L5" s="30"/>
      <c r="M5" s="30"/>
      <c r="N5" s="30"/>
      <c r="O5" s="30"/>
      <c r="P5" s="30"/>
    </row>
    <row r="6" ht="14.4" customHeight="1" spans="2:16">
      <c r="B6" s="8"/>
      <c r="C6" s="9"/>
      <c r="D6" s="9"/>
      <c r="E6" s="9"/>
      <c r="F6" s="9"/>
      <c r="G6" s="9"/>
      <c r="H6" s="9"/>
      <c r="I6" s="9"/>
      <c r="J6" s="9"/>
      <c r="K6" s="30"/>
      <c r="L6" s="30"/>
      <c r="M6" s="30"/>
      <c r="N6" s="30"/>
      <c r="O6" s="30"/>
      <c r="P6" s="30"/>
    </row>
    <row r="7" spans="2:18">
      <c r="B7" s="8"/>
      <c r="C7" s="10"/>
      <c r="D7" s="10"/>
      <c r="E7" s="10"/>
      <c r="F7" s="10"/>
      <c r="G7" s="10"/>
      <c r="H7" s="10"/>
      <c r="I7" s="14"/>
      <c r="J7" s="14"/>
      <c r="K7" s="31"/>
      <c r="L7" s="31"/>
      <c r="M7" s="31"/>
      <c r="N7" s="31"/>
      <c r="O7" s="31"/>
      <c r="P7" s="31"/>
      <c r="Q7" s="31"/>
      <c r="R7" s="31"/>
    </row>
    <row r="8" ht="15.75" spans="3:18">
      <c r="C8" s="11"/>
      <c r="D8" s="11"/>
      <c r="E8" s="12"/>
      <c r="F8" s="13"/>
      <c r="G8" s="13"/>
      <c r="H8" s="14"/>
      <c r="I8" s="14"/>
      <c r="J8" s="14"/>
      <c r="K8" s="31"/>
      <c r="L8" s="31"/>
      <c r="M8" s="31"/>
      <c r="N8" s="31"/>
      <c r="O8" s="31"/>
      <c r="P8" s="31"/>
      <c r="Q8" s="31"/>
      <c r="R8" s="31"/>
    </row>
    <row r="9" ht="15.75" spans="4:5">
      <c r="D9" s="15" t="s">
        <v>258</v>
      </c>
      <c r="E9" s="16" t="s">
        <v>18</v>
      </c>
    </row>
    <row r="10" ht="15.75" spans="4:5">
      <c r="D10" s="17"/>
      <c r="E10" s="18"/>
    </row>
    <row r="11" ht="15.75" spans="4:5">
      <c r="D11" s="15" t="s">
        <v>21</v>
      </c>
      <c r="E11" s="19">
        <v>20</v>
      </c>
    </row>
    <row r="12" ht="15.75" spans="4:5">
      <c r="D12" s="17"/>
      <c r="E12" s="20"/>
    </row>
    <row r="13" ht="15.75" spans="4:5">
      <c r="D13" s="15" t="s">
        <v>24</v>
      </c>
      <c r="E13" s="19">
        <v>30</v>
      </c>
    </row>
    <row r="14" ht="15.75" spans="4:5">
      <c r="D14" s="21"/>
      <c r="E14" s="20"/>
    </row>
    <row r="15" ht="45.75" spans="4:5">
      <c r="D15" s="22" t="s">
        <v>259</v>
      </c>
      <c r="E15" s="19">
        <v>15</v>
      </c>
    </row>
    <row r="16" ht="15.75" spans="4:5">
      <c r="D16" s="23"/>
      <c r="E16" s="20"/>
    </row>
    <row r="17" ht="15.75" spans="4:5">
      <c r="D17" s="15" t="s">
        <v>260</v>
      </c>
      <c r="E17" s="16" t="s">
        <v>23</v>
      </c>
    </row>
    <row r="18" ht="15.75" spans="4:5">
      <c r="D18" s="21"/>
      <c r="E18" s="21"/>
    </row>
    <row r="19" ht="15.75" spans="4:5">
      <c r="D19" s="15" t="s">
        <v>261</v>
      </c>
      <c r="E19" s="19">
        <v>194</v>
      </c>
    </row>
    <row r="20" ht="15.75" spans="4:5">
      <c r="D20" s="21"/>
      <c r="E20" s="24"/>
    </row>
    <row r="21" ht="15.75" spans="4:5">
      <c r="D21" s="15" t="s">
        <v>38</v>
      </c>
      <c r="E21" s="19">
        <v>189</v>
      </c>
    </row>
    <row r="22" ht="15.75" spans="4:5">
      <c r="D22" s="25"/>
      <c r="E22" s="25"/>
    </row>
    <row r="23" ht="15.75" spans="4:5">
      <c r="D23" s="15" t="s">
        <v>40</v>
      </c>
      <c r="E23" s="19">
        <v>63</v>
      </c>
    </row>
    <row r="24" ht="15.75" spans="4:5">
      <c r="D24" s="17"/>
      <c r="E24" s="17"/>
    </row>
    <row r="25" ht="15.75" spans="4:5">
      <c r="D25" s="15" t="s">
        <v>44</v>
      </c>
      <c r="E25" s="19">
        <v>0</v>
      </c>
    </row>
    <row r="26" ht="15.75" spans="4:5">
      <c r="D26" s="17"/>
      <c r="E26" s="17"/>
    </row>
    <row r="27" ht="15.75" spans="4:5">
      <c r="D27" s="26" t="s">
        <v>48</v>
      </c>
      <c r="E27" s="27">
        <f>E19-E25</f>
        <v>194</v>
      </c>
    </row>
    <row r="28" ht="15.75" spans="4:5">
      <c r="D28" s="25"/>
      <c r="E28" s="25"/>
    </row>
    <row r="29" ht="15.75" spans="4:5">
      <c r="D29" s="26" t="s">
        <v>262</v>
      </c>
      <c r="E29" s="27">
        <f>IF(E11&lt;=E13,E11,IF(AND(E11&lt;E13,E11&lt;=2*E13),IF((E11-E13)&lt;=E15,E11,E13),IF((E11-E13)&lt;=E15,E11,IF(AND(E15&gt;0,E15&lt;=E13),E13,E15))))</f>
        <v>20</v>
      </c>
    </row>
    <row r="30" ht="15.75" spans="4:5">
      <c r="D30" s="21"/>
      <c r="E30" s="24"/>
    </row>
    <row r="31" ht="15.75" spans="4:5">
      <c r="D31" s="26" t="s">
        <v>263</v>
      </c>
      <c r="E31" s="28" t="str">
        <f>IFERROR(INDEX(AI85:AK95,AP94,AP89),"-")</f>
        <v>-</v>
      </c>
    </row>
    <row r="32" ht="15.75" spans="4:5">
      <c r="D32" s="21"/>
      <c r="E32" s="24"/>
    </row>
    <row r="33" ht="15.75" spans="4:5">
      <c r="D33" s="26" t="s">
        <v>264</v>
      </c>
      <c r="E33" s="28" t="str">
        <f>IFERROR(INDEX(AI105:AK115,AP94,AP89),"-")</f>
        <v>-</v>
      </c>
    </row>
    <row r="34" ht="15.75" spans="4:5">
      <c r="D34" s="21"/>
      <c r="E34" s="24"/>
    </row>
    <row r="35" ht="15.75" spans="4:5">
      <c r="D35" s="26" t="s">
        <v>119</v>
      </c>
      <c r="E35" s="29" t="str">
        <f>IFERROR(AP76*E31*0.8*(1+E33),"-")</f>
        <v>-</v>
      </c>
    </row>
  </sheetData>
  <mergeCells count="1">
    <mergeCell ref="E2:J4"/>
  </mergeCells>
  <dataValidations count="2">
    <dataValidation type="list" allowBlank="1" showInputMessage="1" showErrorMessage="1" sqref="E17 E20 E30">
      <formula1>$AN$85:$AN$87</formula1>
    </dataValidation>
    <dataValidation type="list" allowBlank="1" showInputMessage="1" showErrorMessage="1" sqref="E9:E10">
      <formula1>$AN$72:$AN$79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Сергей</dc:creator>
  <cp:lastModifiedBy>rocki</cp:lastModifiedBy>
  <dcterms:created xsi:type="dcterms:W3CDTF">2024-08-13T08:58:00Z</dcterms:created>
  <cp:lastPrinted>2025-02-27T13:55:00Z</cp:lastPrinted>
  <dcterms:modified xsi:type="dcterms:W3CDTF">2025-04-11T14:08:18Z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DE09CDD0A1814571ADF17AD43B03F745_12</vt:lpwstr>
  </property>
  <property fmtid="{D5CDD505-2E9C-101B-9397-08002B2CF9AE}" pid="3" name="KSOProductBuildVer">
    <vt:lpwstr>1049-12.2.0.20782</vt:lpwstr>
  </property>
</Properties>
</file>