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Leandro Diniz\Desktop\Canal Pessoal no youtube\Personal Advisor\Metodologia\"/>
    </mc:Choice>
  </mc:AlternateContent>
  <bookViews>
    <workbookView xWindow="0" yWindow="0" windowWidth="23040" windowHeight="10092" tabRatio="784" firstSheet="1" activeTab="6"/>
  </bookViews>
  <sheets>
    <sheet name="Planilha1" sheetId="1" r:id="rId1"/>
    <sheet name="Questionário - Lucro Real" sheetId="2" r:id="rId2"/>
    <sheet name="Questionário - Provisões tempor" sheetId="6" r:id="rId3"/>
    <sheet name="Questionário - Lei 12973" sheetId="5" r:id="rId4"/>
    <sheet name="Taxas de depreciação" sheetId="3" state="hidden" r:id="rId5"/>
    <sheet name="Planilha4" sheetId="4" state="hidden" r:id="rId6"/>
    <sheet name="Obrigações Assessórias" sheetId="9" r:id="rId7"/>
    <sheet name="Benefícios Fiscais" sheetId="10" r:id="rId8"/>
    <sheet name="Lucro da Exploração" sheetId="12" r:id="rId9"/>
    <sheet name="Matriz de respostas" sheetId="8" r:id="rId10"/>
  </sheets>
  <definedNames>
    <definedName name="_xlnm._FilterDatabase" localSheetId="5" hidden="1">Planilha4!$B$2:$E$264</definedName>
    <definedName name="_xlnm._FilterDatabase" localSheetId="4" hidden="1">'Taxas de depreciação'!$I$2:$M$269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 i="12" l="1"/>
  <c r="G13" i="12"/>
  <c r="G12" i="12"/>
  <c r="G11" i="12"/>
  <c r="G10" i="12"/>
  <c r="G9" i="12"/>
  <c r="F8" i="12"/>
  <c r="B9" i="12"/>
  <c r="B8" i="12"/>
  <c r="F13" i="12" l="1"/>
  <c r="F12" i="12"/>
  <c r="F11" i="12"/>
  <c r="F10" i="12"/>
  <c r="F9" i="12"/>
  <c r="F7" i="12"/>
  <c r="G7" i="12" s="1"/>
  <c r="F6" i="12"/>
  <c r="G6" i="12" s="1"/>
  <c r="F16" i="12" l="1"/>
  <c r="G18" i="10"/>
  <c r="G17" i="10"/>
  <c r="G16" i="10"/>
  <c r="H16" i="10" s="1"/>
  <c r="G15" i="10"/>
  <c r="H15" i="10" s="1"/>
  <c r="G14" i="10"/>
  <c r="H14" i="10" s="1"/>
  <c r="G13" i="10"/>
  <c r="H13" i="10" s="1"/>
  <c r="G12" i="10"/>
  <c r="H12" i="10" s="1"/>
  <c r="G11" i="10"/>
  <c r="H11" i="10" s="1"/>
  <c r="G10" i="10"/>
  <c r="H10" i="10" s="1"/>
  <c r="G9" i="10"/>
  <c r="H9" i="10" s="1"/>
  <c r="G8" i="10" l="1"/>
  <c r="H8" i="10" s="1"/>
  <c r="G7" i="10"/>
  <c r="H7" i="10" s="1"/>
  <c r="G6" i="10"/>
  <c r="H6" i="10" s="1"/>
  <c r="G14" i="9"/>
  <c r="F11" i="9"/>
  <c r="G11" i="9" s="1"/>
  <c r="G10" i="9"/>
  <c r="G8" i="9"/>
  <c r="F8" i="9"/>
  <c r="H16" i="9"/>
  <c r="G16" i="9"/>
  <c r="F16" i="9"/>
  <c r="F15" i="9"/>
  <c r="G15" i="9" s="1"/>
  <c r="F14" i="9"/>
  <c r="F13" i="9"/>
  <c r="G13" i="9" s="1"/>
  <c r="H13" i="9" s="1"/>
  <c r="G12" i="9"/>
  <c r="F12" i="9"/>
  <c r="F10" i="9"/>
  <c r="G9" i="9"/>
  <c r="F9" i="9"/>
  <c r="F7" i="9"/>
  <c r="G7" i="9" s="1"/>
  <c r="H7" i="9" s="1"/>
  <c r="B7" i="12"/>
  <c r="B10" i="12" s="1"/>
  <c r="B11" i="12" s="1"/>
  <c r="B12" i="12" s="1"/>
  <c r="B13" i="12" s="1"/>
  <c r="B7" i="10"/>
  <c r="B8" i="10" s="1"/>
  <c r="B17" i="10" s="1"/>
  <c r="B18" i="10" s="1"/>
  <c r="B8" i="9"/>
  <c r="B9" i="9" s="1"/>
  <c r="B10" i="9" s="1"/>
  <c r="B11" i="9" s="1"/>
  <c r="B12" i="9" s="1"/>
  <c r="B13" i="9" s="1"/>
  <c r="B14" i="9" s="1"/>
  <c r="B15" i="9" s="1"/>
  <c r="B16" i="9" s="1"/>
  <c r="H18" i="10" l="1"/>
  <c r="H17" i="10"/>
  <c r="I10" i="10"/>
  <c r="I11" i="10" s="1"/>
  <c r="H8" i="9"/>
  <c r="F19" i="9" s="1"/>
  <c r="F15" i="5"/>
  <c r="G13" i="5"/>
  <c r="F4" i="5"/>
  <c r="F8" i="5"/>
  <c r="F22" i="5"/>
  <c r="F21" i="5"/>
  <c r="F20" i="5"/>
  <c r="F19" i="5"/>
  <c r="G19" i="5" s="1"/>
  <c r="F18" i="5"/>
  <c r="G20" i="5" l="1"/>
  <c r="G21" i="5"/>
  <c r="G22" i="5"/>
  <c r="H22" i="5" s="1"/>
  <c r="I22" i="5" s="1"/>
  <c r="G18" i="5"/>
  <c r="G21" i="10"/>
  <c r="F17" i="5"/>
  <c r="G17" i="5" s="1"/>
  <c r="F16" i="5"/>
  <c r="G16" i="5" s="1"/>
  <c r="G15" i="5"/>
  <c r="B16" i="5"/>
  <c r="B15" i="5"/>
  <c r="F14" i="5"/>
  <c r="G14" i="5" s="1"/>
  <c r="F13" i="5"/>
  <c r="F12" i="5" l="1"/>
  <c r="G12" i="5" s="1"/>
  <c r="F11" i="5"/>
  <c r="G11" i="5" s="1"/>
  <c r="F10" i="5"/>
  <c r="G10" i="5" s="1"/>
  <c r="F9" i="5"/>
  <c r="G9" i="5" s="1"/>
  <c r="F7" i="5"/>
  <c r="G8" i="5" s="1"/>
  <c r="F6" i="5"/>
  <c r="G6" i="5" s="1"/>
  <c r="F5" i="5"/>
  <c r="G5" i="5" s="1"/>
  <c r="G4" i="5"/>
  <c r="F13" i="6"/>
  <c r="G7" i="5" l="1"/>
  <c r="F26" i="5" s="1"/>
  <c r="G13" i="6"/>
  <c r="F12" i="6"/>
  <c r="G12" i="6" s="1"/>
  <c r="G10" i="6"/>
  <c r="G5" i="6"/>
  <c r="F10" i="6"/>
  <c r="F11" i="6"/>
  <c r="G11" i="6" s="1"/>
  <c r="F16" i="6" l="1"/>
  <c r="F9" i="6"/>
  <c r="G9" i="6" s="1"/>
  <c r="F8" i="6"/>
  <c r="G8" i="6" s="1"/>
  <c r="F7" i="6"/>
  <c r="G7" i="6" s="1"/>
  <c r="F6" i="6"/>
  <c r="G6" i="6" s="1"/>
  <c r="F5" i="6"/>
  <c r="B5" i="5"/>
  <c r="B6" i="5" s="1"/>
  <c r="B7" i="5" s="1"/>
  <c r="B8" i="5" s="1"/>
  <c r="B9" i="5" s="1"/>
  <c r="B10" i="5" s="1"/>
  <c r="B11" i="5" s="1"/>
  <c r="B12" i="5" s="1"/>
  <c r="B6" i="6"/>
  <c r="B7" i="6" s="1"/>
  <c r="B8" i="6" s="1"/>
  <c r="B9" i="6" s="1"/>
  <c r="B10" i="6" s="1"/>
  <c r="B11" i="6" s="1"/>
  <c r="B12" i="6" s="1"/>
  <c r="B13" i="6" s="1"/>
  <c r="B13" i="5" l="1"/>
  <c r="B14" i="5" s="1"/>
  <c r="B17" i="5" s="1"/>
  <c r="B18" i="5" s="1"/>
  <c r="B19" i="5" s="1"/>
  <c r="B20" i="5" s="1"/>
  <c r="B21" i="5" s="1"/>
  <c r="B22" i="5" s="1"/>
  <c r="F7" i="2"/>
  <c r="G7" i="2" s="1"/>
  <c r="F16" i="2"/>
  <c r="G16" i="2" s="1"/>
  <c r="F12" i="2"/>
  <c r="F15" i="2"/>
  <c r="F10" i="2"/>
  <c r="F14" i="2"/>
  <c r="G14" i="2" s="1"/>
  <c r="F13" i="2"/>
  <c r="F11" i="2"/>
  <c r="G11" i="2" l="1"/>
  <c r="G10" i="2"/>
  <c r="G15" i="2"/>
  <c r="G12" i="2"/>
  <c r="G13" i="2"/>
  <c r="F9" i="2"/>
  <c r="G9" i="2" s="1"/>
  <c r="F8" i="2"/>
  <c r="G8" i="2" s="1"/>
  <c r="F18" i="2" l="1"/>
  <c r="M269" i="3" l="1"/>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D262" i="4"/>
  <c r="D261" i="4"/>
  <c r="D260" i="4"/>
  <c r="D259" i="4"/>
  <c r="D258" i="4"/>
  <c r="D257" i="4"/>
  <c r="D255" i="4"/>
  <c r="D254" i="4"/>
  <c r="D253" i="4"/>
  <c r="D252" i="4"/>
  <c r="D251" i="4"/>
  <c r="D250" i="4"/>
  <c r="E249" i="4"/>
  <c r="D247" i="4"/>
  <c r="D246" i="4"/>
  <c r="E245" i="4"/>
  <c r="D244" i="4"/>
  <c r="D243" i="4"/>
  <c r="D242" i="4"/>
  <c r="D241" i="4"/>
  <c r="D240" i="4"/>
  <c r="D239" i="4"/>
  <c r="D238" i="4"/>
  <c r="D237" i="4"/>
  <c r="D236" i="4"/>
  <c r="D235" i="4"/>
  <c r="E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E201" i="4"/>
  <c r="D200" i="4"/>
  <c r="D199" i="4"/>
  <c r="D198" i="4"/>
  <c r="D197" i="4"/>
  <c r="D196" i="4"/>
  <c r="D195" i="4"/>
  <c r="D194" i="4"/>
  <c r="D193" i="4"/>
  <c r="D192" i="4"/>
  <c r="D191" i="4"/>
  <c r="D190" i="4"/>
  <c r="D189" i="4"/>
  <c r="D188" i="4"/>
  <c r="D187" i="4"/>
  <c r="D186" i="4"/>
  <c r="D185" i="4"/>
  <c r="D184" i="4"/>
  <c r="D183" i="4"/>
  <c r="D182" i="4"/>
  <c r="E181" i="4"/>
  <c r="D180" i="4"/>
  <c r="D179" i="4"/>
  <c r="D178" i="4"/>
  <c r="D177" i="4"/>
  <c r="D176" i="4"/>
  <c r="D175" i="4"/>
  <c r="D174" i="4"/>
  <c r="D173" i="4"/>
  <c r="D172" i="4"/>
  <c r="D171" i="4"/>
  <c r="D170" i="4"/>
  <c r="E169" i="4"/>
  <c r="D168" i="4"/>
  <c r="D167" i="4"/>
  <c r="D166" i="4"/>
  <c r="D165" i="4"/>
  <c r="D164" i="4"/>
  <c r="D163" i="4"/>
  <c r="D162" i="4"/>
  <c r="D161" i="4"/>
  <c r="D159" i="4"/>
  <c r="D158" i="4"/>
  <c r="D157" i="4"/>
  <c r="D156" i="4"/>
  <c r="D155" i="4"/>
  <c r="D154" i="4"/>
  <c r="D153" i="4"/>
  <c r="D152" i="4"/>
  <c r="D151" i="4"/>
  <c r="D150" i="4"/>
  <c r="D149" i="4"/>
  <c r="D148" i="4"/>
  <c r="D147" i="4"/>
  <c r="D146" i="4"/>
  <c r="D145" i="4"/>
  <c r="D144" i="4"/>
  <c r="E142" i="4"/>
  <c r="E141" i="4"/>
  <c r="D140" i="4"/>
  <c r="D139" i="4"/>
  <c r="D138" i="4"/>
  <c r="D137" i="4"/>
  <c r="D136" i="4"/>
  <c r="D135" i="4"/>
  <c r="E134" i="4"/>
  <c r="D133" i="4"/>
  <c r="D132" i="4"/>
  <c r="D131" i="4"/>
  <c r="D130" i="4"/>
  <c r="D129" i="4"/>
  <c r="D128" i="4"/>
  <c r="E126" i="4"/>
  <c r="E125" i="4"/>
  <c r="D124" i="4"/>
  <c r="D123" i="4"/>
  <c r="D122" i="4"/>
  <c r="D121" i="4"/>
  <c r="D120" i="4"/>
  <c r="D119" i="4"/>
  <c r="D118" i="4"/>
  <c r="D117" i="4"/>
  <c r="E116" i="4"/>
  <c r="D115" i="4"/>
  <c r="D114" i="4"/>
  <c r="D113" i="4"/>
  <c r="D112" i="4"/>
  <c r="D111" i="4"/>
  <c r="E110" i="4"/>
  <c r="D109" i="4"/>
  <c r="D108" i="4"/>
  <c r="D106" i="4"/>
  <c r="D105" i="4"/>
  <c r="D104" i="4"/>
  <c r="D102" i="4"/>
  <c r="D101" i="4"/>
  <c r="D100" i="4"/>
  <c r="D99" i="4"/>
  <c r="E98" i="4"/>
  <c r="D97" i="4"/>
  <c r="D96" i="4"/>
  <c r="D95" i="4"/>
  <c r="D94" i="4"/>
  <c r="D93" i="4"/>
  <c r="D92" i="4"/>
  <c r="D91" i="4"/>
  <c r="D89" i="4"/>
  <c r="D87" i="4"/>
  <c r="D86" i="4"/>
  <c r="D84" i="4"/>
  <c r="D83" i="4"/>
  <c r="D82" i="4"/>
  <c r="D81" i="4"/>
  <c r="D80" i="4"/>
  <c r="D79" i="4"/>
  <c r="D78" i="4"/>
  <c r="D77" i="4"/>
  <c r="D76" i="4"/>
  <c r="D75" i="4"/>
  <c r="D74" i="4"/>
  <c r="D73" i="4"/>
  <c r="D72" i="4"/>
  <c r="D71" i="4"/>
  <c r="D70" i="4"/>
  <c r="D69" i="4"/>
  <c r="D68" i="4"/>
  <c r="D67" i="4"/>
  <c r="D66" i="4"/>
  <c r="D65" i="4"/>
  <c r="D64" i="4"/>
  <c r="D63" i="4"/>
  <c r="D62" i="4"/>
  <c r="D61" i="4"/>
  <c r="D59" i="4"/>
  <c r="D57" i="4"/>
  <c r="D56" i="4"/>
  <c r="D55" i="4"/>
  <c r="D54" i="4"/>
  <c r="D53" i="4"/>
  <c r="D52" i="4"/>
  <c r="D51" i="4"/>
  <c r="D49" i="4"/>
  <c r="D48" i="4"/>
  <c r="D46" i="4"/>
  <c r="D45" i="4"/>
  <c r="D42"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C262" i="4"/>
  <c r="C261" i="4"/>
  <c r="C260" i="4"/>
  <c r="C259" i="4"/>
  <c r="C258" i="4"/>
  <c r="C257" i="4"/>
  <c r="C255" i="4"/>
  <c r="C254" i="4"/>
  <c r="E254" i="4" s="1"/>
  <c r="C253" i="4"/>
  <c r="C252" i="4"/>
  <c r="C251" i="4"/>
  <c r="C250" i="4"/>
  <c r="E250" i="4" s="1"/>
  <c r="C247" i="4"/>
  <c r="C246" i="4"/>
  <c r="E246" i="4" s="1"/>
  <c r="C244" i="4"/>
  <c r="C243" i="4"/>
  <c r="C242" i="4"/>
  <c r="E242" i="4" s="1"/>
  <c r="C241" i="4"/>
  <c r="E241" i="4" s="1"/>
  <c r="C240" i="4"/>
  <c r="C239" i="4"/>
  <c r="C238" i="4"/>
  <c r="E238" i="4" s="1"/>
  <c r="C237" i="4"/>
  <c r="E237" i="4" s="1"/>
  <c r="C236" i="4"/>
  <c r="C235" i="4"/>
  <c r="C233" i="4"/>
  <c r="E233" i="4" s="1"/>
  <c r="C232" i="4"/>
  <c r="C231" i="4"/>
  <c r="C230" i="4"/>
  <c r="E230" i="4" s="1"/>
  <c r="C229" i="4"/>
  <c r="E229" i="4" s="1"/>
  <c r="C228" i="4"/>
  <c r="C227" i="4"/>
  <c r="C226" i="4"/>
  <c r="E226" i="4" s="1"/>
  <c r="C225" i="4"/>
  <c r="E225" i="4" s="1"/>
  <c r="C224" i="4"/>
  <c r="C223" i="4"/>
  <c r="C222" i="4"/>
  <c r="E222" i="4" s="1"/>
  <c r="C221" i="4"/>
  <c r="E221" i="4" s="1"/>
  <c r="C220" i="4"/>
  <c r="C219" i="4"/>
  <c r="C218" i="4"/>
  <c r="E218" i="4" s="1"/>
  <c r="C217" i="4"/>
  <c r="E217" i="4" s="1"/>
  <c r="C216" i="4"/>
  <c r="C215" i="4"/>
  <c r="C214" i="4"/>
  <c r="E214" i="4" s="1"/>
  <c r="C213" i="4"/>
  <c r="E213" i="4" s="1"/>
  <c r="C212" i="4"/>
  <c r="C211" i="4"/>
  <c r="C210" i="4"/>
  <c r="E210" i="4" s="1"/>
  <c r="C209" i="4"/>
  <c r="E209" i="4" s="1"/>
  <c r="C208" i="4"/>
  <c r="C207" i="4"/>
  <c r="C206" i="4"/>
  <c r="E206" i="4" s="1"/>
  <c r="C205" i="4"/>
  <c r="E205" i="4" s="1"/>
  <c r="C204" i="4"/>
  <c r="C203" i="4"/>
  <c r="C202" i="4"/>
  <c r="E202" i="4" s="1"/>
  <c r="C200" i="4"/>
  <c r="C199" i="4"/>
  <c r="C198" i="4"/>
  <c r="E198" i="4" s="1"/>
  <c r="C197" i="4"/>
  <c r="E197" i="4" s="1"/>
  <c r="C196" i="4"/>
  <c r="C195" i="4"/>
  <c r="C194" i="4"/>
  <c r="E194" i="4" s="1"/>
  <c r="C193" i="4"/>
  <c r="E193" i="4" s="1"/>
  <c r="C192" i="4"/>
  <c r="C191" i="4"/>
  <c r="C190" i="4"/>
  <c r="E190" i="4" s="1"/>
  <c r="C189" i="4"/>
  <c r="E189" i="4" s="1"/>
  <c r="C188" i="4"/>
  <c r="C187" i="4"/>
  <c r="C186" i="4"/>
  <c r="E186" i="4" s="1"/>
  <c r="C185" i="4"/>
  <c r="E185" i="4" s="1"/>
  <c r="C184" i="4"/>
  <c r="C183" i="4"/>
  <c r="C182" i="4"/>
  <c r="E182" i="4" s="1"/>
  <c r="C180" i="4"/>
  <c r="C179" i="4"/>
  <c r="C178" i="4"/>
  <c r="E178" i="4" s="1"/>
  <c r="C177" i="4"/>
  <c r="E177" i="4" s="1"/>
  <c r="C176" i="4"/>
  <c r="C175" i="4"/>
  <c r="C174" i="4"/>
  <c r="E174" i="4" s="1"/>
  <c r="C173" i="4"/>
  <c r="E173" i="4" s="1"/>
  <c r="C172" i="4"/>
  <c r="C171" i="4"/>
  <c r="C170" i="4"/>
  <c r="E170" i="4" s="1"/>
  <c r="C168" i="4"/>
  <c r="C167" i="4"/>
  <c r="C166" i="4"/>
  <c r="E166" i="4" s="1"/>
  <c r="C165" i="4"/>
  <c r="E165" i="4" s="1"/>
  <c r="C164" i="4"/>
  <c r="C163" i="4"/>
  <c r="C162" i="4"/>
  <c r="E162" i="4" s="1"/>
  <c r="C161" i="4"/>
  <c r="E161" i="4" s="1"/>
  <c r="C159" i="4"/>
  <c r="C158" i="4"/>
  <c r="C157" i="4"/>
  <c r="E157" i="4" s="1"/>
  <c r="C156" i="4"/>
  <c r="C155" i="4"/>
  <c r="C154" i="4"/>
  <c r="C153" i="4"/>
  <c r="E153" i="4" s="1"/>
  <c r="C152" i="4"/>
  <c r="C151" i="4"/>
  <c r="C150" i="4"/>
  <c r="C149" i="4"/>
  <c r="E149" i="4" s="1"/>
  <c r="C148" i="4"/>
  <c r="C147" i="4"/>
  <c r="C146" i="4"/>
  <c r="C145" i="4"/>
  <c r="E145" i="4" s="1"/>
  <c r="C144" i="4"/>
  <c r="C140" i="4"/>
  <c r="C139" i="4"/>
  <c r="C138" i="4"/>
  <c r="C137" i="4"/>
  <c r="C136" i="4"/>
  <c r="C135" i="4"/>
  <c r="C133" i="4"/>
  <c r="C132" i="4"/>
  <c r="C131" i="4"/>
  <c r="C130" i="4"/>
  <c r="E130" i="4" s="1"/>
  <c r="C129" i="4"/>
  <c r="C128" i="4"/>
  <c r="C124" i="4"/>
  <c r="E124" i="4" s="1"/>
  <c r="C123" i="4"/>
  <c r="C122" i="4"/>
  <c r="E122" i="4" s="1"/>
  <c r="C121" i="4"/>
  <c r="C120" i="4"/>
  <c r="E120" i="4" s="1"/>
  <c r="C119" i="4"/>
  <c r="C118" i="4"/>
  <c r="E118" i="4" s="1"/>
  <c r="C117" i="4"/>
  <c r="C115" i="4"/>
  <c r="C114" i="4"/>
  <c r="E114" i="4" s="1"/>
  <c r="C113" i="4"/>
  <c r="C112" i="4"/>
  <c r="C111" i="4"/>
  <c r="C109" i="4"/>
  <c r="E109" i="4" s="1"/>
  <c r="C108" i="4"/>
  <c r="C106" i="4"/>
  <c r="E106" i="4" s="1"/>
  <c r="C105" i="4"/>
  <c r="C104" i="4"/>
  <c r="E104" i="4" s="1"/>
  <c r="C102" i="4"/>
  <c r="C101" i="4"/>
  <c r="C100" i="4"/>
  <c r="C99" i="4"/>
  <c r="C97" i="4"/>
  <c r="C96" i="4"/>
  <c r="C95" i="4"/>
  <c r="C94" i="4"/>
  <c r="C93" i="4"/>
  <c r="C92" i="4"/>
  <c r="C91" i="4"/>
  <c r="E90" i="4"/>
  <c r="C89" i="4"/>
  <c r="E88" i="4"/>
  <c r="C87" i="4"/>
  <c r="C86" i="4"/>
  <c r="E86" i="4" s="1"/>
  <c r="E85" i="4"/>
  <c r="C84" i="4"/>
  <c r="C83" i="4"/>
  <c r="C82" i="4"/>
  <c r="E82" i="4" s="1"/>
  <c r="C81" i="4"/>
  <c r="C80" i="4"/>
  <c r="C79" i="4"/>
  <c r="C78" i="4"/>
  <c r="E78" i="4" s="1"/>
  <c r="C77" i="4"/>
  <c r="C76" i="4"/>
  <c r="C75" i="4"/>
  <c r="C74" i="4"/>
  <c r="E74" i="4" s="1"/>
  <c r="C73" i="4"/>
  <c r="C72" i="4"/>
  <c r="C71" i="4"/>
  <c r="C70" i="4"/>
  <c r="E70" i="4" s="1"/>
  <c r="C69" i="4"/>
  <c r="C68" i="4"/>
  <c r="C67" i="4"/>
  <c r="C66" i="4"/>
  <c r="E66" i="4" s="1"/>
  <c r="C65" i="4"/>
  <c r="C64" i="4"/>
  <c r="C63" i="4"/>
  <c r="C62" i="4"/>
  <c r="E62" i="4" s="1"/>
  <c r="C61" i="4"/>
  <c r="E60" i="4"/>
  <c r="C59" i="4"/>
  <c r="E58" i="4"/>
  <c r="C57" i="4"/>
  <c r="C56" i="4"/>
  <c r="C55" i="4"/>
  <c r="C54" i="4"/>
  <c r="C53" i="4"/>
  <c r="C52" i="4"/>
  <c r="C51" i="4"/>
  <c r="C50" i="4"/>
  <c r="C49" i="4"/>
  <c r="E49" i="4" s="1"/>
  <c r="C48" i="4"/>
  <c r="C46" i="4"/>
  <c r="E46" i="4" s="1"/>
  <c r="C45" i="4"/>
  <c r="E44" i="4"/>
  <c r="C42" i="4"/>
  <c r="E42" i="4" s="1"/>
  <c r="E41" i="4"/>
  <c r="C40" i="4"/>
  <c r="C39" i="4"/>
  <c r="C38" i="4"/>
  <c r="C37" i="4"/>
  <c r="E37" i="4" s="1"/>
  <c r="C36" i="4"/>
  <c r="C35" i="4"/>
  <c r="C34" i="4"/>
  <c r="C33" i="4"/>
  <c r="E33" i="4" s="1"/>
  <c r="C32" i="4"/>
  <c r="C31" i="4"/>
  <c r="C30" i="4"/>
  <c r="C29" i="4"/>
  <c r="E29" i="4" s="1"/>
  <c r="C28" i="4"/>
  <c r="C27" i="4"/>
  <c r="C26" i="4"/>
  <c r="C25" i="4"/>
  <c r="E25" i="4" s="1"/>
  <c r="C24" i="4"/>
  <c r="C23" i="4"/>
  <c r="C22" i="4"/>
  <c r="C21" i="4"/>
  <c r="E21" i="4" s="1"/>
  <c r="C20" i="4"/>
  <c r="C19" i="4"/>
  <c r="C18" i="4"/>
  <c r="C17" i="4"/>
  <c r="E17" i="4" s="1"/>
  <c r="C16" i="4"/>
  <c r="C15" i="4"/>
  <c r="C14" i="4"/>
  <c r="C13" i="4"/>
  <c r="E13" i="4" s="1"/>
  <c r="C12" i="4"/>
  <c r="C11" i="4"/>
  <c r="C10" i="4"/>
  <c r="C9" i="4"/>
  <c r="E9" i="4" s="1"/>
  <c r="C8" i="4"/>
  <c r="C7" i="4"/>
  <c r="C6" i="4"/>
  <c r="C5" i="4"/>
  <c r="E5" i="4" s="1"/>
  <c r="C4" i="4"/>
  <c r="C3" i="4"/>
  <c r="B6" i="2"/>
  <c r="B7" i="2" s="1"/>
  <c r="B8" i="2" s="1"/>
  <c r="B9" i="2" s="1"/>
  <c r="B10" i="2" s="1"/>
  <c r="B11" i="2" s="1"/>
  <c r="B12" i="2" s="1"/>
  <c r="E112" i="4" l="1"/>
  <c r="E137" i="4"/>
  <c r="E257" i="4"/>
  <c r="E261" i="4"/>
  <c r="E53" i="4"/>
  <c r="E57" i="4"/>
  <c r="E89" i="4"/>
  <c r="E102" i="4"/>
  <c r="E108" i="4"/>
  <c r="E129" i="4"/>
  <c r="E133" i="4"/>
  <c r="E4" i="4"/>
  <c r="E8" i="4"/>
  <c r="E12" i="4"/>
  <c r="E16" i="4"/>
  <c r="E20" i="4"/>
  <c r="E24" i="4"/>
  <c r="E28" i="4"/>
  <c r="E32" i="4"/>
  <c r="E36" i="4"/>
  <c r="E40" i="4"/>
  <c r="E94" i="4"/>
  <c r="E146" i="4"/>
  <c r="E150" i="4"/>
  <c r="E154" i="4"/>
  <c r="E158" i="4"/>
  <c r="E117" i="4"/>
  <c r="E121" i="4"/>
  <c r="E253" i="4"/>
  <c r="E258" i="4"/>
  <c r="E113" i="4"/>
  <c r="E138" i="4"/>
  <c r="E50" i="4"/>
  <c r="E54" i="4"/>
  <c r="E45" i="4"/>
  <c r="E6" i="4"/>
  <c r="E10" i="4"/>
  <c r="E14" i="4"/>
  <c r="E18" i="4"/>
  <c r="E22" i="4"/>
  <c r="E26" i="4"/>
  <c r="E30" i="4"/>
  <c r="E34" i="4"/>
  <c r="E38" i="4"/>
  <c r="E64" i="4"/>
  <c r="E68" i="4"/>
  <c r="E72" i="4"/>
  <c r="E76" i="4"/>
  <c r="E80" i="4"/>
  <c r="E84" i="4"/>
  <c r="E48" i="4"/>
  <c r="E56" i="4"/>
  <c r="E92" i="4"/>
  <c r="E100" i="4"/>
  <c r="E52" i="4"/>
  <c r="E96" i="4"/>
  <c r="E105" i="4"/>
  <c r="E61" i="4"/>
  <c r="E65" i="4"/>
  <c r="E69" i="4"/>
  <c r="E73" i="4"/>
  <c r="E77" i="4"/>
  <c r="E81" i="4"/>
  <c r="E93" i="4"/>
  <c r="E97" i="4"/>
  <c r="E101" i="4"/>
  <c r="E128" i="4"/>
  <c r="E132" i="4"/>
  <c r="E136" i="4"/>
  <c r="E140" i="4"/>
  <c r="E144" i="4"/>
  <c r="E148" i="4"/>
  <c r="E152" i="4"/>
  <c r="E156" i="4"/>
  <c r="E160" i="4"/>
  <c r="E164" i="4"/>
  <c r="E168" i="4"/>
  <c r="E172" i="4"/>
  <c r="E176" i="4"/>
  <c r="E180" i="4"/>
  <c r="E184" i="4"/>
  <c r="E188" i="4"/>
  <c r="E192" i="4"/>
  <c r="E196" i="4"/>
  <c r="E200" i="4"/>
  <c r="E204" i="4"/>
  <c r="E208" i="4"/>
  <c r="E212" i="4"/>
  <c r="E216" i="4"/>
  <c r="E220" i="4"/>
  <c r="E224" i="4"/>
  <c r="E228" i="4"/>
  <c r="E232" i="4"/>
  <c r="E236" i="4"/>
  <c r="E240" i="4"/>
  <c r="E244" i="4"/>
  <c r="E248" i="4"/>
  <c r="E252" i="4"/>
  <c r="E256" i="4"/>
  <c r="E260" i="4"/>
  <c r="E263" i="4"/>
  <c r="E3" i="4"/>
  <c r="E7" i="4"/>
  <c r="E11" i="4"/>
  <c r="E15" i="4"/>
  <c r="E19" i="4"/>
  <c r="E23" i="4"/>
  <c r="E27" i="4"/>
  <c r="E31" i="4"/>
  <c r="E35" i="4"/>
  <c r="E39" i="4"/>
  <c r="E43" i="4"/>
  <c r="E47" i="4"/>
  <c r="E51" i="4"/>
  <c r="E55" i="4"/>
  <c r="E59" i="4"/>
  <c r="E63" i="4"/>
  <c r="E67" i="4"/>
  <c r="E71" i="4"/>
  <c r="E75" i="4"/>
  <c r="E79" i="4"/>
  <c r="E83" i="4"/>
  <c r="E87" i="4"/>
  <c r="E91" i="4"/>
  <c r="E95" i="4"/>
  <c r="E99" i="4"/>
  <c r="E103" i="4"/>
  <c r="E107" i="4"/>
  <c r="E111" i="4"/>
  <c r="E115" i="4"/>
  <c r="E119" i="4"/>
  <c r="E123" i="4"/>
  <c r="E127" i="4"/>
  <c r="E131" i="4"/>
  <c r="E135" i="4"/>
  <c r="E139" i="4"/>
  <c r="E143" i="4"/>
  <c r="E147" i="4"/>
  <c r="E151" i="4"/>
  <c r="E155" i="4"/>
  <c r="E159" i="4"/>
  <c r="E163" i="4"/>
  <c r="E167" i="4"/>
  <c r="E171" i="4"/>
  <c r="E175" i="4"/>
  <c r="E179" i="4"/>
  <c r="E183" i="4"/>
  <c r="E187" i="4"/>
  <c r="E191" i="4"/>
  <c r="E195" i="4"/>
  <c r="E199" i="4"/>
  <c r="E203" i="4"/>
  <c r="E207" i="4"/>
  <c r="E211" i="4"/>
  <c r="E215" i="4"/>
  <c r="E219" i="4"/>
  <c r="E223" i="4"/>
  <c r="E227" i="4"/>
  <c r="E231" i="4"/>
  <c r="E235" i="4"/>
  <c r="E239" i="4"/>
  <c r="E243" i="4"/>
  <c r="E247" i="4"/>
  <c r="E251" i="4"/>
  <c r="E255" i="4"/>
  <c r="E259" i="4"/>
  <c r="E262" i="4"/>
  <c r="B13" i="2"/>
  <c r="B14" i="2" s="1"/>
  <c r="B15" i="2" s="1"/>
  <c r="B16" i="2" s="1"/>
</calcChain>
</file>

<file path=xl/sharedStrings.xml><?xml version="1.0" encoding="utf-8"?>
<sst xmlns="http://schemas.openxmlformats.org/spreadsheetml/2006/main" count="2034" uniqueCount="507">
  <si>
    <t>Questionário de avaliação da qualidade dos controles internos da empresa</t>
  </si>
  <si>
    <t>1.</t>
  </si>
  <si>
    <t>Qual o regime de apuração do IRPJ e CSLL que a empresa adota hoje?</t>
  </si>
  <si>
    <t>a)</t>
  </si>
  <si>
    <t>Lucro Real</t>
  </si>
  <si>
    <t>Lucro Presumido</t>
  </si>
  <si>
    <t>Lucro Arbitrado</t>
  </si>
  <si>
    <t>Simples Nacional</t>
  </si>
  <si>
    <t>RET</t>
  </si>
  <si>
    <t>b)</t>
  </si>
  <si>
    <t>c)</t>
  </si>
  <si>
    <t>d)</t>
  </si>
  <si>
    <t>e)</t>
  </si>
  <si>
    <t>Marque com um "X"</t>
  </si>
  <si>
    <t>Perguntas sobre o Lucro Real</t>
  </si>
  <si>
    <t>A apuração do Lucro Real é trimestral ou anual?</t>
  </si>
  <si>
    <t xml:space="preserve">Possui memória de cálculo em arquivo eletrônico (por exemplo, excel) que evidencie como o cálculo do Lucro Real foi feito? </t>
  </si>
  <si>
    <t>Possui controle analítico em arquivo eletrônico que evidencie como foram apuradas as adições e exclusões?</t>
  </si>
  <si>
    <t>As provisões temporárias são controladas a parte, em algum documento suporte, como o excel?</t>
  </si>
  <si>
    <t>As adições das provisões temporárias são adicionadas pelas contas de resultado ou pela movimentação patrimonial das contas (ou seja, movimentando as provisões pelas contas de ativo e passivo)?</t>
  </si>
  <si>
    <t>A Sociedade possui conta(s) específica(s) no resultado para evidenciar o saldo das provisões temporárias?</t>
  </si>
  <si>
    <t>Podem haver contas contábeis onde em uma mesma conta contém saldos dedutíveis e indedutíveis?</t>
  </si>
  <si>
    <t>A Sociedade possui a evidenciação contábil das adições e exclusões em contas contábeis separadas no Resultado?</t>
  </si>
  <si>
    <t>II. Perguntas gerais acerca das provisões temporariamente indedutíveis</t>
  </si>
  <si>
    <t>I. Perguntas gerais acerca do cálculo do Lucro Real</t>
  </si>
  <si>
    <t>Caso a resposta 7 seja afirmativa, possui controle analítico dos saldos de prejuízo fiscal e base de cálculo negativa da CSLL?</t>
  </si>
  <si>
    <t>O Controle mencionado na pergunta anterior é confrontado com os saldos de PF e BCN da CSLL declarados nas DIPJs e nas ECFs?</t>
  </si>
  <si>
    <t>A Sociedade está apurando Lucro Real tributável ou Prejuízo Fiscal no ano calendário atual?</t>
  </si>
  <si>
    <t>Em caso de apuração do Lucro Real tributável, a Sociedade está compensando-os com os saldos "estocados" de PF e BCN da CSLL?</t>
  </si>
  <si>
    <t>Possui "estoque" de saldo de Prejuízo Fiscal (PF) e Base de Cálculo Negativa da CSLL (BCN da CSLL) a compensar de anos anteriores?</t>
  </si>
  <si>
    <t>A Sociedade apura o Lucro Real pela sistemática de Estimativa de Receita Bruta, por Suspensão e Redução ou por ambos?</t>
  </si>
  <si>
    <t>A Sociedade avalia mensalmente a viabiliade de economia tributária em apurar o Lucro Real por suspensão e redução e por estimativa de receita bruta?</t>
  </si>
  <si>
    <t>A Sociedade possui provisões que não são adicionadas mas que deveriam ser adicionadas?</t>
  </si>
  <si>
    <t>A Sociedade baixou contra o Resultado títulos incobráveis de clientes?</t>
  </si>
  <si>
    <t>A Sociedade toma a dedutibilidade dos títulos incobráveis?</t>
  </si>
  <si>
    <t>ANEXO III - TAXAS ANUAIS DE DEPRECIAÇÃO</t>
  </si>
  <si>
    <t>Referência NCM</t>
  </si>
  <si>
    <t>Bens</t>
  </si>
  <si>
    <t>Prazo de vida útil (anos)</t>
  </si>
  <si>
    <t>Taxa anual </t>
  </si>
  <si>
    <t>de depreciação</t>
  </si>
  <si>
    <t>--------------</t>
  </si>
  <si>
    <t>INSTALAÇÕES</t>
  </si>
  <si>
    <t>EDIFICAÇÕES</t>
  </si>
  <si>
    <t>Capítulo 01</t>
  </si>
  <si>
    <t>ANIMAIS VIVOS</t>
  </si>
  <si>
    <t> </t>
  </si>
  <si>
    <t>ANIMAIS VIVOS DAS ESPÉCIES CAVALAR, ASININA E MUAR</t>
  </si>
  <si>
    <t>ANIMAIS VIVOS DA ESPÉCIE BOVINA</t>
  </si>
  <si>
    <t>ANIMAIS VIVOS DA ESPÉCIE SUÍNA</t>
  </si>
  <si>
    <t>ANIMAIS VIVOS DAS ESPÉCIES OVINA E CAPRINA</t>
  </si>
  <si>
    <t>GALOS, GALINHAS, PATOS, GANSOS, PERUS, PERUAS E GALINHAS-D'ANGOLA (PINTADAS), DAS ESPÉCIES DOMÉSTICAS, VIVOS</t>
  </si>
  <si>
    <t>Capítulo 39</t>
  </si>
  <si>
    <t>OBRAS DE PLÁSTICOS</t>
  </si>
  <si>
    <t>ARTIGOS DE TRANSPORTE OU DE EMBALAGEM, DE PLÁSTICOS</t>
  </si>
  <si>
    <t>3923.10</t>
  </si>
  <si>
    <t>-Caixas, caixotes, engradados e artigos semelhantes</t>
  </si>
  <si>
    <t>3923.30</t>
  </si>
  <si>
    <t>-Garrafões, garrafas, frascos e artigos semelhantes</t>
  </si>
  <si>
    <t>3923.90</t>
  </si>
  <si>
    <t>-Outros vasilhames</t>
  </si>
  <si>
    <t>OUTRAS OBRAS DE PLÁSTICOS E OBRAS DE OUTRAS MATÉRIAS DAS POSIÇÕES 3901 A 3914</t>
  </si>
  <si>
    <t>3926.90</t>
  </si>
  <si>
    <t>Correias de transmissão e correias transportadoras</t>
  </si>
  <si>
    <t>Artigos de laboratório ou de farmácia</t>
  </si>
  <si>
    <t>Capítulo 40</t>
  </si>
  <si>
    <t>OBRAS DE BORRACHA</t>
  </si>
  <si>
    <t>CORREIAS TRANSPORTADORAS OU DE TRANSMISSÃO, DE BORRACHA VULCANIZADA</t>
  </si>
  <si>
    <t>Capítulo 42</t>
  </si>
  <si>
    <t>OBRAS DE COURO</t>
  </si>
  <si>
    <t>Correias transportadoras ou correias de transmissão</t>
  </si>
  <si>
    <t>Capítulo 44</t>
  </si>
  <si>
    <t>OBRAS DE MADEIRA</t>
  </si>
  <si>
    <t>CAIXOTES, CAIXAS, ENGRADADOS, BARRICAS E EMBALAGENS SEMELHANTES, DE MADEIRA; CARRETÉIS PARA CABOS, DE MADEIRA; PALETES SIMPLES, PALETES-CAIXAS E OUTROS ESTRADOS PARA CARGA, DE MADEIRA; TAIPAIS DE PALETES, DE MADEIRA</t>
  </si>
  <si>
    <t>BARRIS, CUBAS, BALSAS, DORNAS, SELHAS E OUTRAS OBRAS DE TANOEIRO</t>
  </si>
  <si>
    <t>Capítulo 57</t>
  </si>
  <si>
    <t>TAPETES E OUTROS REVESTIMENTOS PARA PAVIMENTOS, DE MATÉRIAS TÊXTEIS</t>
  </si>
  <si>
    <t>Capítulo 59</t>
  </si>
  <si>
    <t>TECIDOS IMPREGNADOS, REVESTIDOS, RECOBERTOS OU ESTRATIFICADOS; ARTIGOS PARA USOS TÉCNICOS DE MATÉRIAS TÊXTEIS</t>
  </si>
  <si>
    <t>5910.00</t>
  </si>
  <si>
    <t>CORREIAS TRANSPORTADORAS OU DE TRANSMISSÃO, DE MATÉRIAS TÊXTEIS, MESMO IMPREGNADAS, REVESTIDAS OU RECOBERTAS, DE PLÁSTICO, OU ESTRATIFICADAS COM PLÁSTICO OU REFORÇADAS COM METAL OU COM OUTRAS MATÉRIAS</t>
  </si>
  <si>
    <t>Capítulo 63</t>
  </si>
  <si>
    <t>OUTROS ARTEFATOS TÊXTEIS CONFECCIONADOS</t>
  </si>
  <si>
    <t>CORTINADOS, CORTINAS E ESTORES; SANEFAS E ARTIGOS SEMELHANTES PARA CAMAS PARA USO EM HOTÉIS E HOSPITAIS</t>
  </si>
  <si>
    <t>SACOS DE QUAISQUER DIMENSÕES, PARA EMBALAGEM</t>
  </si>
  <si>
    <t>ENCERADOS E TOLDOS; TENDAS; VELAS PARA EMBARCAÇÕES, PARA PRANCHAS À VELA OU PARA CARROS À VELA; ARTIGOS PARA ACAMPAMENTO</t>
  </si>
  <si>
    <t>Capítulo 69</t>
  </si>
  <si>
    <t>PRODUTOS CERÂMICOS</t>
  </si>
  <si>
    <t>APARELHOS E ARTEFATOS PARA USOS QUÍMICOS OU PARA OUTROS USOS TÉCNICOS, DE CERÂMICA; ALGUIDARES, GAMELAS E OUTROS RECIPIENTES SEMELHANTES PARA USOS RURAIS, DE CERÂMICA; BILHAS E OUTRAS VASILHAS PRÓPRIAS PARA TRANSPORTE OU EMBALAGEM, DE CERÂMICA</t>
  </si>
  <si>
    <t>Capítulo 70</t>
  </si>
  <si>
    <t>OBRAS DE VIDRO</t>
  </si>
  <si>
    <t>GARRAFÕES, GARRAFAS, FRASCOS, BOIÕES, VASOS, EMBALAGENS TUBULARES, AMPOLAS E OUTROS RECIPIENTES, DE VIDRO, PRÓPRIOS PARA TRANSPORTE OU EMBALAGEM; BOIÕES DE VIDRO PARA CONSERVA</t>
  </si>
  <si>
    <t>Capítulo 73</t>
  </si>
  <si>
    <t>OBRAS DE FERRO FUNDIDO, FERRO OU AÇO</t>
  </si>
  <si>
    <t>CONSTRUÇÕES, DE FERRO FUNDIDO, FERRO OU AÇO, EXCETO AS CONSTRUÇÕES PRÉ-FABRICADAS DA POSIÇÃO 9406</t>
  </si>
  <si>
    <t>7308.10</t>
  </si>
  <si>
    <t>-Pontes e elementos de pontes</t>
  </si>
  <si>
    <t>7308.20</t>
  </si>
  <si>
    <t>-Torres e pórticos</t>
  </si>
  <si>
    <t>RESERVATÓRIOS, TONÉIS, CUBAS E RECIPIENTES SEMELHANTES PARA QUAISQUER MATÉRIAS (EXCETO GASES COMPRIMIDOS OU LIQUEFEITOS), DE FERRO FUNDIDO, FERRO OU AÇO, DE CAPACIDADE SUPERIOR A 300 LITROS, SEM DISPOSITIVOS MECÂNICOS OU TÉRMICOS, MESMO COM REVESTIMENTO INTERIOR OU CALORÍFUGO</t>
  </si>
  <si>
    <t>RECIPIENTES PARA GASES COMPRIMIDOS OU LIQUEFEITOS, DE FERRO FUNDIDO, FERRO OU AÇO</t>
  </si>
  <si>
    <t>AQUECEDORES DE AMBIENTES (FOGÕES DE SALA), CALDEIRAS DE FORNALHA, FOGÕES DE COZINHA (INCLUÍDOS OS QUE POSSAM SER UTILIZADOS ACESSORIAMENTE NO AQUECIMENTO CENTRAL), CHURRASQUEIRAS (GRELHADORES), BRASEIRAS, FOGAREIROS A GÁS, AQUECEDORES DE PRATOS, E APARELHOS NÃO ELÉTRICOS SEMELHANTES, DE USO DOMÉSTICO, DE FERRO FUNDIDO, FERRO OU AÇO</t>
  </si>
  <si>
    <t>RADIADORES PARA AQUECIMENTO CENTRAL, NÃO ELÉTRICOS, DE FERRO FUNDIDO, FERRO OU AÇO; GERADORES E DISTRIBUIDORES DE AR QUENTE (INCLUÍDOS OS DISTRIBUIDORES QUE POSSAM TAMBÉM FUNCIONAR COMO DISTRIBUIDORES DE AR FRIO OU CONDICIONADO), NÃO ELÉTRICOS, MUNIDOS DE VENTILADOR OU FOLE COM MOTOR, DE FERRO FUNDIDO, FERRO OU AÇO</t>
  </si>
  <si>
    <t>Capítulo 76</t>
  </si>
  <si>
    <t>OBRAS DE ALUMÍNIO</t>
  </si>
  <si>
    <t>CONSTRUÇÕES DE ALUMÍNIO</t>
  </si>
  <si>
    <t>RESERVATÓRIOS, TONÉIS, CUBAS E RECIPIENTES SEMELHANTES PARA QUAISQUER MATÉRIAS (EXCETO GASES COMPRIMIDOS OU LIQUEFEITOS), DE ALUMÍNIO, DE CAPACIDADE SUPERIOR A 300 LITROS, SEM DISPOSITIVOS MECÂNICOS OU TÉRMICOS, MESMO COM REVESTIMENTO INTERIOR OU CALORÍFUGO</t>
  </si>
  <si>
    <t>RECIPIENTES PARA GASES COMPRIMIDOS OU LIQUEFEITOS, DE ALUMÍNIO</t>
  </si>
  <si>
    <t>Capítulo 82</t>
  </si>
  <si>
    <t>FERRAMENTAS</t>
  </si>
  <si>
    <t>PÁS, ALVIÕES, PICARETAS, ENXADAS, SACHOS, FORCADOS E FORQUILHAS, ANCINHOS E RASPADEIRAS; MACHADOS, PODÕES E FERRAMENTAS SEMELHANTES COM GUME; </t>
  </si>
  <si>
    <t>TESOURAS DE PODAR DE TODOS OS TIPOS; FOICES E FOICINHAS, FACAS PARA FENO OU PARA PALHA, TESOURAS PARA SEBES, CUNHAS E OUTRAS FERRAMENTAS MANUAIS PARA AGRICULTURA, HORTICULTURA OU SILVICULTURA</t>
  </si>
  <si>
    <t>SERRAS MANUAIS; FOLHAS DE SERRAS DE TODOS OS TIPOS (INCLUÍDAS AS FRESAS-SERRAS E AS FOLHAS NÃO DENTADAS PARA SERRAR)</t>
  </si>
  <si>
    <t>LIMAS, GROSAS, ALICATES (MESMO CORTANTES), TENAZES, PINÇAS, CISALHAS PARA METAIS, CORTA-TUBOS, CORTAPINOS, SACA-BOCADOS E FERRAMENTAS SEMELHANTES, MANUAIS</t>
  </si>
  <si>
    <t>8203.20</t>
  </si>
  <si>
    <t>-Alicates (mesmo cortantes), tenazes, pinças e ferramentas semelhantes</t>
  </si>
  <si>
    <t>8203.30</t>
  </si>
  <si>
    <t>-Cisalhas para metais e ferramentas semelhantes</t>
  </si>
  <si>
    <t>8203.40</t>
  </si>
  <si>
    <t>-Corta-tubos, corta-pinos, saca-bocados e ferramentas semelhantes</t>
  </si>
  <si>
    <t>CHAVES DE PORCAS, MANUAIS (INCLUÍDAS AS CHAVES DINAMOMÉTRICAS); CHAVES DE CAIXA INTERCAMBIÁVEIS, MESMO COM CABOS</t>
  </si>
  <si>
    <t>FERRAMENTAS MANUAIS (INCLUÍDOS OS CORTA-VIDROS) NÃO ESPECIFICADAS NEM COMPREENDIDAS EM OUTRAS POSIÇÕES, LAMPARINAS OU LÂMPADAS DE SOLDAR (MAÇARICOS) E SEMELHANTES; TORNOS DE APERTAR, SARGENTOS E SEMELHANTES, EXCETO OS ACESSÓRIOS OU PARTES DE MÁQUINAS-FERRAMENTAS; BIGORNAS; FORJASPORTÁTEIS; MÓS COM ARMAÇÃO, MANUAIS OU DE PEDAL</t>
  </si>
  <si>
    <t>FERRAMENTAS DE PELO MENOS DUAS DAS POSIÇÕES 8202 A 8205</t>
  </si>
  <si>
    <t>FERRAMENTAS INTERCAMBIÁVEIS PARA FERRAMENTAS MANUAIS, MESMO MECÂNICAS, OU PARA MÁQUINASFERRAMENTAS (POR EXEMPLO: DE EMBUTIR, ESTAMPAR, PUNCIONAR, ROSCAR, FURAR, MANDRILAR, BROCHAR, FRESAR, TORNEAR, APARAFUSAR), INCLUÍDAS AS FIEIRAS DE ESTIRAGEM OU DE EXTRUSÃO, PARA METAIS, E AS FERRAMENTAS DE PERFURAÇÃO OU DE SONDAGEM</t>
  </si>
  <si>
    <t>8207.30</t>
  </si>
  <si>
    <t>-Ferramentas de embutir, de estampar ou de puncionar</t>
  </si>
  <si>
    <t>APARELHOS MECÂNICOS DE ACIONAMENTO MANUAL, PESANDO ATÉ 10kg, UTILIZADOS PARA PREPARAR, ACONDICIONAR OU SERVIR ALIMENTOS OU BEBIDAS</t>
  </si>
  <si>
    <t>MÁQUINAS DE TOSQUIAR</t>
  </si>
  <si>
    <t>Capítulo 83</t>
  </si>
  <si>
    <t>OBRAS DIVERSAS DE METAIS COMUNS</t>
  </si>
  <si>
    <t>COFRES-FORTES, PORTAS BLINDADAS E COMPARTIMENTOS PARA CASAS-FORTES, COFRES E CAIXAS DE SEGURANÇA E ARTEFATOS SEMELHANTES, DE METAIS COMUNS</t>
  </si>
  <si>
    <t>CLASSIFICADORES, FICHÁRIOS (FICHEIROS*), CAIXAS DE CLASSIFICAÇÃO, PORTA-CÓPIAS, PORTA-CANETAS, PORTACARIMBOS E ARTEFATOS SEMELHANTES, DE ESCRITÓRIO, DE METAIS COMUNS, EXCLUÍDOS OS MÓVEIS DE ESCRITÓRIO DA POSIÇÃO 9403</t>
  </si>
  <si>
    <t>Capítulo 84</t>
  </si>
  <si>
    <t>REATORES NUCLEARES, CALDEIRAS, MÁQUINAS, APARELHOS E INSTRUMENTOS MECÂNICOS</t>
  </si>
  <si>
    <t>REATORES NUCLEARES; ELEMENTOS COMBUSTÍVEIS (CARTUCHOS) NÃO IRRADIADOS, PARA REATORES NUCLEARES; MÁQUINAS E APARELHOS PARA A SEPARAÇÃO DE ISÓTOPOS</t>
  </si>
  <si>
    <t>CALDEIRAS DE VAPOR (GERADORES DE VAPOR), EXCLUÍDAS AS CALDEIRAS PARA AQUECIMENTO CENTRAL CONCEBIDAS PARA PRODUÇÃO DE ÁGUA QUENTE E VAPOR DE BAIXA PRESSÃO; CALDEIRAS DENOMINADAS "DE ÁGUA SUPERAQUECIDA"</t>
  </si>
  <si>
    <t>CALDEIRAS PARA AQUECIMENTO CENTRAL, EXCETO AS DA POSIÇÃO 8402</t>
  </si>
  <si>
    <t>APARELHOS AUXILIARES PARA CALDEIRAS DAS POSIÇÕES 8402 OU 8403 (POR EXEMPLO: ECONOMIZADORES, SUPERAQUECEDORES, APARELHOS DE LIMPEZA DE TUBOS OU DE RECUPERACAO DE GÁS); CONDENSADORES PARA MÁQUINAS A VAPOR</t>
  </si>
  <si>
    <t>GERADORES DE GÁS DE AR (GÁS POBRE) OU DE GÁS DE ÁGUA, COM OU SEM DEPURADORES; GERADORES DE ACETILENO E GERADORES SEMELHANTES DE GÁS, OPERADOS A ÁGUA, COM OU SEM DEPURADORES</t>
  </si>
  <si>
    <t>TURBINAS A VAPOR</t>
  </si>
  <si>
    <t>MOTORES DE PISTÃO, ALTERNATIVO OU ROTATIVO, DE IGNIÇÃO POR CENTELHA (FAÍSCA) (MOTORES DE EXPLOSÃO)</t>
  </si>
  <si>
    <t>MOTORES DE PISTÃO, DE IGNIÇÃO POR COMPRESSÃO (MOTORES DIESEL OU SEMI-DIESEL)</t>
  </si>
  <si>
    <t>TURBINAS HIDRÁULICAS, RODAS HIDRÁULICAS, E SEUS REGULADORES</t>
  </si>
  <si>
    <t>TURBORREATORES, TURBOPROPULSORES E OUTRAS TURBINAS A GÁS</t>
  </si>
  <si>
    <t>OUTROS MOTORES E MÁQUINAS MOTRIZES</t>
  </si>
  <si>
    <t>BOMBAS PARA LÍQUIDOS, MESMO COM DISPOSITIVO MEDIDOR; ELEVADORES DE LÍQUIDOS</t>
  </si>
  <si>
    <t>BOMBAS DE AR OU DE VÁCUO, COMPRESSORES DE AR OU DE OUTROS GASES E VENTILADORES; COIFAS ASPIRANTES (EXAUSTORES*) PARA EXTRAÇÃO OU RECICLAGEM, COM VENTILADOR INCORPORADO, MESMO FILTRANTES</t>
  </si>
  <si>
    <t>MÁQUINAS E APARELHOS DE AR-CONDICIONADO CONTENDO UM VENTILADOR MOTORIZADO E DISPOSITIVOS PRÓPRIOS PARA MODIFICAR A TEMPERATURA E A UMIDADE, INCLUÍDOS AS MÁQUINAS E APARELHOS EM QUE A UMIDADE NÃO SEJA REGULÁVEL SEPARADAMENTE</t>
  </si>
  <si>
    <t>QUEIMADORES PARA ALIMENTAÇÃO DE FORNALHAS DE COMBUSTÍVEIS LÍQUIDOS, COMBUSTÍVEIS SÓLIDOS PULVERIZADOS OU DE GÁS; FORNALHAS AUTOMÁTICAS, INCLUÍDAS AS ANTEFORNALHAS, GRELHAS MECÂNICAS, DESCARREGADORES MECÂNICOS DE CINZAS E DISPOSITIVOS SEMELHANTES</t>
  </si>
  <si>
    <t>FORNOS INDUSTRIAIS OU DE LABORATÓRIO, INCLUÍDOS OS INCINERADORES, NÃO ELÉTRICOS Ver Nota (1)</t>
  </si>
  <si>
    <t>REFRIGERADORES, CONGELADORES ("FREEZERS") E OUTROS MATERIAIS, MÁQUINAS E APARELHOS PARA A PRODUÇÃO DE FRIO, COM EQUIPAMENTO ELÉTRICO OU OUTRO; BOMBAS DE CALOR, EXCLUÍDAS AS MÁQUINAS E APARELHOS DE AR-CONDICIONADO DA POSIÇÃO 8415</t>
  </si>
  <si>
    <t>APARELHOS E DISPOSITIVOS, MESMO AQUECIDOS ELETRICAMENTE, PARA TRATAMENTO DE MATÉRIAS POR MEIO DE OPERAÇÕES QUE IMPLIQUEM MUDANÇA DE TEMPERATURA, TAIS COMO AQUECIMENTO, COZIMENTO, TORREFAÇÃO, DESTILAÇÃO, RETIFICAÇÃO, ESTERILIZAÇÃO, PASTEURIZAÇÃO, ESTUFAGEM, SECAGEM, EVAPORAÇÃO, VAPORIZAÇÃO, CONDENSAÇÃO OU ARREFECIMENTO, EXCETO OS DE USO DOMÉSTICO; AQUECEDORES DE ÁGUA NÃO ELÉTRICOS, DE AQUECIMENTO INSTANTÂNEO OU DE ACUMULAÇÃO</t>
  </si>
  <si>
    <t>CALANDRAS E LAMINADORES, EXCETO OS DESTINADOS AO TRATAMENTO DE METAIS OU VIDRO, E SEUS CILINDROS</t>
  </si>
  <si>
    <t>CENTRIFUGADORES, INCLUÍDOS OS SECADORES CENTRÍFUGOS; APARELHOS PARA FILTRAR OU DEPURAR LÍQUIDOS OU GASES</t>
  </si>
  <si>
    <t>MÁQUINAS DE LAVAR LOUÇA; MÁQUINAS E APARELHOS PARA LIMPAR OU SECAR GARRAFAS OU OUTROS RECIPIENTES; MÁQUINAS E APARELHOS PARA ENCHER, FECHAR, ARROLHAR OU ROTULAR GARRAFAS, CAIXAS, LATAS, SACOS OU OUTROS RECIPIENTES; MÁQUINAS PARA CAPSULAR GARRAFAS, VASOS, TUBOS E RECIPIENTES SEMELHANTES; OUTRAS MÁQUINAS E APARELHOS PARA EMPACOTAR OU EMBALAR MERCADORIAS (INCLUÍDAS AS MÁQUINAS E APARELHOS PARA EMBALAR COM PELÍCULA TERMO-RETRÁTIL); MÁQUINAS E APARELHOS PARA GASEIFICAR BEBIDAS</t>
  </si>
  <si>
    <t>APARELHOS E INSTRUMENTOS DE PESAGEM, INCLUÍDAS AS BÁSCULAS E BALANÇAS PARA VERIFICAR PEÇAS USINADAS (FABRICADAS*), EXCLUÍDAS AS BALANÇAS SENSÍVEIS A PESOS NÃO SUPERIORES A 5cg; PESOS PARA QUAISQUER BALANÇAS</t>
  </si>
  <si>
    <t>APARELHOS MECÂNICOS (MESMO MANUAIS) PARA PROJETAR, DISPERSAR OU PULVERIZAR LÍQUIDOS OU PÓS; EXTINTORES, MESMO CARREGADOS; PISTOLAS AEROGRÁFICAS E APARELHOS SEMELHANTES; MÁQUINAS E APARELHOS DE JATO DE AREIA, DE JATO DE VAPOR E APARELHOS DE JATO SEMELHANTES</t>
  </si>
  <si>
    <t>TALHAS, CADERNAIS E MOITÕES; GUINCHOS E CABRESTANTES; MACACOS</t>
  </si>
  <si>
    <t>CÁBREAS; GUINDASTES, INCLUÍDOS OS DE CABO; PONTES ROLANTES, PÓRTICOS DE DESCARGA OU DE MOVIMENTAÇÃO, PONTES-GUINDASTES, CARROS-PÓRTICOS E CARROS-GUINDASTES</t>
  </si>
  <si>
    <t>EMPILHADEIRAS; OUTROS VEÍCULOS PARA MOVIMENTAÇÃO DE CARGA E SEMELHANTES, EQUIPADOS COM DISPOSITIVOS DE ELEVAÇÃO</t>
  </si>
  <si>
    <t>OUTRAS MÁQUINAS E APARELHOS DE ELEVAÇÃO, DE CARGA, DE DESCARGA OU DE MOVIMENTAÇÃO (POR EXEMPLO: ELEVADORES OU ASCENSORES, ESCADAS ROLANTES, TRANSPORTADORES, TELEFÉRICOS)</t>
  </si>
  <si>
    <t>"BULLDOZERS", "ANGLEDOZERS", NIVELADORES, RASPO-TRANSPORTADORES ("SCRAPERS"), PÁS MECÂNICAS, ESCAVADORES, CARREGADORAS E PÁS CARREGADORAS, COMPACTADORES E ROLOS OU CILINDROS COMPRESSORES, AUTOPROPULSORES</t>
  </si>
  <si>
    <t>OUTRAS MÁQUINAS E APARELHOS DE TERRAPLENAGEM, NIVELAMENTO, RASPAGEM, ESCAVAÇÃO, COMPACTAÇÃO, EXTRAÇÃO OU PERFURAÇÃO DA TERRA, DE MINERAIS OU MINÉRIOS; BATE-ESTACAS E ARRANCA-ESTACAS; LIMPA-NEVES</t>
  </si>
  <si>
    <t>MÁQUINAS E APARELHOS DE USO AGRÍCOLA, HORTÍCOLA OU FLORESTAL, PARA PREPARAÇÃO OU TRABALHO DO SOLO OU PARA CULTURA; ROLOS PARA GRAMADOS (RELVADOS), OU PARA CAMPOS DE ESPORTE</t>
  </si>
  <si>
    <t>MÁQUINAS E APARELHOS PARA COLHEITA OU DEBULHA DE PRODUTOS AGRÍCOLAS, INCLUÍDAS AS ENFARDADORAS DE PALHA OU FORRAGEM; CORTADORES DE GRAMA (RELVA) E CEIFEIRAS; MÁQUINAS PARA LIMPAR OU SELECIONAR OVOS, FRUTAS OU OUTROS PRODUTOS AGRÍCOLAS, EXCETO AS DA POSIÇÃO 8437</t>
  </si>
  <si>
    <t>MÁQUINAS DE ORDENHAR E MÁQUINAS E APARELHOS PARA A INDÚSTRIA DE LATICÍNIOS</t>
  </si>
  <si>
    <t>PRENSAS, ESMAGADORES E MÁQUINAS E APARELHOS SEMELHANTES, PARA FABRICAÇÃO DE VINHO, SIDRA, SUCO DE FRUTAS OU BEBIDAS SEMELHANTES</t>
  </si>
  <si>
    <t>OUTRAS MÁQUINAS E APARELHOS PARA AGRICULTURA, HORTICULTURA, SILVICULTURA, AVICULTURA OU APICULTURA, INCLUÍDOS OS GERMINADORES EQUIPADOS COM DISPOSITIVOS MECÂNICOS OU TÉRMICOS E AS CHOCADEIRAS E CRIADEIRAS PARA AVICULTURA</t>
  </si>
  <si>
    <t>MÁQUINAS PARA LIMPEZA, SELEÇÃO OU PENEIRAÇÃO DE GRÃOS OU DE PRODUTOS HORTÍCOLAS SECOS; MÁQUINAS E APARELHOS PARA A INDÚSTRIA DE MOAGEM OU TRATAMENTO DE CEREAIS OU DE PRODUTOS HORTÍCOLAS SECOS, EXCETO DOS TIPOS UTILIZADOS EM FAZENDAS</t>
  </si>
  <si>
    <t>MÁQUINAS E APARELHOS NÃO ESPECIFICADOS NEM COMPREENDIDOS EM OUTRAS POSIÇÕES DO PRESENTE CAPÍTULO, PARA PREPARAÇÃO OU FABRICAÇÃO INDUSTRIAIS DE ALIMENTOS OU DE BEBIDAS, EXCETO AS MÁQUINAS E APARELHOS PARA EXTRAÇÃO OU PREPARAÇÃO DE ÓLEOS OU GORDURAS VEGETAIS FIXOS OU DE ÓLEOS OU GORDURAS ANIMAIS</t>
  </si>
  <si>
    <t>MÁQUINAS E APARELHOS PARA FABRICAÇÃO DE PASTA DE MATÉRIAS FIBROSAS CELULÓSICAS OU PARA FABRICAÇÃO OU ACABAMENTO DE PAPEL OU CARTÃO</t>
  </si>
  <si>
    <t>MÁQUINAS E APARELHOS PARA BROCHURA OU ENCADERNAÇÃO, INCLUÍDAS AS MÁQUINAS DE COSTURAR CADERNOS</t>
  </si>
  <si>
    <t>OUTRAS MÁQUINAS E APARELHOS PARA O TRABALHO DA PASTA DE PAPEL, DO PAPEL OU CARTÃO, INCLUÍDAS AS CORTADEIRAS DE TODOS OS TIPOS</t>
  </si>
  <si>
    <t>MÁQUINAS, APARELHOS E MATERIAL (EXCETO AS MÁQUINASFERRAMENTAS DAS POSIÇÕES 8456 A 8465), PARA FUNDIR OU COMPOR CARACTERES TIPOGRÁFICOS OU PARA PREPARAÇÃO OU FABRICAÇÃO DE CLICHÊS, BLOCOS, CILINDROS OU OUTROS ELEMENTOS DE IMPRESSÃO; CARACTERES TIPOGRÁFICOS, CLICHÊS, BLOCOS, CILINDROS OU OUTROS ELEMENTOS DE IMPRESSÃO; PEDRAS LITOGRÁFICAS, BLOCOS, PLACAS E CILINDROS, PREPARADOS PARA IMPRESSÃO (POR EXEMPLO: APLAINADOS, GRANULADOS OU POLIDOS)</t>
  </si>
  <si>
    <t>MÁQUINAS E APARELHOS DE IMPRESSÃO, INCLUÍDAS AS MÁQUINAS DE IMPRESSÃO DE JATO DE TINTA, EXCETO AS DA POSIÇÃO 8471; MÁQUINAS AUXILIARES PARA IMPRESSÃO</t>
  </si>
  <si>
    <t>MÁQUINAS PARA EXTRUDAR, ESTIRAR, TEXTURIZAR OU CORTAR MATÉRIAS TÊXTEIS SINTÉTICAS OU ARTIFICIAIS</t>
  </si>
  <si>
    <t>MÁQUINAS PARA PREPARAÇÃO DE MATÉRIAS TÊXTEIS; MÁQUINAS PARA FIAÇÃO, DOBRAGEM OU TORÇÃO, DE MATÉRIAS TÊXTEIS E OUTRAS MÁQUINAS E APARELHOS PARA FABRICAÇÃO DE FIOS TÊXTEIS; MÁQUINAS DE BOBINAR (INCLUÍDAS AS BOBINADEIRAS DE TRAMA) OU DE DOBAR MATÉRIAS TÊXTEIS E MÁQUINAS PARA PREPARAÇÃO DE FIOS TÊXTEIS PARA SUA UTILIZAÇÃO NAS MÁQUINAS DAS POSIÇÕES 8446 OU 8447</t>
  </si>
  <si>
    <t>TEARES PARA TECIDOS</t>
  </si>
  <si>
    <t>TEARES PARA FABRICAR MALHAS, MÁQUINAS DE COSTURA POR ENTRELAÇAMENTO ("COUTURE-TRICOTAGE"), MÁQUINAS PARA FABRICAR GUIPURAS, TULES, RENDAS, BORDADOS, PASSAMANARIAS, GALÕES OU REDES; MÁQUINAS PARA INSERIR TUFOS</t>
  </si>
  <si>
    <t>MÁQUINAS E APARELHOS AUXILIARES PARA AS MÁQUINAS DAS POSIÇÕES 8444, 8445, 8446 OU 8447 (POR EXEMPLO: RATIERAS, MECANISMOS "JACQUARD", QUEBRA-URDIDURAS E QUEBRA-TRAMAS, MECANISMOS TROCA-LANÇADEIRAS)</t>
  </si>
  <si>
    <t>MÁQUINAS E APARELHOS PARA FABRICAÇÃO OU ACABAMENTO DE FELTRO OU DE FALSOS TECIDOS, EM PEÇA OU EM FORMAS DETERMINADAS, INCLUÍDAS AS MÁQUINAS E APARELHOS PARA FABRICAÇÃO DE CHAPÉUS DE FELTRO; FORMAS PARA CHAPÉUS E PARA ARTEFATOS DE USO SEMELHANTE</t>
  </si>
  <si>
    <t>MÁQUINAS DE LAVAR ROUPA, MESMO COM DISPOSITIVOS DE SECAGEM</t>
  </si>
  <si>
    <t>MÁQUINAS E APARELHOS (EXCETO AS MÁQUINAS DA POSIÇÃO 8450) PARA LAVAR, LIMPAR, ESPREMER, SECAR, PASSAR, PRENSAR (INCLUÍDAS AS PRENSAS FIXADORAS), BRANQUEAR, TINGIR, PARA APRESTO E ACABAMENTO, PARA REVESTIR OU IMPREGNAR FIOS, TECIDOS OU OBRAS DE MATÉRIAS TÊXTEIS E MÁQUINAS PARA REVESTIR TECIDOSBASE OU OUTROS SUPORTES UTILIZADOS NA FABRICAÇÃO DE REVESTIMENTOS PARA PAVIMENTOS, TAIS COMO LINÓLEO; MÁQUINAS PARA ENROLAR, DESENROLAR, DOBRAR, CORTAR OU DENTEAR TECIDOS</t>
  </si>
  <si>
    <t>MÁQUINAS DE COSTURA, EXCETO AS DE COSTURAR CADERNOS DA POSIÇÃO 8440; MÓVEIS, BASES E TAMPAS, PRÓPRIOS PARA MÁQUINAS DE COSTURA; AGULHAS PARA MÁQUINAS DE COSTURA</t>
  </si>
  <si>
    <t>MÁQUINAS E APARELHOS PARA PREPARAR, CURTIR OU TRABALHAR COUROS OU PELES, OU PARA FABRICAR OU CONSERTAR CALÇADOS E OUTRAS OBRAS DE COURO OU DE PELE, EXCETO MÁQUINAS DE COSTURA</t>
  </si>
  <si>
    <t>CONVERSORES, CADINHOS OU COLHERES DE FUNDIÇÃO, LINGOTEIRAS E MÁQUINAS DE VAZAR (MOLDAR), PARA METALURGIA, ACIARIA OU FUNDIÇÃO</t>
  </si>
  <si>
    <t>LAMINADORES DE METAIS E SEUS CILINDROS</t>
  </si>
  <si>
    <t>MÁQUINAS-FERRAMENTAS QUE TRABALHEM POR ELIMINAÇÃO DE QUALQUER MATÉRIA, OPERANDO POR "LASER" OU POR OUTROS FEIXES DE LUZ OU DE FÓTONS, POR ULTRA-SOM, ELETRO-EROSÃO, PROCESSOS ELETROQUÍMICOS, FEIXES DE ELÉTRONS, FEIXES IÔNICOS OU POR JATO DE PLASMA</t>
  </si>
  <si>
    <t>CENTROS DE USINAGEM (CENTROS DE MAQUINAGEM*), MÁQUINAS DE SISTEMA MONOSTÁTICO ("SINGLE STATION") E MÁQUINAS DE ESTAÇÕES MÚLTIPLAS, PARA TRABALHAR METAIS</t>
  </si>
  <si>
    <t>TORNOS (INCLUÍDOS OS CENTROS DE TORNEAMENTO) PARA METAIS.</t>
  </si>
  <si>
    <t>MÁQUINAS-FERRAMENTAS (INCLUÍDAS AS UNIDADES COM CABEÇA DESLIZANTE) PARA FURAR, MANDRILAR, FRESAR OU ROSCAR INTERIOR E EXTERIORMENTE METAIS, POR ELIMINAÇÃO DE MATÉRIA, EXCETO OS TORNOS (INCLUÍDOS OS CENTROS DE TORNEAMENTO) DA POSIÇÃO 8458</t>
  </si>
  <si>
    <t>MÁQUINAS-FERRAMENTAS PARA REBARBAR, AFIAR, AMOLAR, RETIFICAR, BRUNIR, POLIR OU REALIZAR OUTRAS OPERAÇÕES DE ACABAMENTO EM METAIS OU CERAMAIS ("CERMETS") POR MEIO DE MÓS, DE ABRASIVOS OU DE PRODUTOS POLIDORES, EXCETO AS MÁQUINAS DE CORTAR OU ACABAR ENGRENAGENS DA POSIÇÃO 8461</t>
  </si>
  <si>
    <t>MÁQUINAS-FERRAMENTAS PARA APLAINAR, PLAINASLIMADORAS, MÁQUINAS-FERRAMENTAS PARA ESCATELAR, BROCHAR, CORTAR OU ACABAR ENGRENAGENS, SERRAR, SECCIONAR E OUTRAS MÁQUINAS-FERRAMENTAS QUE TRABALHEM POR ELIMINAÇÃO DE METAL OU DE CERAMAIS ("CERMETS"), NÃO ESPECIFICADAS NEM COMPREENDIDAS EM OUTRAS POSIÇÕES</t>
  </si>
  <si>
    <t>MÁQUINAS-FERRAMENTAS (INCLUÍDAS AS PRENSAS) PARA FORJAR OU ESTAMPAR, MARTELOS, MARTELOS-PILÕES E MARTINETES, PARA TRABALHAR METAIS; MÁQUINASFERRAMENTAS (INCLUÍDAS AS PRENSAS) PARA ENROLAR, ARQUEAR, DOBRAR, ENDIREITAR, APLANAR, CISALHAR, PUNCIONAR OU CHANFRAR METAIS; PRENSAS PARA TRABALHAR METAIS OU CARBONETOS METÁLICOS, NÃO ESPECIFICADAS ACIMA</t>
  </si>
  <si>
    <t>OUTRAS MÁQUINAS-FERRAMENTAS PARA TRABALHAR METAIS OU CERAMAIS ("CERMETS"), QUE TRABALHEM SEM ELIMINAÇÃO DE MATÉRIA</t>
  </si>
  <si>
    <t>MÁQUINAS-FERRAMENTAS PARA TRABALHAR PEDRA, PRODUTOS CERÂMICOS, CONCRETO (BETÃO), FIBROCIMENTO OU MATÉRIAS MINERAIS SEMELHANTES, OU PARA O TRABALHO A FRIO DO VIDRO</t>
  </si>
  <si>
    <t>MÁQUINAS-FERRAMENTAS (INCLUÍDAS AS MÁQUINAS PARA PREGAR, GRAMPEAR, COLAR OU REUNIR POR QUALQUER OUTRO MODO) PARA TRABALHAR MADEIRA, CORTIÇA, OSSO, BORRACHA ENDURECIDA, PLÁSTICOS DUROS OU MATÉRIAS DURAS SEMELHANTES</t>
  </si>
  <si>
    <t>FERRAMENTAS PNEUMÁTICAS, HIDRÁULICAS OU DE MOTOR, NÃO ELÉTRICO, INCORPORADO, DE USO MANUAL</t>
  </si>
  <si>
    <t>MÁQUINAS E APARELHOS PARA SOLDAR, MESMO DE CORTE, EXCETO OS DA POSIÇÃO 8515; MÁQUINAS E APARELHOS A GÁS, PARA TÊMPERA SUPERFICIAL</t>
  </si>
  <si>
    <t>MÁQUINAS DE ESCREVER, EXCETO AS IMPRESSORAS DA POSIÇÃO 8471; MÁQUINAS DE TRATAMENTO DE TEXTOS</t>
  </si>
  <si>
    <t>MÁQUINAS DE CALCULAR QUE PERMITAM GRAVAR, REPRODUZIR E VISUALIZAR INFORMAÇÕES, COM FUNÇÃO DE CÁLCULO INCORPORADA; MÁQUINAS DE CONTABILIDADE, MÁQUINAS DE FRANQUEAR, DE EMITIR BILHETES E MÁQUINAS SEMELHANTES, COM DISPOSITIVO DE CÁLCULO INCORPORADO; CAIXAS REGISTRADORAS</t>
  </si>
  <si>
    <t>8470.21</t>
  </si>
  <si>
    <t>--Máquinas eletrônicas de calcular com dispositivo impressor incorporado</t>
  </si>
  <si>
    <t>8470.29</t>
  </si>
  <si>
    <t>--Outras máquinas eletrônicas de calcular, exceto de bolso</t>
  </si>
  <si>
    <t>8470.30</t>
  </si>
  <si>
    <t>-Outras máquinas de calcular</t>
  </si>
  <si>
    <t>8470.40</t>
  </si>
  <si>
    <t>-Máquinas de contabilidade</t>
  </si>
  <si>
    <t>8470.50</t>
  </si>
  <si>
    <t>-Caixas registradoras</t>
  </si>
  <si>
    <t>8470.90</t>
  </si>
  <si>
    <t>Máquinas de franquear correspondência</t>
  </si>
  <si>
    <t>MÁQUINAS AUTOMÁTICAS PARA PROCESSAMENTO DE DADOS E SUAS UNIDADES; LEITORES MAGNÉTICOS OU ÓPTICOS, MÁQUINAS PARA REGISTRAR DADOS EM SUPORTE SOB FORMA CODIFICADA, E MÁQUINAS PARA PROCESSAMENTO DESSES DADOS, NÃO ESPECIFICADAS NEM COMPREENDIDAS EM OUTRAS POSIÇÕES</t>
  </si>
  <si>
    <t>OUTRAS MÁQUINAS E APARELHOS DE ESCRITÓRIO [POR EXEMPLO: DUPLICADORES HECTOGRÁFICOS OU A ESTÊNCIL, MÁQUINAS PARA IMPRIMIR ENDEREÇOS, DISTRIBUIDORES AUTOMÁTICOS DE PAPEL-MOEDA, MÁQUINAS PARA SELECIONAR, CONTAR OU EMPACOTAR MOEDAS, APONTADORES (AFIADORES) MECÂNICOS DE LÁPIS, PERFURADORES OU GRAMPEADORES]</t>
  </si>
  <si>
    <t>MÁQUINAS E APARELHOS PARA SELECIONAR, PENEIRAR, SEPARAR, LAVAR, ESMAGAR, MOER, MISTURAR OU AMASSAR TERRAS, PEDRAS, MINÉRIOS OU OUTRAS SUBSTÂNCIAS MINERAIS SÓLIDAS (INCLUÍDOS OS PÓS E PASTAS); MÁQUINAS PARA AGLOMERAR OU MOLDAR COMBUSTÍVEIS MINERAIS SÓLIDOS, PASTAS CERÂMICAS, CIMENTO, GESSO OU OUTRAS MATÉRIAS MINERAIS EM PÓ OU EM PASTA; MÁQUINAS PARA FAZER MOLDES DE AREIA PARA FUNDIÇÃO</t>
  </si>
  <si>
    <t>MÁQUINAS PARA MONTAGEM DE LÂMPADAS, TUBOS OU VÁLVULAS, ELÉTRICOS OU ELETRÔNICOS, OU DE LÂMPADAS DE LUZ RELÂMPAGO ("FLASH"), QUE TENHAM INVÓLUCRO DE VIDRO; MÁQUINAS PARA FABRICAÇÃO OU TRABALHO A QUENTE DO VIDRO OU DAS SUAS OBRAS</t>
  </si>
  <si>
    <t>MÁQUINAS AUTOMÁTICAS DE VENDA DE PRODUTOS (POR EXEMPLO: SELOS, CIGARROS, ALIMENTOS OU BEBIDAS), INCLUÍDAS AS MÁQUINAS DE TROCAR DINHEIRO</t>
  </si>
  <si>
    <t>MÁQUINAS E APARELHOS PARA TRABALHAR BORRACHA OU PLÁSTICOS OU PARA FABRICAÇÃO DE PRODUTOS DESSAS MATÉRIAS, NÃO ESPECIFICADOS NEM COMPREENDIDOS EM OUTRAS POSIÇÕES DESTE CAPÍTULO</t>
  </si>
  <si>
    <t>MÁQUINAS E APARELHOS PARA PREPARAR OU TRANSFORMAR FUMO (TABACO), NÃO ESPECIFICADOS NEM COMPREENDIDOS EM OUTRAS POSIÇÕES DESTE CAPÍTULO</t>
  </si>
  <si>
    <t>MÁQUINAS E APARELHOS MECÂNICOS COM FUNÇÃO PRÓPRIA, NÃO ESPECIFICADOS NEM COMPREENDIDOS EM OUTRAS POSIÇÕES DESTE CAPÍTULO</t>
  </si>
  <si>
    <t>8479.10</t>
  </si>
  <si>
    <t>-Máquinas e aparelhos para obras públicas, construção civil ou trabalhos semelhantes</t>
  </si>
  <si>
    <t>8479.20</t>
  </si>
  <si>
    <t>-Máquinas e aparelhos para extração ou preparação de óleos ou gorduras vegetais fixos ou de óleos ou gorduras animais</t>
  </si>
  <si>
    <t>8479.30</t>
  </si>
  <si>
    <t>-Prensas para fabricação de painéis de partículas, de fibras de madeira ou de outras matérias lenhosas, e outras máquinas e aparelhos para tratamento de madeira ou de cortiça</t>
  </si>
  <si>
    <t>8479.40</t>
  </si>
  <si>
    <t>-Máquinas para fabricação de cordas ou cabos</t>
  </si>
  <si>
    <t>8479.50</t>
  </si>
  <si>
    <t>-Robôs industriais, não especificados nem compreendidos em outras posições</t>
  </si>
  <si>
    <t>8479.60</t>
  </si>
  <si>
    <t>-Aparelhos de evaporação para arrefecimento do ar</t>
  </si>
  <si>
    <t>8479.8</t>
  </si>
  <si>
    <t>-Outras máquinas e aparelhos</t>
  </si>
  <si>
    <t>8479.81</t>
  </si>
  <si>
    <t>--Para tratamento de metais, incluídas as bobinadoras para enrolamentos elétricos</t>
  </si>
  <si>
    <t>8479.82</t>
  </si>
  <si>
    <t>--Para misturar, amassar, esmagar, moer, separar, peneirar, homogeneizar, emulsionar ou agitar</t>
  </si>
  <si>
    <t>8479.89</t>
  </si>
  <si>
    <t>--Outros</t>
  </si>
  <si>
    <t>CAIXAS DE FUNDIÇÃO; PLACAS DE FUNDO PARA MOLDES; MODELOS PARA MOLDES; MOLDES PARA METAIS (EXCETO LINGOTEIRAS), CARBONETOS METÁLICOS, VIDRO, MATÉRIAS MINERAIS, BORRACHA OU PLÁSTICOS</t>
  </si>
  <si>
    <t>ÁRVORES (VEIOS) DE TRANSMISSÃO [INCLUÍDAS AS ÁRVORES DE EXCÊNTRICOS (CAMES) E VIRABREQUINS (CAMBOTAS)] E MANIVELAS; MANCAIS (CHUMACEIRAS) E "BRONZES"; ENGRENAGENS E RODAS DE FRICÇÃO; EIXOS DE ESFERAS OU DE ROLETES; REDUTORES, MULTIPLICADORES, CAIXAS DE TRANSMISSÃO E VARIADORES DE VELOCIDADE, INCLUÍDOS OS CONVERSORES DE TORQUE (BINÁRIOS); VOLANTES E POLIAS, INCLUÍDAS AS POLIAS PARA CADERNAIS; EMBREAGENS E DISPOSITIVOS DE ACOPLAMENTO, INCLUÍDAS AS JUNTAS DE ARTICULAÇÃO</t>
  </si>
  <si>
    <t>8483.40</t>
  </si>
  <si>
    <t>Caixas de transmissão, redutores, multiplicadores e variadores de velocidade, incluídos os conversores de torque (binários)</t>
  </si>
  <si>
    <t>Capítulo 85</t>
  </si>
  <si>
    <t>MÁQUINAS, APARELHOS E MATERIAIS ELÉTRICOS, APARELHOS DE GRAVAÇÃO OU DE REPRODUÇÃO DE SOM, APARELHOS DE GRAVAÇÃO OU DE REPRODUÇÃO DE IMAGENS E DE SOM EM TELEVISÃO</t>
  </si>
  <si>
    <t>MOTORES E GERADORES, ELÉTRICOS, EXCETO OS GRUPOS ELETROGÊNEOS</t>
  </si>
  <si>
    <t>GRUPOS ELETROGÊNEOS E CONVERSORES ROTATIVOS, ELÉTRICOS</t>
  </si>
  <si>
    <t>TRANSFORMADORES ELÉTRICOS, CONVERSORES ELÉTRICOS ESTÁTICOS (RETIFICADORES, POR EXEMPLO), BOBINAS DE REATÂNCIA E DE AUTO-INDUÇÃO</t>
  </si>
  <si>
    <t>FERRAMENTAS ELETROMECÂNICAS DE MOTOR ELÉTRICO INCORPORADO, DE USO MANUAL</t>
  </si>
  <si>
    <t>APARELHOS OU MÁQUINAS DE TOSQUIAR DE MOTOR ELÉTRICO INCORPORADO</t>
  </si>
  <si>
    <t>FORNOS ELÉTRICOS INDUSTRIAIS OU DE LABORATÓRIO, INCLUÍDOS OS QUE FUNCIONAM POR INDUÇÃO OU POR PERDAS DIELÉTRICAS; OUTROS APARELHOS INDUSTRIAIS OU DE LABORATÓRIO PARA TRATAMENTO TÉRMICO DE MATÉRIAS POR INDUÇÃO OU POR PERDAS DIELÉTRICAS</t>
  </si>
  <si>
    <t>MÁQUINAS E APARELHOS PARA SOLDAR (MESMO DE CORTE) ELÉTRICOS (INCLUÍDOS OS A GÁS AQUECIDO ELETRICAMENTE), A "LASER" OU OUTROS FEIXES DE LUZ OU DE FÓTONS, A ULTRA-SOM, A FEIXES DE ELÉTRONS, A IMPULSOS MAGNÉTICOS OU A JATO DE PLASMA; MÁQUINAS E APARELHOS ELÉTRICOS PARA PROJEÇÃO A QUENTE DE METAIS OU DE CERAMAIS ("CERMETS")</t>
  </si>
  <si>
    <t>APARELHOS ELÉTRICOS PARA AQUECIMENTO DE AMBIENTES, DO SOLO OU PARA USOS SEMELHANTES</t>
  </si>
  <si>
    <t>APARELHOS ELÉTRICOS PARA TELEFONIA OU TELEGRAFIA, POR FIO, INCLUÍDOS OS APARELHOS TELEFÔNICOS POR FIO CONJUGADO COM UM APARELHO TELEFÔNICO PORTÁTIL SEM FIO E OS APARELHOS DE TELECOMUNICAÇÃO POR CORRENTE PORTADORA OU DE TELECOMUNICAÇÃO DIGITAL; VIDEOFONES</t>
  </si>
  <si>
    <t>GRAVADORES DE DADOS DE VOO</t>
  </si>
  <si>
    <t>APARELHOS VIDEOFÔNICOS DE GRAVAÇÃO OU DE REPRODUÇÃO, MESMO INCORPORANDO UM RECEPTOR DE SINAIS VIDEOFÔNICOS</t>
  </si>
  <si>
    <t>8521.10</t>
  </si>
  <si>
    <t>Gravador-reprodutor de fita magnética, sem sintonizador</t>
  </si>
  <si>
    <t>8521.90</t>
  </si>
  <si>
    <t>Gravador-reprodutor e editor de imagem e som, em discos, por meio magnético, óptico ou opto-magnético</t>
  </si>
  <si>
    <t>DISCOS, FITAS E OUTROS SUPORTES GRAVADOS, COM EXCLUSÃO DOS PRODUTOS DO CAPÍTULO 37</t>
  </si>
  <si>
    <t>8524.3</t>
  </si>
  <si>
    <t>-Discos para sistemas de leitura por raio "laser":</t>
  </si>
  <si>
    <t>8524.40</t>
  </si>
  <si>
    <t>-Fitas magnéticas para reprodução de fenômenos diferentes do som e da imagem</t>
  </si>
  <si>
    <t>8524.5</t>
  </si>
  <si>
    <t>-Outras fitas magnéticas</t>
  </si>
  <si>
    <t>8524.60</t>
  </si>
  <si>
    <t>-Cartões magnéticos</t>
  </si>
  <si>
    <t>APARELHOS TRANSMISSORES (EMISSORES) PARA RADIOTELEFONIA, RADIOTELEGRAFIA, RADIODIFUSÃO OU TELEVISÃO, MESMO INCORPORANDO UM APARELHO DE RECEPÇÃO OU UM APARELHO DE GRAVAÇÃO OU DE REPRODUÇÃO DE SOM; CÂMERAS DE TELEVISÃO; CÂMERAS DE VÍDEO DE IMAGENS FIXAS E OUTRAS CÂMERAS ("CAMCORDERS")</t>
  </si>
  <si>
    <t>APARELHOS DE RADIODETECÇÃO E DE RADIOSSONDAGEM (RADAR), APARELHOS DE RADIONAVEGAÇÃO E APARELHOS DE RADIOTELECOMANDO</t>
  </si>
  <si>
    <t>APARELHOS RECEPTORES PARA RADIOTELEFONIA, RADIOTELEGRAFIA OU RADIODIFUSÃO, EXCETO DE USO DOMÉSTICO</t>
  </si>
  <si>
    <t>APARELHOS ELÉTRICOS DE SINALIZAÇÃO ACÚSTICA OU VISUAL (POR EXEMPLO: CAMPAINHAS, SIRENAS, QUADROS INDICADORES, APARELHOS DE ALARME PARA PROTEÇÃO CONTRA ROUBO OU INCÊNDIO), EXCETO OS DAS POSIÇÕES 8512 OU 8530</t>
  </si>
  <si>
    <t>8531.20</t>
  </si>
  <si>
    <t>Painéis indicadores com dispositivos de cristais líquidos (LCD) ou de diodos emissores de luz (LED), próprios para anúncios publicitários</t>
  </si>
  <si>
    <t>MÁQUINAS E APARELHOS ELÉTRICOS COM FUNÇÃO PRÓPRIA, NÃO ESPECIFICADOS NEM COMPREENDIDOS EM OUTRAS POSIÇÕES DESTE CAPÍTULO</t>
  </si>
  <si>
    <t>Capítulo 86</t>
  </si>
  <si>
    <t>VEÍCULOS E MATERIAL PARA VIAS FÉRREAS OU SEMELHANTES, APARELHOS MECÂNICOS (INCLUÍDOS OS ELETROMECÂNICOS) DE SINALIZAÇÃO PARA VIAS DE COMUNICAÇÃO</t>
  </si>
  <si>
    <t>LOCOMOTIVAS E LOCOTRATORES, DE FONTE EXTERNA DE ELETRICIDADE OU DE ACUMULADORES ELÉTRICOS</t>
  </si>
  <si>
    <t>OUTRAS LOCOMOTIVAS E LOCOTRATORES; TÊNDERES</t>
  </si>
  <si>
    <t>LITORINAS (AUTOMOTORAS), MESMO PARA CIRCULAÇÃO URBANA, EXCETO AS DA POSIÇÃO 8604</t>
  </si>
  <si>
    <t>VEÍCULOS PARA INSPEÇÃO E MANUTENÇÃO DE VIAS FÉRREAS OU SEMELHANTES, MESMO AUTOPROPULSORES (POR EXEMPLO: VAGÕES-OFICINAS, VAGÕES-GUINDASTES, VAGÕES EQUIPADOS COM BATEDORES DE BALASTRO, ALINHADORES DE VIAS, VIATURAS PARA TESTES E DRESINAS)</t>
  </si>
  <si>
    <t>VAGÕES DE PASSAGEIROS, FURGÕES PARA BAGAGEM, VAGÕES-POSTAIS E OUTROS VAGÕES ESPECIAIS, PARA VIAS FÉRREAS OU SEMELHANTES (EXCLUÍDAS AS VIATURAS DA POSIÇÃO 8604)</t>
  </si>
  <si>
    <t>VAGÕES PARA TRANSPORTE DE MERCADORIAS SOBRE VIAS FÉRREAS</t>
  </si>
  <si>
    <t>APARELHOS MECÂNICOS (INCLUÍDOS OS ELETROMECÂNICOS) DE SINALIZAÇÃO, DE SEGURANÇA, DE CONTROLE OU DE COMANDO PARA VIAS FÉRREAS OU SEMELHANTES, RODOVIÁRIAS OU FLUVIAIS, PARA ÁREAS OU PARQUES DE ESTACIONAMENTO, INSTALAÇÕES PORTUÁRIAS OU PARA AERÓDROMOS</t>
  </si>
  <si>
    <t>CONTEINERES (CONTENTORES), INCLUÍDOS OS DE TRANSPORTE DE FLUIDOS, ESPECIALMENTE CONCEBIDOS E EQUIPADOS PARA UM OU VÁRIOS MEIOS DE TRANSPORTE</t>
  </si>
  <si>
    <t>Capítulo 87</t>
  </si>
  <si>
    <t>VEÍCULOS AUTOMÓVEIS, TRATORES, CICLOS E OUTROS VEÍCULOS TERRESTRES</t>
  </si>
  <si>
    <t>TRATORES (EXCETO OS CARROS-TRATORES DA POSIÇÃO 8709)</t>
  </si>
  <si>
    <t>VEÍCULOS AUTOMÓVEIS PARA TRANSPORTE DE 10 PESSOAS OU MAIS, INCLUINDO O MOTORISTA</t>
  </si>
  <si>
    <t>AUTOMÓVEIS DE PASSAGEIROS E OUTROS VEÍCULOS AUTOMÓVEIS PRINCIPALMENTE CONCEBIDOS PARA TRANSPORTE DE PESSOAS (EXCETO OS DA POSIÇÃO 8702), INCLUÍDOS OS VEÍCULOS DE USO MISTO ("STATION WAGONS") E OS AUTOMÓVEIS DE CORRIDA</t>
  </si>
  <si>
    <t>VEÍCULOS AUTOMÓVEIS PARA TRANSPORTE DE MERCADORIAS</t>
  </si>
  <si>
    <t>VEÍCULOS AUTOMÓVEIS PARA USOS ESPECIAIS (POR EXEMPLO: AUTO-SOCORROS, CAMINHÕES-GUINDASTES, VEÍCULOS DE COMBATE A INCÊNDIOS, CAMINHÕESBETONEIRAS, VEÍCULOS PARA VARRER, VEÍCULOS PARA ESPALHAR, VEÍCULOS-OFICINAS, VEÍCULOS RADIOLÓGICOS), EXCETO OS CONCEBIDOS PRINCIPALMENTE PARA TRANSPORTE DE PESSOAS OU DE MERCADORIAS</t>
  </si>
  <si>
    <t>VEÍCULOS AUTOMÓVEIS SEM DISPOSITIVO DE ELEVAÇÃO, DOS TIPOS UTILIZADOS EM FÁBRICAS, ARMAZÉNS, PORTOS OU AEROPORTOS, PARA TRANSPORTE DE MERCADORIAS A CURTAS DISTÂNCIAS; CARROS-TRATORES DOS TIPOS UTILIZADOS NAS ESTAÇÕES FERROVIÁRIAS</t>
  </si>
  <si>
    <t>MOTOCICLETAS (INCLUÍDOS OS CICLOMOTORES) E OUTROS CICLOS EQUIPADOS COM MOTOR AUXILIAR, MESMO COM CARRO LATERAL; CARROS LATERAIS</t>
  </si>
  <si>
    <t>REBOQUES E SEMI-REBOQUES, PARA QUAISQUER VEÍCULOS; OUTROS VEÍCULOS NÃO AUTOPROPULSORES</t>
  </si>
  <si>
    <t>Capítulo 88</t>
  </si>
  <si>
    <t>AERONAVES E APARELHOS ESPACIAIS</t>
  </si>
  <si>
    <t>BALÕES E DIRIGÍVEIS; PLANADORES, ASAS VOADORAS E OUTROS VEÍCULOS AÉREOS, NÃO CONCEBIDOS PARA PROPULSÃO COM MOTOR</t>
  </si>
  <si>
    <t>OUTROS VEÍCULOS AÉREOS (POR EXEMPLO: HELICÓPTEROS, AVIÕES); VEÍCULOS ESPACIAIS (INCLUÍDOS OS SATÉLITES) E SEUS VEÍCULOS DE LANÇAMENTO, E VEÍCULOS SUBORBITAIS</t>
  </si>
  <si>
    <t>PÁRA-QUEDAS (INCLUÍDOS OS PÁRA-QUEDAS DIRIGÍVEIS E OS PARAPENTES) E OS PÁRA-QUEDAS GIRATÓRIOS</t>
  </si>
  <si>
    <t>APARELHOS E DISPOSITIVOS PARA LANÇAMENTO DE VEÍCULOS AÉREOS; APARELHOS E DISPOSITIVOS PARA ATERRISSAGEM DE VEÍCULOS AÉREOS EM PORTA-AVIÕES E APARELHOS E DISPOSITIVOS SEMELHANTES; APARELHOS SIMULADORES DE VOO EM TERRA</t>
  </si>
  <si>
    <t>Capítulo 89</t>
  </si>
  <si>
    <t>EMBARCAÇÕES E ESTRUTURAS FLUTUANTES</t>
  </si>
  <si>
    <t>TRANSATLÂNTICOS, BARCOS DE CRUZEIRO, "FERRY-BOATS", CARGUEIROS, CHATAS E EMBARCAÇÕES SEMELHANTES, PARA O TRANSPORTE DE PESSOAS OU DE MERCADORIAS</t>
  </si>
  <si>
    <t>BARCOS DE PESCA; NAVIOS-FÁBRICAS E OUTRAS EMBARCAÇÕES PARA O TRATAMENTO OU CONSERVAÇÃO DE PRODUTOS DA PESCA</t>
  </si>
  <si>
    <t>IATES E OUTROS BARCOS E EMBARCAÇÕES DE RECREIO OU DE ESPORTE; BARCOS A REMOS E CANOAS</t>
  </si>
  <si>
    <t>8903.10</t>
  </si>
  <si>
    <t>-Barcos infláveis</t>
  </si>
  <si>
    <t>8903.9</t>
  </si>
  <si>
    <t>-Outros</t>
  </si>
  <si>
    <t>REBOCADORES E BARCOS CONCEBIDOS PARA EMPURRAR OUTRAS EMBARCAÇÕES</t>
  </si>
  <si>
    <t>BARCOS-FARÓIS, BARCOS-BOMBAS, DRAGAS, GUINDASTES FLUTUANTES E OUTRAS EMBARCAÇÕES EM QUE A NAVEGAÇÃO É ACESSÓRIA DA FUNÇÃO PRINCIPAL; DOCAS OU DIQUES FLUTUANTES; PLATAFORMAS DE PERFURAÇÃO OU DE EXPLORAÇÃO, FLUTUANTES OU SUBMERSÍVEIS</t>
  </si>
  <si>
    <t>%</t>
  </si>
  <si>
    <t>OUTRAS EMBARCAÇÕES, INCLUÍDOS OS NAVIOS DE GUERRA E OS BARCOS SALVA-VIDAS, EXCETO OS BARCOS A REMO</t>
  </si>
  <si>
    <t>OUTRAS ESTRUTURAS FLUTUANTES (POR EXEMPLO: BALSAS, RESERVATÓRIOS, CAIXÕES, BÓIAS DE AMARRAÇÃO, BÓIAS DE SINALIZAÇÃO E SEMELHANTES)</t>
  </si>
  <si>
    <t>8907.10</t>
  </si>
  <si>
    <t>-Balsas infláveis</t>
  </si>
  <si>
    <t>8907.90</t>
  </si>
  <si>
    <t>-Outras</t>
  </si>
  <si>
    <t>Capítulo 90</t>
  </si>
  <si>
    <t>INSTRUMENTOS E APARELHOS DE ÓPTICA, FOTOGRAFIA OU CINEMATOGRAFIA, MEDIDA, CONTROLE OU DE PRECISÃO; INSTRUMENTOS E APARELHOS MÉDICO-CIRÚRGICOS</t>
  </si>
  <si>
    <t>BINÓCULOS, LUNETAS, INCLUÍDAS AS ASTRONÔMICAS, TELESCÓPIOS ÓPTICOS, E SUAS ARMAÇÕES; OUTROS INSTRUMENTOS DE ASTRONOMIA E SUAS ARMAÇÕES, EXCETO OS APARELHOS DE RADIOASTRONOMIA</t>
  </si>
  <si>
    <t>APARELHOS FOTOGRÁFICOS; APARELHOS E DISPOSITIVOS, EXCLUÍDAS AS LÂMPADAS E TUBOS, DE LUZ-RELÂMPAGO ("FLASH"), PARA FOTOGRAFIA</t>
  </si>
  <si>
    <t>CÂMERAS E PROJETORES, CINEMATOGRÁFICOS, MESMO COM APARELHOS DE GRAVAÇÃO OU DE REPRODUÇÃO DE SOM INCORPORADOS</t>
  </si>
  <si>
    <t>APARELHOS DE PROJEÇÃO FIXA; APARELHOS FOTOGRÁFICOS, DE AMPLIAÇÃO OU DE REDUÇÃO</t>
  </si>
  <si>
    <t>APARELHOS DE FOTOCÓPIA, POR SISTEMA ÓPTICO OU POR CONTATO, E APARELHOS DE TERMOCÓPIA</t>
  </si>
  <si>
    <t>APARELHOS DOS TIPOS USADOS NOS LABORATÓRIOS FOTOGRÁFICOS OU CINEMATOGRÁFICOS (INCLUÍDOS OS APARELHOS PARA PROJEÇÃO OU EXECUÇÃO DE TRAÇADOS DE CIRCUITOS SOBRE SUPERFÍCIES SENSIBILIZADAS DE MATERIAIS SEMICONDUTORES); NEGATOSCÓPIOS; TELAS PARA PROJEÇÃO</t>
  </si>
  <si>
    <t>MICROSCÓPIOS ÓPTICOS, INCLUÍDOS OS MICROSCÓPIOS PARA FOTOMICROGRAFIA, CINEFOTOMICROGRAFIA OU MICROPROJEÇÃO</t>
  </si>
  <si>
    <t>MICROSCÓPIOS (EXCETO ÓPTICOS) E DIFRATÓGRAFOS</t>
  </si>
  <si>
    <t>BÚSSOLAS, INCLUÍDAS AS AGULHAS DE MAREAR, OUTROS INSTRUMENTOS E APARELHOS DE NAVEGAÇÃO</t>
  </si>
  <si>
    <t>INSTRUMENTOS E APARELHOS DE GEODÉSIA, TOPOGRAFIA, AGRIMENSURA, NIVELAMENTO, FOTOGRAMETRIA, HIDROGRAFIA, OCEANOGRAFIA, HIDROLOGIA, METEOROLOGIA OU DE GEOFÍSICA, EXCETO BÚSSOLAS; TELÊMETROS</t>
  </si>
  <si>
    <t>BALANÇAS SENSÍVEIS A PESOS IGUAIS OU INFERIORES A 5cg, COM OU SEM PESOS</t>
  </si>
  <si>
    <t>INSTRUMENTOS DE DESENHO, DE TRAÇADO OU DE CÁLCULO (POR EXEMPLO: MÁQUINAS DE DESENHAR, PANTÓGRAFOS, TRANSFERIDORES, ESTOJOS DE DESENHO, RÉGUAS DE CÁLCULO E DISCOS DE CÁLCULO); INSTRUMENTOS DE MEDIDA DE DISTÂNCIAS DE USO MANUAL (POR EXEMPLO: METROS, MICRÔMETROS, PAQUÍMETROS E CALIBRES), NÃO ESPECIFICADOS NEM COMPREENDIDOS EM OUTRAS POSIÇÕES DESTE CAPÍTULO</t>
  </si>
  <si>
    <t>INSTRUMENTOS E APARELHOS PARA MEDICINA, CIRURGIA, ODONTOLOGIA E VETERINÁRIA, INCLUÍDOS OS APARELHOS PARA CINTILOGRAFIA E OUTROS APARELHOS ELETROMÉDICOS, BEM COMO OS APARELHOS PARA TESTES VISUAIS</t>
  </si>
  <si>
    <t>9018.1</t>
  </si>
  <si>
    <t>-Aparelhos de eletrodiagnóstico (incluídos os aparelhos de exploração funcional e os de verificação de parâmetros fisiológicos)</t>
  </si>
  <si>
    <t>9018.20</t>
  </si>
  <si>
    <t>-Aparelhos de raios ultravioleta ou infravermelhos</t>
  </si>
  <si>
    <t>9018.4</t>
  </si>
  <si>
    <t>-Outros instrumentos e aparelhos para odontologia</t>
  </si>
  <si>
    <t>9018.41</t>
  </si>
  <si>
    <t>--Aparelhos dentários de brocar, mesmo combinados numa base comum com outros equipamentos dentários</t>
  </si>
  <si>
    <t>9018.49</t>
  </si>
  <si>
    <t>--Outros instrumentos e aparelhos para odontologia</t>
  </si>
  <si>
    <t>9018.50</t>
  </si>
  <si>
    <t>-Outros instrumentos e aparelhos para oftalmologia</t>
  </si>
  <si>
    <t>9018.90</t>
  </si>
  <si>
    <t>-Outros instrumentos e aparelhos</t>
  </si>
  <si>
    <t>APARELHOS DE MECANOTERAPIA; APARELHOS DE MASSAGEM; APARELHOS DE PSICOTÉCNICA; APARELHOS DE OZONOTERAPIA, DE OXIGENOTERAPIA, DE AEROSSOLTERAPIA, APARELHOS RESPIRATÓRIOS DE REANIMAÇÃO E OUTROS APARELHOS DE TERAPIA RESPIRATÓRIA</t>
  </si>
  <si>
    <t>OUTROS APARELHOS REPIRATÓRIOS E MÁSCARAS CONTRA GASES, EXCETO AS MÁSCARAS DE PROTEÇÃO DESPROVIDAS DE MECANISMO E DE ELEMENTO FILTRANTE AMOVÍVEL</t>
  </si>
  <si>
    <t>APARELHOS DE RAIOS X E APARELHOS QUE UTILIZEM RADIAÇÕES ALFA, BETA OU GAMA, MESMO PARA USOS MÉDICOS, CIRÚRGICOS, ODONTOLÓGICOS OU VETERINÁRIOS, INCLUÍDOS OS APARELHOS DE RADIOFOTOGRAFIA OU DE RADIOTERAPIA, OS TUBOS DE RAIOS X E OUTROS DISPOSITIVOS GERADORES DE RAIOS X, OS GERADORES DE TENSÃO, AS MESAS DE COMANDO, AS TELAS DE VISUALIZAÇÃO, AS MESAS, POLTRONAS E SUPORTES SEMELHANTES PARA EXAME OU TRATAMENTO</t>
  </si>
  <si>
    <t>MÁQUINAS E APARELHOS PARA ENSAIOS DE DUREZA, TRAÇÃO, COMPRESSÃO, ELASTICIDADE OU DE OUTRAS PROPRIEDADES MECÂNICAS DE MATERIAIS (POR EXEMPLO: METAIS, MADEIRA, TÊXTEIS, PAPEL, PLÁSTICOS)</t>
  </si>
  <si>
    <t>DENSÍMETROS, AREÔMETROS, PESA-LÍQUIDOS E INSTRUMENTOS FLUTUANTES SEMELHANTES, TERMÔMETROS, PIRÔMETROS, BARÔMETROS, HIGRÔMETROS E PSICRÔMETROS, REGISTRADORES OU NÃO, MESMO COMBINADOS ENTRE SI</t>
  </si>
  <si>
    <t>INSTRUMENTOS E APARELHOS PARA MEDIDA OU CONTROLE DA VAZÃO (CAUDAL), DO NÍVEL, DA PRESSÃO OU DE OUTRAS CARACTERÍSTICAS VARIÁVEIS DOS LÍQUIDOS OU GASES [POR EXEMPLO: MEDIDORES DE VAZÃO (CAUDAL), INDICADORES DE NÍVEL, MANÔMETROS, CONTADORES DE CALOR], EXCETO OS INSTRUMENTOS E APARELHOS DAS POSIÇÕES 9014, 9015, 9028 OU 9032</t>
  </si>
  <si>
    <t>INSTRUMENTOS E APARELHOS PARA ANÁLISES FÍSICAS OU QUÍMICAS [POR EXEMPLO: POLARÍMETROS, REFRATÔMETROS, ESPECTRÔMETROS, ANALISADORES DE GASES OU DE FUMAÇA]; INSTRUMENTOS E APARELHOS PARA ENSAIOS DE VISCOSIDADE, POROSIDADE, DILATAÇÃO, TENSÃO SUPERFICIAL OU SEMELHANTES OU PARA MEDIDAS CALORIMÉTRICAS, ACÚSTICAS OU FOTOMÉTRICAS (INCLUÍDOS OS INDICADORES DE TEMPO DE EXPOSIÇÃO); MICRÓTOMOS</t>
  </si>
  <si>
    <t>CONTADORES DE GASES, LÍQUIDOS OU DE ELETRICIDADE, INCLUÍDOS OS APARELHOS PARA SUA AFERIÇÃO</t>
  </si>
  <si>
    <t>OUTROS CONTADORES (POR EXEMPLO: CONTADORES DE VOLTAS, CONTADORES DE PRODUÇÃO, TAXÍMETROS, TOTALIZADORES DE CAMINHO PERCORRIDO, PODÔMETROS); INDICADORES DE VELOCIDADE E TACÔMETROS, EXCETO OS DAS POSIÇÕES 9014 OU 9015; ESTROBOSCÓPIOS</t>
  </si>
  <si>
    <t>OSCILOSCÓPIOS, ANALISADORES DE ESPECTRO E OUTROS INSTRUMENTOS E APARELHOS PARA MEDIDA OU CONTROLE DE GRANDEZAS ELÉTRICAS; INSTRUMENTOS E APARELHOS PARA MEDIDA OU DETECÇÃO DE RADIAÇÕES ALFA, BETA, GAMA, X, CÓSMICAS OU OUTRAS RADIAÇÕES IONIZANTES</t>
  </si>
  <si>
    <t>INSTRUMENTOS, APARELHOS E MÁQUINAS DE MEDIDA OU CONTROLE, NÃO ESPECIFICADOS NEM COMPREENDIDOS EM OUTRAS POSIÇÕES DESTE CAPÍTULO; PROJETORES DE PERFIS</t>
  </si>
  <si>
    <t>INSTRUMENTOS E APARELHOS PARA REGULAÇÃO OU CONTROLE, AUTOMÁTICOS</t>
  </si>
  <si>
    <t>Capítulo 94</t>
  </si>
  <si>
    <t>MÓVEIS; MOBILIÁRIO MÉDICO-CIRÚRGICO; CONSTRUÇÕES PRÉ-FABRICADAS</t>
  </si>
  <si>
    <t>MOBILIÁRIO PARA MEDICINA, CIRURGIA, ODONTOLOGIA OU VETERINÁRIA (POR EXEMPLO: MESAS DE OPERAÇÃO, MESAS DE EXAMES, CAMAS DOTADAS DE MECANISMOS PARA USOS CLÍNICOS, CADEIRAS DE DENTISTA); CADEIRAS PARA SALÕES DE CABELEIREIRO E CADEIRAS SEMELHANTES, COM DISPOSITIVOS DE ORIENTAÇÃO E DE ELEVAÇÃO</t>
  </si>
  <si>
    <t>OUTROS MÓVEIS PARA ESCRITÓRIO</t>
  </si>
  <si>
    <t>CONSTRUÇÕES PRÉ-FABRICADAS</t>
  </si>
  <si>
    <t>Capítulo 95</t>
  </si>
  <si>
    <t>ARTIGOS PARA DIVERTIMENTO OU PARA ESPORTE</t>
  </si>
  <si>
    <t>ARTIGOS E EQUIPAMENTOS PARA CULTURA FÍSICA E GINÁSTICA; PISCINAS</t>
  </si>
  <si>
    <t>CARROSSÉIS, BALANÇOS, INSTALAÇÕES DE TIRO-AO-ALVO E OUTRAS DIVERSÕES DE PARQUES E FEIRAS; CIRCOS, COLEÇÕES DE ANIMAIS E TEATROS AMBULANTES</t>
  </si>
  <si>
    <t>Taxa anual de depreciação</t>
  </si>
  <si>
    <t>PÁS, ALVIÕES, PICARETAS, ENXADAS, SACHOS, FORCADOS E FORQUILHAS, ANCINHOS E RASPADEIRAS; MACHADOS, PODÕES E FERRAMENTAS SEMELHANTES COM GUME;</t>
  </si>
  <si>
    <t>APARELHOS ELÉTRICOS PARA TELEFONIA OU TELEGRAFIA, POR FIO, INCLUÍDOS OS APARELHOS TELEFÔNICOS POR FIO CONJUGADO COM UM APARELHO TELEFÔNICO PORTÁTIL SEM FIO E OS APARELHOS DE TELECOMUNICAÇÃO POR CORRENTE PORTADORA OU DE TELECOMUNICAÇÃO DIGITAL; VIDEOFONES (Retificado no DOU de 13/04/2017, pág. 53)</t>
  </si>
  <si>
    <t>Taxa antiga</t>
  </si>
  <si>
    <t>Taxa nova</t>
  </si>
  <si>
    <t>Descrição</t>
  </si>
  <si>
    <t>x</t>
  </si>
  <si>
    <t>Prazo de vida útil (anos) NOVO</t>
  </si>
  <si>
    <t>Taxa anual de depreciação - NOVO</t>
  </si>
  <si>
    <t>Mudou a taxa?</t>
  </si>
  <si>
    <t>Caso a resposta da pergunta 2 seja "Sim", Sociedade possui a evidência dos ajustes de adoção inicial contabilizados em subcontas distintas no Ativo e no Passivo?</t>
  </si>
  <si>
    <t>A Sociedade possui operações contabilizadas sujeitas às aplicações das medidas regulamentadas pela Lei 12.973/2014 e pela IN 1.700/2017?</t>
  </si>
  <si>
    <t>Caso as respostas das perguntas 2 e 3 sejam "Sim", a diferença apurada na adoção inicial foi apurada levando em conta as diferenças de contabilidade societária e fiscal apuradas no Fcont?</t>
  </si>
  <si>
    <t>A Sociedade deprecia os bens de acordo com a vida útil econômica do bem baseada em laudo técnico, ou deprecia por meio das taxas fiscais fixadas no anexo III da IN 1.700/2017?</t>
  </si>
  <si>
    <t>Se a resposta da pergunta 7 for "Sim", a Sociedade já depreciava os bens pela vida útil econômica do bem anteriormente a 2014?</t>
  </si>
  <si>
    <t>Possui bens adquiridos na forma de arrendamento mercantil financeiro? Caso sim, adiciona as despesas de depreciação e exclui as contrapartidas pagas?</t>
  </si>
  <si>
    <t>A Sociedade adiciona/exclui a realização do mais ou menos valia e o ágio? Todas as informações estão suportadas por laudo?</t>
  </si>
  <si>
    <t>A incorporação foi feita ou será feita com uma empresa do mesmo grupo econômico?</t>
  </si>
  <si>
    <t>A Sociedade adquiriu a participação societária da outra empresa até o ano calendário de 2014? É baseado em laudo técnico efetuado por perito independente?</t>
  </si>
  <si>
    <t>O ágio foi gerado por ocasião de compra de outra empresa? Se sim, a empresa foi incorporada até 31 de dezembro de 2017?</t>
  </si>
  <si>
    <t>sim</t>
  </si>
  <si>
    <t>anual</t>
  </si>
  <si>
    <t>suspensão e redução</t>
  </si>
  <si>
    <t>Questionário - Lucro Real</t>
  </si>
  <si>
    <t>Veredito Final Concatenado</t>
  </si>
  <si>
    <t>Sim/Não/Não sei dizer</t>
  </si>
  <si>
    <t>Sim</t>
  </si>
  <si>
    <t>Não</t>
  </si>
  <si>
    <t>Não sei dizer</t>
  </si>
  <si>
    <t>Prejuízo Fiscal</t>
  </si>
  <si>
    <t>Lucro Tributável/Prejuízo Fiscal</t>
  </si>
  <si>
    <t>Lucro Real Anual/Lucro Real Trimestral</t>
  </si>
  <si>
    <t>Lucro Real Anual</t>
  </si>
  <si>
    <t>Lucro Real Trimestral</t>
  </si>
  <si>
    <t>Suspensão e Redução/Receita Bruta</t>
  </si>
  <si>
    <t>Suspensão e Redução</t>
  </si>
  <si>
    <t>Receita Bruta</t>
  </si>
  <si>
    <t>Lucro Real Tributável</t>
  </si>
  <si>
    <t>Movimentação patrimonial</t>
  </si>
  <si>
    <t>Contas de Resultado</t>
  </si>
  <si>
    <t>Parte pela movimentação patrimonial e parte pelas contas de resultado</t>
  </si>
  <si>
    <t>A Sociedade possui provisões que não são adicionadas de acordo com o art. 70 da IN 1.700/2017?</t>
  </si>
  <si>
    <t xml:space="preserve">a IN 1.700/2017 diz que as provisões técnicas, as provisões para décimo terceiro salário e férias de empregados e provisões </t>
  </si>
  <si>
    <t>Com relação a provisão de devedores duvidosos, a Sociedade avalia periodicamente a possibilidade de aplicação do art. 71 da IN 1.700/2017 com relação a dedutibilidade das baixas na recuperação de créditos?</t>
  </si>
  <si>
    <t>Possui provisões temporariamente indedutíveis sendo adicionadas?</t>
  </si>
  <si>
    <t>III. Perguntas gerais acerca dos principais impactos da Lei 12.973/2014 e IN 1.700/2017</t>
  </si>
  <si>
    <t>A Sociedade possui diferenças de adoção inicial na conversão da Lei 12.973/2014 e reguladas pelo art. 291 da IN 1.700/2017?</t>
  </si>
  <si>
    <t>A Sociedade adiciona e exclui os efeitos das diferenças de adoção inicial na base de cálculo do Lucro Real?</t>
  </si>
  <si>
    <t>A Sociedade foi optante pelos efeitos da Lei 12.973/2014 no ano calendário de 2014?</t>
  </si>
  <si>
    <t>A Sociedade contabiliza ajustes relativos a Ajuste a Valor Presente? Adiciona ou exclui os efeitos no resultado na base de cálculo do Lucro Real?</t>
  </si>
  <si>
    <t>A Sociedade contabiliza ajustes relativos a Ajuste a Valor Justo? Adiciona ou exclui os efeitos no resultado na base de cálculo do Lucro Real?</t>
  </si>
  <si>
    <t>Contabilizo e adiciono/excluo</t>
  </si>
  <si>
    <t>Contabilizo mas não adiciono/excluo</t>
  </si>
  <si>
    <t>Não contabilizo esse ajuste</t>
  </si>
  <si>
    <t>avp/avj</t>
  </si>
  <si>
    <t>Contratos de longo prazo</t>
  </si>
  <si>
    <t>Não possuo contratos de longo prazo</t>
  </si>
  <si>
    <t>Sim, possuo contratos de longo prazo e reconheço os custos e receitas pelo POC</t>
  </si>
  <si>
    <t>Sim, possuo contratos de longo prazo mas não reconheço os custos e receitas pelo POC</t>
  </si>
  <si>
    <t xml:space="preserve">A Sociedade possui contratos de longo prazo com reconhecimento dos custos e receitas pelo método POC (pela mensuração da evolução do projeto)? </t>
  </si>
  <si>
    <t>7.1</t>
  </si>
  <si>
    <t>Contratos de longo prazo - 2</t>
  </si>
  <si>
    <t>Sim, faço o diferimento do lucro e adiciono/excluo na base de cálculo do Lucro Real</t>
  </si>
  <si>
    <t>Sim, faço o diferimento do lucro mas apenas para fins contábeis e não adiciono/excluo na base de cálculo do Lucro Real</t>
  </si>
  <si>
    <t>Caso a resposta da pergunta 11 seja "Sim, possuo contratos de longo prazo e reconheço os custos e receitas pelo POC", a Sociedade difere o lucro e ajusta na base de cálculo do Lucro Real conforme o reconhecimento da receita e do custo?</t>
  </si>
  <si>
    <t>Leasing financeiro</t>
  </si>
  <si>
    <t>Sim, adiciono as depreciações e excluo as contraprestações pagas</t>
  </si>
  <si>
    <t>Sim, mas não adiciono as depreciações não e excluo as contraprestações pagas</t>
  </si>
  <si>
    <t>Não possuo arrendamento mercantil financeiro</t>
  </si>
  <si>
    <t>Participação em coligadas/ágio</t>
  </si>
  <si>
    <t>Sim, possuo participações em outras empresas antes e até dez/2014. É baseado em laudo técnico.</t>
  </si>
  <si>
    <t>Sim, possuo participações em outras empresas antes e até dez/2014. Não é baseado em laudo técnico.</t>
  </si>
  <si>
    <t>Não possuo participações em outras empresas antes e até dez/2014.</t>
  </si>
  <si>
    <t>Não sei dizer.</t>
  </si>
  <si>
    <t xml:space="preserve">A Sociedade amortiza, para fins fiscais, o ágio avaliado por rentabilidade futura, relativo as participações adquiridas e mencionadas na pergunta 14? </t>
  </si>
  <si>
    <t>Amort. Ágio</t>
  </si>
  <si>
    <t>Sim, amortizo o ágio para fins fiscais</t>
  </si>
  <si>
    <t>Não amortizo o ágio para fins fiscais</t>
  </si>
  <si>
    <t>Não houve ágio gerado na aquisição das participações societárias</t>
  </si>
  <si>
    <t>10.1</t>
  </si>
  <si>
    <t>Amort. Ágio - 2</t>
  </si>
  <si>
    <t>Sim, o ágio foi gerado na incorporação de outra empresa. A incorporação ocorreu depois de 31/12/2017</t>
  </si>
  <si>
    <t>O ágio foi gerado mas não houve incorporação de outra empresa</t>
  </si>
  <si>
    <t>Sim, o ágio foi gerado na incorporação de outra empresa. A incorporação ocorreu até 31/12/2017</t>
  </si>
  <si>
    <t>Caso a empresa tenha sido incorporada após 31 de dezembro de 2017, a Sociedade efetuou o desdobramento do custo de aquisição entre: valor do patrimônio líquido, mais valia ou menos valia, ágio por rentabilidade futura (goodwill)? Caso sim, a Sociedade evidenciou a segregação dos saldos em subcontas distintas no balancete?</t>
  </si>
  <si>
    <t>10.2</t>
  </si>
  <si>
    <t>Amort. Ágio - 3</t>
  </si>
  <si>
    <t>Não foi feito o desdobramento do custo de aquisição</t>
  </si>
  <si>
    <t>Sim, foi efetuado o desdobramento do custo de aquisição e estão evidenciados em subcontas distintas</t>
  </si>
  <si>
    <t>Sim, foi efetuado o desdobramento do custo de aquisição mas não estão evidenciados em subcontas distintas</t>
  </si>
  <si>
    <t>10.3</t>
  </si>
  <si>
    <t>Amort. Ágio - 4</t>
  </si>
  <si>
    <t>Não possuo saldos de mais ou menos valia</t>
  </si>
  <si>
    <t>A Sociedade preencheu e transmitiu a Receita Federal Brasileira - RFB a ECD nos últimos 5 anos?</t>
  </si>
  <si>
    <t>A Sociedade preencheu e transmitiu a Receita Federal Brasileira - RFB a DIPJ e a ECF nos últimos 5 anos?</t>
  </si>
  <si>
    <t>As informações contábeis declaradas na ECD estão de acordo com as informações contábeis informadas na DIPJ e na ECF?</t>
  </si>
  <si>
    <t>Algumas dessas declarações informadas anteriormente foram entregues em atraso ou não foram entregues?</t>
  </si>
  <si>
    <t>A Sociedade transmitiu a RFB as DCTFs dos períodos do ano mesmo que estivessem sem débitos a declarar?</t>
  </si>
  <si>
    <t>A Sociedade transmitiu a RFB Pedidos de Compensação ou Declarações de Compensação - PER/Dcomp durante o ano calendário?</t>
  </si>
  <si>
    <t>Os créditos compensados foram oriundos de saldos negativo de IRPJ e CSLL?</t>
  </si>
  <si>
    <t>Caso a resposta da pergunta 7 seja "Sim", os créditos de saldo negativo de IRPJ e CSLL informados na Per/Dcomp são os mesmos informados na DIPJ ou na ECF do respectivo ano calendário de origem dos créditos?</t>
  </si>
  <si>
    <t>Os créditos utilizados na Per/Dcomp foram constituídos há mais de 5 (cinco) anos?</t>
  </si>
  <si>
    <t>IV. Perguntas gerais acerca das principais obrigações acessórias</t>
  </si>
  <si>
    <t>Você utiliza o incentivo fiscal do PAT (Programa de Alimentação do Trabalhador)?</t>
  </si>
  <si>
    <t>Caso a resposta da pergunta 1 seja sim "sim", a Sociedade observa os limites de dedução conforme instrui a IN SRF 267/2002?</t>
  </si>
  <si>
    <t xml:space="preserve">de até 4% do IRPJ devido </t>
  </si>
  <si>
    <t>a Sociedade deduz do imposto de renda devido algum valor relativo as seguintes doações, contribuições e/ou patrocínios:</t>
  </si>
  <si>
    <t>doações e contribuições abaixo: ao FUNCAD;</t>
  </si>
  <si>
    <t>(dedução limitada a 1% do IRPJ devido)</t>
  </si>
  <si>
    <t>Fundos, nacional, estadual e municipal do idoso;</t>
  </si>
  <si>
    <t>doações ou patrocínios ao PRONON, PRONAS/PCD;</t>
  </si>
  <si>
    <t>doações ou patrocínios a título de apoio a atividades culturais e artísticas;</t>
  </si>
  <si>
    <t>doações ou patrocínios a título de apoio a atividades audiovisuais;</t>
  </si>
  <si>
    <t>(dedução limitada a 3% do IRPJ devido)</t>
  </si>
  <si>
    <t>f)</t>
  </si>
  <si>
    <t>investimentos, aos patrocínios e à aquisição de quotas de Funcines;</t>
  </si>
  <si>
    <t>(aplicação de percentual sobre o total da soma do IRPJ + adicional + CSLL e dedução limitada a 3% do IRPJ devido)</t>
  </si>
  <si>
    <t>g)</t>
  </si>
  <si>
    <t>h)</t>
  </si>
  <si>
    <t>à remuneração da empregada paga no período de prorrogação da licença-maternidade?</t>
  </si>
  <si>
    <t>(dedução limitada a 4% do IRPJ devido)</t>
  </si>
  <si>
    <t>Caso a Sociedade tenha selecionado, pelo menos uma das respostas anteriores, a Sociedade deduz o valor da doação no imposto de renda devido dentro dos limites estabelecidos por Lei, de acordo com a Lei de cada incentivo?</t>
  </si>
  <si>
    <t>A Sociedade adiciona na base de cálculo do Lucro Real as despesas das tais doações, contribuições e patrocínios?</t>
  </si>
  <si>
    <t>V. Perguntas gerais acerca dos incentivos fiscais</t>
  </si>
  <si>
    <t>Você utiliza o benefício fiscal do cálculo do Lucro da Exploração?</t>
  </si>
  <si>
    <t>A Sociedade possui o laudo constitutivo protocolizado pelo órgão competente do MI com a indicação do projeto aprovado, o percentual de incentivo e a Região onde o empreendimento abrangido pelo incentivo está instalado?</t>
  </si>
  <si>
    <t>A Sociedade possui controle das atividades abrangidas pelo incentivo, bem como os limites de produção garantidos para a fruição do incentivo?</t>
  </si>
  <si>
    <t>A Sociedade possui memória de cálculo do Lucro da Exploração?</t>
  </si>
  <si>
    <t>A Sociedade utiliza o benefício do cálculo do Lucro da Exploração para outras  modalidades, como por exemplo, o PROUNI?</t>
  </si>
  <si>
    <t>VI. Perguntas gerais acerca do Lucro da Exploração</t>
  </si>
  <si>
    <t>O cálculo do Lucro Real, Presumido ou Arbitrado da ECF do respectivo ano calendário está de acordo com a memória de cálculo da Sociedade?</t>
  </si>
  <si>
    <t>às doações e patrocínios realizados a título de apoio ao esporte</t>
  </si>
  <si>
    <t>A Sociedade segrega na contabilidade as receitas e custos incentivados e não incentivados, como custos, receitas, despesas e receitas financeiras, etc.?</t>
  </si>
  <si>
    <t>Caso a resposta 6 seja "sim", a Sociedade observa os critérios de ocupação das bolsas efetivas proporcionais de acordo com o cálculo POEB?</t>
  </si>
  <si>
    <t>Caso a resposta 2 seja "sim", o laudo constitutivo está dentro do prazo de fruição?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</si>
</sst>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8" x14ac:knownFonts="1">
    <font>
      <sz val="11"/>
      <color theme="1"/>
      <name val="Calibri"/>
      <family val="2"/>
      <scheme val="minor"/>
    </font>
    <font>
      <b/>
      <sz val="11"/>
      <color theme="1"/>
      <name val="Calibri"/>
      <family val="2"/>
      <scheme val="minor"/>
    </font>
    <font>
      <sz val="10"/>
      <color rgb="FF000000"/>
      <name val="Arial"/>
      <family val="2"/>
    </font>
    <font>
      <strike/>
      <sz val="9"/>
      <color rgb="FF000000"/>
      <name val="Arial"/>
      <family val="2"/>
    </font>
    <font>
      <strike/>
      <sz val="11"/>
      <color rgb="FF000000"/>
      <name val="Arial"/>
      <family val="2"/>
    </font>
    <font>
      <sz val="9"/>
      <color rgb="FF000000"/>
      <name val="Arial"/>
      <family val="2"/>
    </font>
    <font>
      <u/>
      <sz val="11"/>
      <color theme="10"/>
      <name val="Calibri"/>
      <family val="2"/>
      <scheme val="minor"/>
    </font>
    <font>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9"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diagonal/>
    </border>
    <border>
      <left style="medium">
        <color rgb="FF000000"/>
      </left>
      <right style="medium">
        <color rgb="FF000000"/>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6" fillId="0" borderId="0" applyNumberFormat="0" applyFill="0" applyBorder="0" applyAlignment="0" applyProtection="0"/>
    <xf numFmtId="43" fontId="7" fillId="0" borderId="0" applyFont="0" applyFill="0" applyBorder="0" applyAlignment="0" applyProtection="0"/>
  </cellStyleXfs>
  <cellXfs count="71">
    <xf numFmtId="0" fontId="0" fillId="0" borderId="0" xfId="0"/>
    <xf numFmtId="0" fontId="1" fillId="0" borderId="0" xfId="0" applyFont="1"/>
    <xf numFmtId="0" fontId="1" fillId="0" borderId="1" xfId="0" applyFont="1" applyBorder="1"/>
    <xf numFmtId="0" fontId="0" fillId="0" borderId="1" xfId="0" applyBorder="1"/>
    <xf numFmtId="0" fontId="1" fillId="0" borderId="0" xfId="0" applyFont="1" applyBorder="1"/>
    <xf numFmtId="0" fontId="0" fillId="0" borderId="0" xfId="0" applyBorder="1" applyAlignment="1">
      <alignment wrapText="1"/>
    </xf>
    <xf numFmtId="0" fontId="0" fillId="0" borderId="0" xfId="0" applyBorder="1"/>
    <xf numFmtId="0" fontId="1" fillId="0" borderId="1" xfId="0" applyFont="1" applyBorder="1" applyAlignment="1">
      <alignment wrapText="1"/>
    </xf>
    <xf numFmtId="0" fontId="1" fillId="0" borderId="0" xfId="0" applyFont="1" applyBorder="1" applyAlignment="1">
      <alignment wrapText="1"/>
    </xf>
    <xf numFmtId="0" fontId="0" fillId="0" borderId="0" xfId="0" applyAlignment="1">
      <alignment wrapText="1"/>
    </xf>
    <xf numFmtId="0" fontId="2" fillId="0" borderId="0" xfId="0" applyFont="1" applyAlignment="1">
      <alignment wrapText="1"/>
    </xf>
    <xf numFmtId="0" fontId="3" fillId="0" borderId="2" xfId="0" applyFont="1" applyBorder="1" applyAlignment="1">
      <alignment wrapText="1"/>
    </xf>
    <xf numFmtId="0" fontId="3" fillId="0" borderId="3" xfId="0" applyFont="1" applyBorder="1" applyAlignment="1">
      <alignment wrapText="1"/>
    </xf>
    <xf numFmtId="0" fontId="0" fillId="0" borderId="4" xfId="0" applyBorder="1" applyAlignment="1">
      <alignment wrapText="1"/>
    </xf>
    <xf numFmtId="0" fontId="3" fillId="0" borderId="5" xfId="0" applyFont="1" applyBorder="1" applyAlignment="1">
      <alignment wrapText="1"/>
    </xf>
    <xf numFmtId="0" fontId="3" fillId="0" borderId="4" xfId="0" quotePrefix="1" applyFont="1" applyBorder="1" applyAlignment="1">
      <alignment wrapText="1"/>
    </xf>
    <xf numFmtId="0" fontId="3" fillId="0" borderId="4" xfId="0" applyFont="1" applyBorder="1" applyAlignment="1">
      <alignment wrapText="1"/>
    </xf>
    <xf numFmtId="9" fontId="3" fillId="0" borderId="5" xfId="0" applyNumberFormat="1"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3" fillId="0" borderId="6" xfId="0" applyFont="1" applyBorder="1" applyAlignment="1">
      <alignment wrapText="1"/>
    </xf>
    <xf numFmtId="9" fontId="3" fillId="0" borderId="7" xfId="0" applyNumberFormat="1" applyFont="1" applyBorder="1" applyAlignment="1">
      <alignment wrapText="1"/>
    </xf>
    <xf numFmtId="0" fontId="0" fillId="0" borderId="5" xfId="0" applyBorder="1" applyAlignment="1">
      <alignment wrapText="1"/>
    </xf>
    <xf numFmtId="10" fontId="3" fillId="0" borderId="5" xfId="0" applyNumberFormat="1" applyFont="1" applyBorder="1" applyAlignment="1">
      <alignment wrapText="1"/>
    </xf>
    <xf numFmtId="0" fontId="5" fillId="2" borderId="2" xfId="0" applyFont="1" applyFill="1" applyBorder="1" applyAlignment="1">
      <alignment wrapText="1"/>
    </xf>
    <xf numFmtId="0" fontId="5" fillId="2" borderId="3" xfId="0" applyFont="1" applyFill="1" applyBorder="1" applyAlignment="1">
      <alignment wrapText="1"/>
    </xf>
    <xf numFmtId="0" fontId="5" fillId="2" borderId="4" xfId="0" applyFont="1" applyFill="1" applyBorder="1" applyAlignment="1">
      <alignment wrapText="1"/>
    </xf>
    <xf numFmtId="0" fontId="5" fillId="2" borderId="4" xfId="0" quotePrefix="1" applyFont="1" applyFill="1" applyBorder="1" applyAlignment="1">
      <alignment wrapText="1"/>
    </xf>
    <xf numFmtId="0" fontId="5" fillId="2" borderId="5" xfId="0" applyFont="1" applyFill="1" applyBorder="1" applyAlignment="1">
      <alignment wrapText="1"/>
    </xf>
    <xf numFmtId="9" fontId="5" fillId="2" borderId="5" xfId="0" applyNumberFormat="1" applyFont="1" applyFill="1" applyBorder="1" applyAlignment="1">
      <alignment wrapText="1"/>
    </xf>
    <xf numFmtId="0" fontId="2" fillId="2" borderId="4" xfId="0" applyFont="1" applyFill="1" applyBorder="1" applyAlignment="1">
      <alignment wrapText="1"/>
    </xf>
    <xf numFmtId="0" fontId="2" fillId="2" borderId="5" xfId="0" applyFont="1" applyFill="1" applyBorder="1" applyAlignment="1">
      <alignment wrapText="1"/>
    </xf>
    <xf numFmtId="0" fontId="5" fillId="2" borderId="6" xfId="0" applyFont="1" applyFill="1" applyBorder="1" applyAlignment="1">
      <alignment wrapText="1"/>
    </xf>
    <xf numFmtId="9" fontId="5" fillId="2" borderId="7" xfId="0" applyNumberFormat="1" applyFont="1" applyFill="1" applyBorder="1" applyAlignment="1">
      <alignment wrapText="1"/>
    </xf>
    <xf numFmtId="10" fontId="5" fillId="2" borderId="5" xfId="0" applyNumberFormat="1" applyFont="1" applyFill="1" applyBorder="1" applyAlignment="1">
      <alignment wrapText="1"/>
    </xf>
    <xf numFmtId="0" fontId="3" fillId="2" borderId="4" xfId="0" applyFont="1" applyFill="1" applyBorder="1" applyAlignment="1">
      <alignment wrapText="1"/>
    </xf>
    <xf numFmtId="9" fontId="3" fillId="2" borderId="5" xfId="0" applyNumberFormat="1" applyFont="1" applyFill="1" applyBorder="1" applyAlignment="1">
      <alignment wrapText="1"/>
    </xf>
    <xf numFmtId="0" fontId="2" fillId="2" borderId="2" xfId="0" applyFont="1" applyFill="1" applyBorder="1" applyAlignment="1">
      <alignment wrapText="1"/>
    </xf>
    <xf numFmtId="0" fontId="0" fillId="2" borderId="0" xfId="0" applyFill="1" applyAlignment="1">
      <alignment wrapText="1"/>
    </xf>
    <xf numFmtId="0" fontId="0" fillId="2" borderId="4" xfId="0" applyFill="1" applyBorder="1" applyAlignment="1">
      <alignment wrapText="1"/>
    </xf>
    <xf numFmtId="0" fontId="0" fillId="2" borderId="5" xfId="0" applyFill="1" applyBorder="1" applyAlignment="1">
      <alignment wrapText="1"/>
    </xf>
    <xf numFmtId="0" fontId="0" fillId="2" borderId="6" xfId="0" applyFill="1" applyBorder="1" applyAlignment="1">
      <alignment wrapText="1"/>
    </xf>
    <xf numFmtId="0" fontId="2" fillId="2" borderId="6" xfId="0" applyFont="1" applyFill="1" applyBorder="1" applyAlignment="1">
      <alignment wrapText="1"/>
    </xf>
    <xf numFmtId="0" fontId="0" fillId="2" borderId="7" xfId="0" applyFill="1" applyBorder="1" applyAlignment="1">
      <alignment wrapText="1"/>
    </xf>
    <xf numFmtId="0" fontId="3" fillId="0" borderId="0" xfId="0" applyFont="1" applyBorder="1" applyAlignment="1">
      <alignment wrapText="1"/>
    </xf>
    <xf numFmtId="0" fontId="3" fillId="0" borderId="6" xfId="0" quotePrefix="1" applyFont="1" applyBorder="1" applyAlignment="1">
      <alignment wrapText="1"/>
    </xf>
    <xf numFmtId="0" fontId="6" fillId="0" borderId="0" xfId="1"/>
    <xf numFmtId="9" fontId="3" fillId="0" borderId="0" xfId="0" applyNumberFormat="1" applyFont="1" applyBorder="1" applyAlignment="1">
      <alignment wrapText="1"/>
    </xf>
    <xf numFmtId="0" fontId="4" fillId="0" borderId="0" xfId="0" applyFont="1" applyBorder="1" applyAlignment="1">
      <alignment wrapText="1"/>
    </xf>
    <xf numFmtId="10" fontId="3" fillId="0" borderId="0" xfId="0" applyNumberFormat="1" applyFont="1" applyBorder="1" applyAlignment="1">
      <alignment wrapText="1"/>
    </xf>
    <xf numFmtId="0" fontId="5" fillId="0" borderId="1" xfId="0" applyFont="1" applyBorder="1" applyAlignment="1">
      <alignment wrapText="1"/>
    </xf>
    <xf numFmtId="0" fontId="5" fillId="0" borderId="1" xfId="0" quotePrefix="1" applyFont="1" applyBorder="1" applyAlignment="1">
      <alignment wrapText="1"/>
    </xf>
    <xf numFmtId="0" fontId="5" fillId="2" borderId="1" xfId="0" applyFont="1" applyFill="1" applyBorder="1" applyAlignment="1">
      <alignment wrapText="1"/>
    </xf>
    <xf numFmtId="0" fontId="2" fillId="2" borderId="1" xfId="0" applyFont="1" applyFill="1" applyBorder="1" applyAlignment="1">
      <alignment wrapText="1"/>
    </xf>
    <xf numFmtId="0" fontId="5" fillId="0" borderId="8" xfId="0" applyFont="1" applyBorder="1" applyAlignment="1">
      <alignment wrapText="1"/>
    </xf>
    <xf numFmtId="0" fontId="0" fillId="0" borderId="8" xfId="0" applyBorder="1"/>
    <xf numFmtId="0" fontId="1" fillId="0" borderId="9" xfId="0" applyFont="1" applyBorder="1"/>
    <xf numFmtId="0" fontId="1" fillId="0" borderId="10" xfId="0" applyFont="1" applyBorder="1"/>
    <xf numFmtId="0" fontId="1" fillId="0" borderId="11" xfId="0" applyFont="1" applyBorder="1"/>
    <xf numFmtId="0" fontId="0" fillId="0" borderId="0" xfId="0" applyAlignment="1"/>
    <xf numFmtId="43" fontId="0" fillId="0" borderId="0" xfId="2" applyFont="1"/>
    <xf numFmtId="0" fontId="1" fillId="0" borderId="0" xfId="0" applyFont="1" applyAlignment="1"/>
    <xf numFmtId="0" fontId="0" fillId="3" borderId="1" xfId="0" applyFill="1" applyBorder="1" applyAlignment="1">
      <alignment horizontal="left" wrapText="1"/>
    </xf>
    <xf numFmtId="0" fontId="0" fillId="0" borderId="0" xfId="0" applyFill="1" applyBorder="1" applyAlignment="1"/>
    <xf numFmtId="0" fontId="0" fillId="0" borderId="1" xfId="0" applyBorder="1" applyAlignment="1">
      <alignment wrapText="1"/>
    </xf>
    <xf numFmtId="0" fontId="1" fillId="0" borderId="1" xfId="0" applyFont="1" applyFill="1" applyBorder="1"/>
    <xf numFmtId="0" fontId="0" fillId="0" borderId="1" xfId="0" applyFill="1" applyBorder="1"/>
    <xf numFmtId="0" fontId="0" fillId="0" borderId="0" xfId="0" applyFill="1"/>
    <xf numFmtId="0" fontId="0" fillId="0" borderId="0" xfId="0" applyFill="1" applyAlignment="1">
      <alignment wrapText="1"/>
    </xf>
    <xf numFmtId="0" fontId="0" fillId="0" borderId="1" xfId="0" applyFont="1" applyBorder="1"/>
    <xf numFmtId="0" fontId="0" fillId="0" borderId="1" xfId="0" applyFont="1" applyBorder="1" applyAlignment="1">
      <alignment wrapText="1"/>
    </xf>
  </cellXfs>
  <cellStyles count="3">
    <cellStyle name="Hiperlink" xfId="1" builtinId="8"/>
    <cellStyle name="Normal" xfId="0" builtinId="0"/>
    <cellStyle name="Vírgula"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showGridLines="0" zoomScale="80" zoomScaleNormal="80" workbookViewId="0">
      <selection activeCell="D6" sqref="D6"/>
    </sheetView>
  </sheetViews>
  <sheetFormatPr defaultRowHeight="14.4" x14ac:dyDescent="0.3"/>
  <cols>
    <col min="1" max="2" width="3.44140625" customWidth="1"/>
    <col min="3" max="3" width="68.5546875" bestFit="1" customWidth="1"/>
    <col min="4" max="4" width="19.88671875" customWidth="1"/>
  </cols>
  <sheetData>
    <row r="2" spans="2:5" x14ac:dyDescent="0.3">
      <c r="C2" s="1" t="s">
        <v>0</v>
      </c>
    </row>
    <row r="5" spans="2:5" x14ac:dyDescent="0.3">
      <c r="B5" s="2" t="s">
        <v>1</v>
      </c>
      <c r="C5" s="2" t="s">
        <v>2</v>
      </c>
      <c r="D5" s="2" t="s">
        <v>13</v>
      </c>
    </row>
    <row r="6" spans="2:5" x14ac:dyDescent="0.3">
      <c r="B6" s="3" t="s">
        <v>3</v>
      </c>
      <c r="C6" s="3" t="s">
        <v>4</v>
      </c>
      <c r="D6" s="3"/>
      <c r="E6" s="46"/>
    </row>
    <row r="7" spans="2:5" x14ac:dyDescent="0.3">
      <c r="B7" s="3" t="s">
        <v>9</v>
      </c>
      <c r="C7" s="3" t="s">
        <v>5</v>
      </c>
      <c r="D7" s="3"/>
      <c r="E7" s="46"/>
    </row>
    <row r="8" spans="2:5" x14ac:dyDescent="0.3">
      <c r="B8" s="3" t="s">
        <v>10</v>
      </c>
      <c r="C8" s="3" t="s">
        <v>6</v>
      </c>
      <c r="D8" s="3"/>
    </row>
    <row r="9" spans="2:5" x14ac:dyDescent="0.3">
      <c r="B9" s="3" t="s">
        <v>11</v>
      </c>
      <c r="C9" s="3" t="s">
        <v>7</v>
      </c>
      <c r="D9" s="3"/>
    </row>
    <row r="10" spans="2:5" x14ac:dyDescent="0.3">
      <c r="B10" s="3" t="s">
        <v>12</v>
      </c>
      <c r="C10" s="3" t="s">
        <v>8</v>
      </c>
      <c r="D10" s="3"/>
    </row>
  </sheetData>
  <pageMargins left="0.511811024" right="0.511811024" top="0.78740157499999996" bottom="0.78740157499999996" header="0.31496062000000002" footer="0.31496062000000002"/>
  <pageSetup paperSize="9" scale="98"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8"/>
  <sheetViews>
    <sheetView workbookViewId="0">
      <selection activeCell="M89" sqref="M89"/>
    </sheetView>
  </sheetViews>
  <sheetFormatPr defaultRowHeight="14.4" x14ac:dyDescent="0.3"/>
  <cols>
    <col min="2" max="2" width="30.88671875" customWidth="1"/>
  </cols>
  <sheetData>
    <row r="3" spans="1:2" x14ac:dyDescent="0.3">
      <c r="A3" s="1">
        <v>1</v>
      </c>
      <c r="B3" s="1" t="s">
        <v>397</v>
      </c>
    </row>
    <row r="4" spans="1:2" x14ac:dyDescent="0.3">
      <c r="B4" t="s">
        <v>398</v>
      </c>
    </row>
    <row r="5" spans="1:2" x14ac:dyDescent="0.3">
      <c r="B5" t="s">
        <v>399</v>
      </c>
    </row>
    <row r="6" spans="1:2" x14ac:dyDescent="0.3">
      <c r="B6" t="s">
        <v>400</v>
      </c>
    </row>
    <row r="8" spans="1:2" x14ac:dyDescent="0.3">
      <c r="A8" s="1">
        <v>2</v>
      </c>
      <c r="B8" s="1" t="s">
        <v>402</v>
      </c>
    </row>
    <row r="9" spans="1:2" x14ac:dyDescent="0.3">
      <c r="B9" t="s">
        <v>409</v>
      </c>
    </row>
    <row r="10" spans="1:2" x14ac:dyDescent="0.3">
      <c r="B10" t="s">
        <v>401</v>
      </c>
    </row>
    <row r="11" spans="1:2" x14ac:dyDescent="0.3">
      <c r="B11" t="s">
        <v>400</v>
      </c>
    </row>
    <row r="13" spans="1:2" x14ac:dyDescent="0.3">
      <c r="A13" s="1">
        <v>3</v>
      </c>
      <c r="B13" s="1" t="s">
        <v>403</v>
      </c>
    </row>
    <row r="14" spans="1:2" x14ac:dyDescent="0.3">
      <c r="B14" t="s">
        <v>404</v>
      </c>
    </row>
    <row r="15" spans="1:2" x14ac:dyDescent="0.3">
      <c r="B15" t="s">
        <v>405</v>
      </c>
    </row>
    <row r="17" spans="1:2" x14ac:dyDescent="0.3">
      <c r="A17" s="1">
        <v>4</v>
      </c>
      <c r="B17" s="1" t="s">
        <v>406</v>
      </c>
    </row>
    <row r="18" spans="1:2" x14ac:dyDescent="0.3">
      <c r="B18" t="s">
        <v>407</v>
      </c>
    </row>
    <row r="19" spans="1:2" x14ac:dyDescent="0.3">
      <c r="B19" t="s">
        <v>408</v>
      </c>
    </row>
    <row r="21" spans="1:2" x14ac:dyDescent="0.3">
      <c r="A21" s="1">
        <v>5</v>
      </c>
      <c r="B21" s="1" t="s">
        <v>406</v>
      </c>
    </row>
    <row r="22" spans="1:2" x14ac:dyDescent="0.3">
      <c r="B22" t="s">
        <v>410</v>
      </c>
    </row>
    <row r="23" spans="1:2" ht="43.2" x14ac:dyDescent="0.3">
      <c r="B23" s="9" t="s">
        <v>412</v>
      </c>
    </row>
    <row r="24" spans="1:2" x14ac:dyDescent="0.3">
      <c r="B24" t="s">
        <v>411</v>
      </c>
    </row>
    <row r="25" spans="1:2" x14ac:dyDescent="0.3">
      <c r="B25" t="s">
        <v>400</v>
      </c>
    </row>
    <row r="27" spans="1:2" x14ac:dyDescent="0.3">
      <c r="A27" s="1">
        <v>6</v>
      </c>
      <c r="B27" s="1" t="s">
        <v>426</v>
      </c>
    </row>
    <row r="28" spans="1:2" x14ac:dyDescent="0.3">
      <c r="B28" t="s">
        <v>423</v>
      </c>
    </row>
    <row r="29" spans="1:2" x14ac:dyDescent="0.3">
      <c r="B29" t="s">
        <v>424</v>
      </c>
    </row>
    <row r="30" spans="1:2" x14ac:dyDescent="0.3">
      <c r="B30" t="s">
        <v>425</v>
      </c>
    </row>
    <row r="31" spans="1:2" x14ac:dyDescent="0.3">
      <c r="B31" t="s">
        <v>400</v>
      </c>
    </row>
    <row r="33" spans="1:2" x14ac:dyDescent="0.3">
      <c r="A33" s="1">
        <v>7</v>
      </c>
      <c r="B33" s="1" t="s">
        <v>427</v>
      </c>
    </row>
    <row r="34" spans="1:2" ht="43.2" x14ac:dyDescent="0.3">
      <c r="B34" s="9" t="s">
        <v>429</v>
      </c>
    </row>
    <row r="35" spans="1:2" ht="43.2" x14ac:dyDescent="0.3">
      <c r="B35" s="9" t="s">
        <v>430</v>
      </c>
    </row>
    <row r="36" spans="1:2" x14ac:dyDescent="0.3">
      <c r="B36" t="s">
        <v>428</v>
      </c>
    </row>
    <row r="37" spans="1:2" x14ac:dyDescent="0.3">
      <c r="B37" t="s">
        <v>400</v>
      </c>
    </row>
    <row r="39" spans="1:2" x14ac:dyDescent="0.3">
      <c r="A39" s="1" t="s">
        <v>432</v>
      </c>
      <c r="B39" s="1" t="s">
        <v>433</v>
      </c>
    </row>
    <row r="40" spans="1:2" ht="43.2" x14ac:dyDescent="0.3">
      <c r="B40" s="9" t="s">
        <v>434</v>
      </c>
    </row>
    <row r="41" spans="1:2" ht="57.6" x14ac:dyDescent="0.3">
      <c r="B41" s="9" t="s">
        <v>435</v>
      </c>
    </row>
    <row r="42" spans="1:2" x14ac:dyDescent="0.3">
      <c r="B42" t="s">
        <v>400</v>
      </c>
    </row>
    <row r="44" spans="1:2" x14ac:dyDescent="0.3">
      <c r="A44" s="1">
        <v>8</v>
      </c>
      <c r="B44" s="1" t="s">
        <v>437</v>
      </c>
    </row>
    <row r="45" spans="1:2" ht="28.8" x14ac:dyDescent="0.3">
      <c r="B45" s="9" t="s">
        <v>438</v>
      </c>
    </row>
    <row r="46" spans="1:2" ht="43.2" x14ac:dyDescent="0.3">
      <c r="B46" s="9" t="s">
        <v>439</v>
      </c>
    </row>
    <row r="47" spans="1:2" ht="28.8" x14ac:dyDescent="0.3">
      <c r="B47" s="9" t="s">
        <v>440</v>
      </c>
    </row>
    <row r="48" spans="1:2" x14ac:dyDescent="0.3">
      <c r="B48" t="s">
        <v>400</v>
      </c>
    </row>
    <row r="50" spans="1:2" x14ac:dyDescent="0.3">
      <c r="A50" s="1">
        <v>9</v>
      </c>
      <c r="B50" s="1" t="s">
        <v>441</v>
      </c>
    </row>
    <row r="51" spans="1:2" ht="57.6" x14ac:dyDescent="0.3">
      <c r="B51" s="9" t="s">
        <v>442</v>
      </c>
    </row>
    <row r="52" spans="1:2" ht="57.6" x14ac:dyDescent="0.3">
      <c r="B52" s="9" t="s">
        <v>443</v>
      </c>
    </row>
    <row r="53" spans="1:2" ht="43.2" x14ac:dyDescent="0.3">
      <c r="B53" s="9" t="s">
        <v>444</v>
      </c>
    </row>
    <row r="54" spans="1:2" x14ac:dyDescent="0.3">
      <c r="B54" t="s">
        <v>445</v>
      </c>
    </row>
    <row r="56" spans="1:2" x14ac:dyDescent="0.3">
      <c r="A56" s="1">
        <v>10</v>
      </c>
      <c r="B56" s="1" t="s">
        <v>447</v>
      </c>
    </row>
    <row r="57" spans="1:2" ht="28.8" x14ac:dyDescent="0.3">
      <c r="B57" s="9" t="s">
        <v>448</v>
      </c>
    </row>
    <row r="58" spans="1:2" ht="28.8" x14ac:dyDescent="0.3">
      <c r="B58" s="9" t="s">
        <v>449</v>
      </c>
    </row>
    <row r="59" spans="1:2" ht="43.2" x14ac:dyDescent="0.3">
      <c r="B59" s="9" t="s">
        <v>450</v>
      </c>
    </row>
    <row r="60" spans="1:2" x14ac:dyDescent="0.3">
      <c r="B60" s="9" t="s">
        <v>400</v>
      </c>
    </row>
    <row r="62" spans="1:2" x14ac:dyDescent="0.3">
      <c r="A62" s="1" t="s">
        <v>451</v>
      </c>
      <c r="B62" s="1" t="s">
        <v>452</v>
      </c>
    </row>
    <row r="63" spans="1:2" ht="57.6" x14ac:dyDescent="0.3">
      <c r="B63" s="9" t="s">
        <v>455</v>
      </c>
    </row>
    <row r="64" spans="1:2" ht="57.6" x14ac:dyDescent="0.3">
      <c r="B64" s="9" t="s">
        <v>453</v>
      </c>
    </row>
    <row r="65" spans="1:2" ht="28.8" x14ac:dyDescent="0.3">
      <c r="B65" s="9" t="s">
        <v>454</v>
      </c>
    </row>
    <row r="66" spans="1:2" x14ac:dyDescent="0.3">
      <c r="B66" s="9" t="s">
        <v>400</v>
      </c>
    </row>
    <row r="68" spans="1:2" x14ac:dyDescent="0.3">
      <c r="A68" s="1" t="s">
        <v>457</v>
      </c>
      <c r="B68" s="1" t="s">
        <v>458</v>
      </c>
    </row>
    <row r="69" spans="1:2" ht="57.6" x14ac:dyDescent="0.3">
      <c r="B69" s="9" t="s">
        <v>460</v>
      </c>
    </row>
    <row r="70" spans="1:2" ht="57.6" x14ac:dyDescent="0.3">
      <c r="B70" s="9" t="s">
        <v>461</v>
      </c>
    </row>
    <row r="71" spans="1:2" ht="28.8" x14ac:dyDescent="0.3">
      <c r="B71" s="9" t="s">
        <v>459</v>
      </c>
    </row>
    <row r="72" spans="1:2" x14ac:dyDescent="0.3">
      <c r="B72" s="9" t="s">
        <v>400</v>
      </c>
    </row>
    <row r="73" spans="1:2" x14ac:dyDescent="0.3">
      <c r="B73" s="9"/>
    </row>
    <row r="74" spans="1:2" x14ac:dyDescent="0.3">
      <c r="A74" s="1" t="s">
        <v>462</v>
      </c>
      <c r="B74" s="1" t="s">
        <v>463</v>
      </c>
    </row>
    <row r="75" spans="1:2" x14ac:dyDescent="0.3">
      <c r="B75" s="9" t="s">
        <v>398</v>
      </c>
    </row>
    <row r="76" spans="1:2" x14ac:dyDescent="0.3">
      <c r="B76" s="9" t="s">
        <v>399</v>
      </c>
    </row>
    <row r="77" spans="1:2" ht="28.8" x14ac:dyDescent="0.3">
      <c r="B77" s="9" t="s">
        <v>464</v>
      </c>
    </row>
    <row r="78" spans="1:2" x14ac:dyDescent="0.3">
      <c r="B78" s="9" t="s">
        <v>400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7"/>
  <sheetViews>
    <sheetView showGridLines="0" zoomScale="70" zoomScaleNormal="70" workbookViewId="0">
      <selection activeCell="F16" sqref="F16"/>
    </sheetView>
  </sheetViews>
  <sheetFormatPr defaultRowHeight="14.4" x14ac:dyDescent="0.3"/>
  <cols>
    <col min="1" max="1" width="3.21875" customWidth="1"/>
    <col min="2" max="2" width="3.44140625" customWidth="1"/>
    <col min="3" max="3" width="113.88671875" customWidth="1"/>
    <col min="4" max="4" width="19.77734375" bestFit="1" customWidth="1"/>
    <col min="5" max="5" width="3.6640625" customWidth="1"/>
    <col min="6" max="6" width="107.109375" customWidth="1"/>
  </cols>
  <sheetData>
    <row r="2" spans="2:7" x14ac:dyDescent="0.3">
      <c r="B2" s="1" t="s">
        <v>14</v>
      </c>
    </row>
    <row r="4" spans="2:7" x14ac:dyDescent="0.3">
      <c r="B4" s="1" t="s">
        <v>24</v>
      </c>
      <c r="C4" s="9"/>
    </row>
    <row r="5" spans="2:7" x14ac:dyDescent="0.3">
      <c r="B5" s="2">
        <v>1</v>
      </c>
      <c r="C5" s="2" t="s">
        <v>15</v>
      </c>
      <c r="D5" s="3" t="s">
        <v>393</v>
      </c>
    </row>
    <row r="6" spans="2:7" x14ac:dyDescent="0.3">
      <c r="B6" s="2">
        <f t="shared" ref="B6:B14" si="0">B5+1</f>
        <v>2</v>
      </c>
      <c r="C6" s="2" t="s">
        <v>30</v>
      </c>
      <c r="D6" s="3" t="s">
        <v>394</v>
      </c>
    </row>
    <row r="7" spans="2:7" ht="28.8" x14ac:dyDescent="0.3">
      <c r="B7" s="2">
        <f t="shared" si="0"/>
        <v>3</v>
      </c>
      <c r="C7" s="7" t="s">
        <v>31</v>
      </c>
      <c r="D7" s="3" t="s">
        <v>399</v>
      </c>
      <c r="F7" s="9" t="str">
        <f>IF(D7="sim","A Sociedade apura mensalmente o Lucro Real, tanto pela estimativa por receita bruta, quanto por suspensão e redução.",IF(D7="não","Apesar de a Sociedade apurar mensalmente o Lucro Real, não faz a avaliação de comparação dos cálculos por estimativa por receita bruta ou por suspensão e redução.",IF(D7="não sei dizer","Inconclusivo.")))</f>
        <v>Apesar de a Sociedade apurar mensalmente o Lucro Real, não faz a avaliação de comparação dos cálculos por estimativa por receita bruta ou por suspensão e redução.</v>
      </c>
      <c r="G7" t="str">
        <f>IF(F7="Inconclusivo.","A Sociedade não tem a informação necessária para responder a questão 3, de forma que não podemos opinar sobre.",CONCATENATE(F7," ","Sem essa avaliação a Sociedade pode estar recolhendo mais tributos em determinado mês e, isso é importante quando falamos de fluxo de caixa."))</f>
        <v>Apesar de a Sociedade apurar mensalmente o Lucro Real, não faz a avaliação de comparação dos cálculos por estimativa por receita bruta ou por suspensão e redução. Sem essa avaliação a Sociedade pode estar recolhendo mais tributos em determinado mês e, isso é importante quando falamos de fluxo de caixa.</v>
      </c>
    </row>
    <row r="8" spans="2:7" s="67" customFormat="1" ht="28.8" x14ac:dyDescent="0.3">
      <c r="B8" s="65">
        <f t="shared" si="0"/>
        <v>4</v>
      </c>
      <c r="C8" s="65" t="s">
        <v>16</v>
      </c>
      <c r="D8" s="66" t="s">
        <v>398</v>
      </c>
      <c r="F8" s="68" t="str">
        <f>IF(D8="sim","A Sociedade elabora a memória de cálculo do Lucro Real em arquivo eletrônico. Isso garante que a metodologia de cálculo esteja formalizado e evidenciado.",IF(D8="não","A Sociedade não elabora a memória de cálculo em arquivo eletrônico. Nessa situação a Sociedade corre o risco de ter sua metodologia desprotegida e sem informação da origem dos saldos que compõem o cálculo",IF(D8="não sei dizer","Inconclusivo.")))</f>
        <v>A Sociedade elabora a memória de cálculo do Lucro Real em arquivo eletrônico. Isso garante que a metodologia de cálculo esteja formalizado e evidenciado.</v>
      </c>
      <c r="G8" s="67" t="str">
        <f>IF(F8="Inconclusivo.","A Sociedade não tem a informação necessária para responder a questão 4, de forma que não podemos opinar sobre.",CONCATENATE(F8," ","Elaborar a memória de cálculo em arquivo eletrônico garante a salvaguarda das informações, registro da origem dos saldos e confiabilidade nos resultados obtidos."))</f>
        <v>A Sociedade elabora a memória de cálculo do Lucro Real em arquivo eletrônico. Isso garante que a metodologia de cálculo esteja formalizado e evidenciado. Elaborar a memória de cálculo em arquivo eletrônico garante a salvaguarda das informações, registro da origem dos saldos e confiabilidade nos resultados obtidos.</v>
      </c>
    </row>
    <row r="9" spans="2:7" s="67" customFormat="1" x14ac:dyDescent="0.3">
      <c r="B9" s="65">
        <f t="shared" si="0"/>
        <v>5</v>
      </c>
      <c r="C9" s="65" t="s">
        <v>17</v>
      </c>
      <c r="D9" s="66" t="s">
        <v>398</v>
      </c>
      <c r="F9" s="68" t="str">
        <f>IF(D9="sim","A Sociedade possui bons controles e suportes que a auxiliam a elaborar com a memória de cálculo do Lucro Real.",IF(D9="não","A Sociedade não possui controles e suportes que a auxiliam a elaborar com a memória de cálculo do Lucro Real.",IF(D9="não sei dizer","Inconclusivo.")))</f>
        <v>A Sociedade possui bons controles e suportes que a auxiliam a elaborar com a memória de cálculo do Lucro Real.</v>
      </c>
      <c r="G9" s="67" t="str">
        <f>IF(F9="Inconclusivo.","A Sociedade não tem a informação necessária para responder a questão 5, de forma que não podemos opinar sobre.",CONCATENATE(F9," ","Isso é importante para evidenciar a origem dos saldos adicionados e excluídos na base de cálculo do Lucro Real."))</f>
        <v>A Sociedade possui bons controles e suportes que a auxiliam a elaborar com a memória de cálculo do Lucro Real. Isso é importante para evidenciar a origem dos saldos adicionados e excluídos na base de cálculo do Lucro Real.</v>
      </c>
    </row>
    <row r="10" spans="2:7" s="67" customFormat="1" ht="28.8" x14ac:dyDescent="0.3">
      <c r="B10" s="65">
        <f t="shared" si="0"/>
        <v>6</v>
      </c>
      <c r="C10" s="65" t="s">
        <v>22</v>
      </c>
      <c r="D10" s="66" t="s">
        <v>399</v>
      </c>
      <c r="F10" s="68" t="str">
        <f>IF(D10="sim","A Sociedade contabiliza em contas separadas os saldos que são adicionados e excluídos na base de cálculo do Lucro Real.",IF(D10="não","No entanto, a Sociedade não contabiliza em contas separadas os saldos que são adicionados e excluídos na base de cálculo do Lucro Real.",IF(D10="não sei dizer","Inconclusivo.")))</f>
        <v>No entanto, a Sociedade não contabiliza em contas separadas os saldos que são adicionados e excluídos na base de cálculo do Lucro Real.</v>
      </c>
      <c r="G10" s="67" t="str">
        <f>IF(F10="Inconclusivo.","A Sociedade não tem a informação necessária para responder a questão 6, de forma que não podemos opinar sobre.",CONCATENATE(F10," ","A evidência contábil dos saldos adicionados e excluídos facilita o controle das informações e como essas informações são alocadas no cálculo, até mesmo para fins contábeis, a segregação é importante."))</f>
        <v>No entanto, a Sociedade não contabiliza em contas separadas os saldos que são adicionados e excluídos na base de cálculo do Lucro Real. A evidência contábil dos saldos adicionados e excluídos facilita o controle das informações e como essas informações são alocadas no cálculo, até mesmo para fins contábeis, a segregação é importante.</v>
      </c>
    </row>
    <row r="11" spans="2:7" s="67" customFormat="1" ht="30.6" customHeight="1" x14ac:dyDescent="0.3">
      <c r="B11" s="65">
        <f t="shared" ref="B11:B12" si="1">B10+1</f>
        <v>7</v>
      </c>
      <c r="C11" s="65" t="s">
        <v>21</v>
      </c>
      <c r="D11" s="66" t="s">
        <v>398</v>
      </c>
      <c r="F11" s="68" t="str">
        <f>IF(D11="sim","Isso não é muito bom, pois obriga a Sociedade a elaborar conciliações que segreguem os saldos a serem adicionados e excluídos dos demais saldos.",IF(D11="não","Isso garante que serão adicionados, apenas os saldos daquela determinada conta, sem que a Sociedade precise criar inúmeras conciliações contábeis.",IF(D11="não sei dizer","Inconclusivo.")))</f>
        <v>Isso não é muito bom, pois obriga a Sociedade a elaborar conciliações que segreguem os saldos a serem adicionados e excluídos dos demais saldos.</v>
      </c>
      <c r="G11" s="67" t="str">
        <f>IF(F10="Inconclusivo.","A Sociedade não tem a informação necessária para responder a questão 7, de forma que não podemos opinar sobre.",CONCATENATE(F11," ","A Sociedade não é obrigada a separar em contas contábeis distintas os saldos fiscais e contábeis em contas separadas, mas é um processo que visa facilitar o controle dos saldos que serão adicionados dos demais saldos contábeis."))</f>
        <v>Isso não é muito bom, pois obriga a Sociedade a elaborar conciliações que segreguem os saldos a serem adicionados e excluídos dos demais saldos. A Sociedade não é obrigada a separar em contas contábeis distintas os saldos fiscais e contábeis em contas separadas, mas é um processo que visa facilitar o controle dos saldos que serão adicionados dos demais saldos contábeis.</v>
      </c>
    </row>
    <row r="12" spans="2:7" s="67" customFormat="1" x14ac:dyDescent="0.3">
      <c r="B12" s="65">
        <f t="shared" si="1"/>
        <v>8</v>
      </c>
      <c r="C12" s="65" t="s">
        <v>29</v>
      </c>
      <c r="D12" s="66" t="s">
        <v>398</v>
      </c>
      <c r="F12" s="68" t="str">
        <f>IF(D12="sim","A Sociedade possui saldo de prejuízo fiscal e base de cálculo negativa da CSLL a compensar.",IF(D12="não","A Sociedade respondeu que não possui saldo de prejuízo fiscal e base de cálculo negativa da CSLL a compensar.",IF(D12="não sei dizer","Inconclusivo.")))</f>
        <v>A Sociedade possui saldo de prejuízo fiscal e base de cálculo negativa da CSLL a compensar.</v>
      </c>
      <c r="G12" s="67" t="str">
        <f>IF(F10="Inconclusivo.","A Sociedade não tem a informação necessária para responder a questão 8, de forma que não podemos opinar sobre.",CONCATENATE(F12," ","Ressaltamos para a importância de avaliar nas DIPJs e ECFs dos anos calendário anteriores se há saldos de prejuízo fiscal e base de cálculo negativa a compensar."))</f>
        <v>A Sociedade possui saldo de prejuízo fiscal e base de cálculo negativa da CSLL a compensar. Ressaltamos para a importância de avaliar nas DIPJs e ECFs dos anos calendário anteriores se há saldos de prejuízo fiscal e base de cálculo negativa a compensar.</v>
      </c>
    </row>
    <row r="13" spans="2:7" s="67" customFormat="1" x14ac:dyDescent="0.3">
      <c r="B13" s="65">
        <f t="shared" si="0"/>
        <v>9</v>
      </c>
      <c r="C13" s="65" t="s">
        <v>25</v>
      </c>
      <c r="D13" s="66" t="s">
        <v>392</v>
      </c>
      <c r="F13" s="68" t="str">
        <f>IF($D$12="sim",IF(D13="sim","A Sociedade informou que possui controle analítico saldo de prejuízo fiscal e base de  cálculo negativa da CSLL a compensar.",IF(D13="não","A Sociedade não possui controle analítico dos saldos de prejuízo fiscal e base de  cálculo negativa da CSLL, pois não possui saldo a compensar.",IF(D13="não sei dizer","Inconclusivo."))),"desabilitar")</f>
        <v>A Sociedade informou que possui controle analítico saldo de prejuízo fiscal e base de  cálculo negativa da CSLL a compensar.</v>
      </c>
      <c r="G13" s="67" t="str">
        <f>IF(F13="desabilitar"," ",F13)</f>
        <v>A Sociedade informou que possui controle analítico saldo de prejuízo fiscal e base de  cálculo negativa da CSLL a compensar.</v>
      </c>
    </row>
    <row r="14" spans="2:7" ht="28.8" x14ac:dyDescent="0.3">
      <c r="B14" s="2">
        <f t="shared" si="0"/>
        <v>10</v>
      </c>
      <c r="C14" s="2" t="s">
        <v>26</v>
      </c>
      <c r="D14" s="3" t="s">
        <v>399</v>
      </c>
      <c r="F14" s="9" t="str">
        <f>IF($D$12="sim",IF(D14="sim","A Sociedade realiza o confronto de saldos entre o controle analítico saldo de prejuízo fiscal e base de  cálculo negativa da CSLL x DIPJ x ECF.",IF(D14="não","Contudo, a Sociedade não realiza o confronto de saldos entre o controle analítico saldo de prejuízo fiscal e base de  cálculo negativa da CSLL x DIPJ x ECF.",IF(D14="não sei dizer","Inconclusivo."))),"desabilitar")</f>
        <v>Contudo, a Sociedade não realiza o confronto de saldos entre o controle analítico saldo de prejuízo fiscal e base de  cálculo negativa da CSLL x DIPJ x ECF.</v>
      </c>
      <c r="G14" t="str">
        <f>IF(F14="desabilitar"," ","Eventuais divergências encontradas entre os saldos de prejuízo fiscal e base de cálculo negativa da CSLL do seu controle pessoal x DIPJ x ECF podem acarretar em questionamentos, já que a Sociedade pode estar compensando saldo a maior do declarado.")</f>
        <v>Eventuais divergências encontradas entre os saldos de prejuízo fiscal e base de cálculo negativa da CSLL do seu controle pessoal x DIPJ x ECF podem acarretar em questionamentos, já que a Sociedade pode estar compensando saldo a maior do declarado.</v>
      </c>
    </row>
    <row r="15" spans="2:7" ht="28.8" x14ac:dyDescent="0.3">
      <c r="B15" s="2">
        <f t="shared" ref="B15" si="2">B14+1</f>
        <v>11</v>
      </c>
      <c r="C15" s="7" t="s">
        <v>27</v>
      </c>
      <c r="D15" s="3" t="s">
        <v>409</v>
      </c>
      <c r="F15" s="9" t="str">
        <f>IF($D$12="sim",IF(D15="Lucro Real tributável","A Sociedade informou também que está operando com Lucro Real Tributável, o que permite a compensação dos 'estoques' de prejuízo fiscal e base de  cálculo negativa da CSLL.",IF(D15="Prejuízo Fiscal","A Sociedade está operando em prejuízo fiscal, o que irá elevar o 'estoque' de prejuízo fiscal e base de  cálculo negativa da CSLL a ser compensado com lucros futuros.",IF(D15="não sei dizer","Inconclusivo."))),IF(D15="Lucro Real tributável","A Sociedade está operando com Lucro Real Tributável mas sem saldo de prejuízo fiscal e base de cálculo negativa da CSLL a compensar neste ano calendário.",IF(D15="Prejuízo Fiscal","Por fim, a Sociedade está operando em prejuízo fiscal. O prejuízo poderá ser compensado futuramente quando a Sociedade apurar Lucro Real Tributável nos próximos anos.",IF(D15="não sei dizer","Inconclusivo."))))</f>
        <v>A Sociedade informou também que está operando com Lucro Real Tributável, o que permite a compensação dos 'estoques' de prejuízo fiscal e base de  cálculo negativa da CSLL.</v>
      </c>
      <c r="G15" t="str">
        <f>IF(F10="Inconclusivo.","A Sociedade não tem a informação necessária para responder a questão 11, de forma que não podemos opinar sobre.",F15)</f>
        <v>A Sociedade informou também que está operando com Lucro Real Tributável, o que permite a compensação dos 'estoques' de prejuízo fiscal e base de  cálculo negativa da CSLL.</v>
      </c>
    </row>
    <row r="16" spans="2:7" ht="29.4" customHeight="1" x14ac:dyDescent="0.3">
      <c r="B16" s="2">
        <f t="shared" ref="B16" si="3">B15+1</f>
        <v>12</v>
      </c>
      <c r="C16" s="7" t="s">
        <v>28</v>
      </c>
      <c r="D16" s="3" t="s">
        <v>392</v>
      </c>
      <c r="F16" s="9" t="str">
        <f>IF($D$12="sim",IF(D16="sim",IF(D15="lucro real tributável","Por fim, a Sociedade informou que está compensando os saldos de prejuízo fiscal e base de  cálculo negativa da CSLL. Sugerimos apenas que a Sociedade averigue se as compensações estão dentro do limite estabelecido por Lei.",IF(D15="prejuízo fiscal","Por fim, sugerimos a Sociedade checar a questão 12, pois a Sociedade não pode compensar saldos de prejuízo fiscal e base de cálculo negativa da CSLL com o próprio prejuízo do ano calendário.","inconclusivo")),IF(D16="não",IF(D15="lucro real tributável","Apesar de possuir saldo de prejuízo fiscal e base de  cálculo negativa da CSLL a compensar, a Sociedade não está se utilizando desses créditos para compensar o Lucro Real deste ano calendário.","desabilitar"))),"desabilitar")</f>
        <v>Por fim, a Sociedade informou que está compensando os saldos de prejuízo fiscal e base de  cálculo negativa da CSLL. Sugerimos apenas que a Sociedade averigue se as compensações estão dentro do limite estabelecido por Lei.</v>
      </c>
      <c r="G16" t="str">
        <f>IF(F16="desabilitar"," ",CONCATENATE(F16," ","Sempre é importante avaliar a possibilidade de compensação do Lucro Real com os saldos de prejuízo fiscal e base de cálculo negativa da CSLL, exceto nos casos em que a Sociedade tenha apurado prejuízo fiscal no ano de análise."))</f>
        <v>Por fim, a Sociedade informou que está compensando os saldos de prejuízo fiscal e base de  cálculo negativa da CSLL. Sugerimos apenas que a Sociedade averigue se as compensações estão dentro do limite estabelecido por Lei. Sempre é importante avaliar a possibilidade de compensação do Lucro Real com os saldos de prejuízo fiscal e base de cálculo negativa da CSLL, exceto nos casos em que a Sociedade tenha apurado prejuízo fiscal no ano de análise.</v>
      </c>
    </row>
    <row r="17" spans="2:20" ht="27" customHeight="1" x14ac:dyDescent="0.3">
      <c r="B17" s="4"/>
      <c r="C17" s="8"/>
      <c r="D17" s="6"/>
      <c r="F17" s="61" t="s">
        <v>396</v>
      </c>
      <c r="H17" s="59"/>
      <c r="I17" s="59"/>
      <c r="J17" s="59"/>
      <c r="K17" s="59"/>
      <c r="L17" s="59"/>
      <c r="M17" s="59"/>
      <c r="N17" s="59"/>
      <c r="O17" s="59"/>
    </row>
    <row r="18" spans="2:20" ht="367.8" customHeight="1" x14ac:dyDescent="0.3">
      <c r="F18" s="62" t="str">
        <f>CONCATENATE(G7," ",G8," ",G9," ",G10," ",G11," ",G12," ",G13," ",G14," ",G15," ",G16)</f>
        <v>Apesar de a Sociedade apurar mensalmente o Lucro Real, não faz a avaliação de comparação dos cálculos por estimativa por receita bruta ou por suspensão e redução. Sem essa avaliação a Sociedade pode estar recolhendo mais tributos em determinado mês e, isso é importante quando falamos de fluxo de caixa. A Sociedade elabora a memória de cálculo do Lucro Real em arquivo eletrônico. Isso garante que a metodologia de cálculo esteja formalizado e evidenciado. Elaborar a memória de cálculo em arquivo eletrônico garante a salvaguarda das informações, registro da origem dos saldos e confiabilidade nos resultados obtidos. A Sociedade possui bons controles e suportes que a auxiliam a elaborar com a memória de cálculo do Lucro Real. Isso é importante para evidenciar a origem dos saldos adicionados e excluídos na base de cálculo do Lucro Real. No entanto, a Sociedade não contabiliza em contas separadas os saldos que são adicionados e excluídos na base de cálculo do Lucro Real. A evidência contábil dos saldos adicionados e excluídos facilita o controle das informações e como essas informações são alocadas no cálculo, até mesmo para fins contábeis, a segregação é importante. Isso não é muito bom, pois obriga a Sociedade a elaborar conciliações que segreguem os saldos a serem adicionados e excluídos dos demais saldos. A Sociedade não é obrigada a separar em contas contábeis distintas os saldos fiscais e contábeis em contas separadas, mas é um processo que visa facilitar o controle dos saldos que serão adicionados dos demais saldos contábeis. A Sociedade possui saldo de prejuízo fiscal e base de cálculo negativa da CSLL a compensar. Ressaltamos para a importância de avaliar nas DIPJs e ECFs dos anos calendário anteriores se há saldos de prejuízo fiscal e base de cálculo negativa a compensar. A Sociedade informou que possui controle analítico saldo de prejuízo fiscal e base de  cálculo negativa da CSLL a compensar. Eventuais divergências encontradas entre os saldos de prejuízo fiscal e base de cálculo negativa da CSLL do seu controle pessoal x DIPJ x ECF podem acarretar em questionamentos, já que a Sociedade pode estar compensando saldo a maior do declarado. A Sociedade informou também que está operando com Lucro Real Tributável, o que permite a compensação dos 'estoques' de prejuízo fiscal e base de  cálculo negativa da CSLL. Por fim, a Sociedade informou que está compensando os saldos de prejuízo fiscal e base de  cálculo negativa da CSLL. Sugerimos apenas que a Sociedade averigue se as compensações estão dentro do limite estabelecido por Lei. Sempre é importante avaliar a possibilidade de compensação do Lucro Real com os saldos de prejuízo fiscal e base de cálculo negativa da CSLL, exceto nos casos em que a Sociedade tenha apurado prejuízo fiscal no ano de análise.</v>
      </c>
      <c r="H18" s="63"/>
      <c r="I18" s="63"/>
      <c r="J18" s="63"/>
      <c r="K18" s="63"/>
      <c r="L18" s="63"/>
      <c r="M18" s="63"/>
      <c r="N18" s="63"/>
      <c r="O18" s="63"/>
      <c r="P18" s="63"/>
      <c r="Q18" s="63"/>
      <c r="R18" s="63"/>
      <c r="S18" s="63"/>
      <c r="T18" s="63"/>
    </row>
    <row r="24" spans="2:20" x14ac:dyDescent="0.3">
      <c r="D24" s="60"/>
    </row>
    <row r="26" spans="2:20" x14ac:dyDescent="0.3">
      <c r="D26" s="60"/>
    </row>
    <row r="27" spans="2:20" x14ac:dyDescent="0.3">
      <c r="D27" s="60"/>
    </row>
  </sheetData>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'Matriz de respostas'!$B$14:$B$15</xm:f>
          </x14:formula1>
          <xm:sqref>D5</xm:sqref>
        </x14:dataValidation>
        <x14:dataValidation type="list" allowBlank="1" showInputMessage="1" showErrorMessage="1">
          <x14:formula1>
            <xm:f>'Matriz de respostas'!$B$18:$B$19</xm:f>
          </x14:formula1>
          <xm:sqref>D6</xm:sqref>
        </x14:dataValidation>
        <x14:dataValidation type="list" allowBlank="1" showInputMessage="1" showErrorMessage="1">
          <x14:formula1>
            <xm:f>'Matriz de respostas'!$B$4:$B$6</xm:f>
          </x14:formula1>
          <xm:sqref>D7:D14 D16</xm:sqref>
        </x14:dataValidation>
        <x14:dataValidation type="list" allowBlank="1" showInputMessage="1" showErrorMessage="1">
          <x14:formula1>
            <xm:f>'Matriz de respostas'!$B$9:$B$11</xm:f>
          </x14:formula1>
          <xm:sqref>D15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16"/>
  <sheetViews>
    <sheetView showGridLines="0" topLeftCell="A6" zoomScale="70" zoomScaleNormal="70" workbookViewId="0">
      <selection activeCell="F15" sqref="F15"/>
    </sheetView>
  </sheetViews>
  <sheetFormatPr defaultRowHeight="14.4" x14ac:dyDescent="0.3"/>
  <cols>
    <col min="1" max="1" width="4" customWidth="1"/>
    <col min="2" max="2" width="5.6640625" customWidth="1"/>
    <col min="3" max="3" width="85.44140625" customWidth="1"/>
    <col min="4" max="4" width="29" customWidth="1"/>
    <col min="6" max="6" width="98.44140625" customWidth="1"/>
    <col min="7" max="7" width="70.44140625" customWidth="1"/>
  </cols>
  <sheetData>
    <row r="4" spans="2:8" x14ac:dyDescent="0.3">
      <c r="B4" s="1" t="s">
        <v>23</v>
      </c>
    </row>
    <row r="5" spans="2:8" ht="72.599999999999994" customHeight="1" x14ac:dyDescent="0.3">
      <c r="B5" s="2">
        <v>1</v>
      </c>
      <c r="C5" s="7" t="s">
        <v>416</v>
      </c>
      <c r="D5" s="3" t="s">
        <v>398</v>
      </c>
      <c r="F5" s="9" t="str">
        <f>IF(D5="sim"," ",IF(D5="não","Sugerimos avaliar a contabilidade e averiguar se podem haver provisões a serem adicionadas, como PCLD, provisões de estoque, etc.",IF(D5="não sei dizer","Inconclusivo.")))</f>
        <v xml:space="preserve"> </v>
      </c>
      <c r="G5" s="9" t="str">
        <f>IF(F5="Inconclusivo.","A Sociedade não tem a informação necessária para responder a questão 1, de forma que não podemos opinar sobre.",CONCATENATE(F5," ","As provisões temporariamente indedutíveis são aquelas que devem ser adicionadas em quanto provisão e excluídas no momento em que as despesas incorrerem efetivamente, exceto, aquelas cuja dedutibilidade são previstas em Lei."))</f>
        <v xml:space="preserve">  As provisões temporariamente indedutíveis são aquelas que devem ser adicionadas em quanto provisão e excluídas no momento em que as despesas incorrerem efetivamente, exceto, aquelas cuja dedutibilidade são previstas em Lei.</v>
      </c>
    </row>
    <row r="6" spans="2:8" ht="90" customHeight="1" x14ac:dyDescent="0.3">
      <c r="B6" s="2">
        <f t="shared" ref="B6:B13" si="0">B5+1</f>
        <v>2</v>
      </c>
      <c r="C6" s="2" t="s">
        <v>18</v>
      </c>
      <c r="D6" s="3" t="s">
        <v>398</v>
      </c>
      <c r="F6" s="9" t="str">
        <f>IF(D5="sim",IF(D6="sim"," ",IF(D6="não","Não controlar as constituições e reversões das provisões temporárias pode levar a Sociedade a correr o risco de não saber o quanto deveria ser adicionado, principalmente se a provisão tiver uma movimentação muito frequente.",IF(D6="não sei dizer","Inconclusivo."))),"desabilitar")</f>
        <v xml:space="preserve"> </v>
      </c>
      <c r="G6" s="9" t="str">
        <f>IF(F6="Inconclusivo.","A Sociedade não tem a informação necessária para responder a questão 2, de forma que não podemos opinar sobre.",CONCATENATE(F6," ","Mesmo que o sistema contábil proveja toda a movimentação dos saldos de provisão, é recomendável controlar a parte a parcela que deve ser adicionada das demais movimentações dedutíveis."))</f>
        <v xml:space="preserve">  Mesmo que o sistema contábil proveja toda a movimentação dos saldos de provisão, é recomendável controlar a parte a parcela que deve ser adicionada das demais movimentações dedutíveis.</v>
      </c>
    </row>
    <row r="7" spans="2:8" ht="75.599999999999994" customHeight="1" x14ac:dyDescent="0.3">
      <c r="B7" s="2">
        <f t="shared" si="0"/>
        <v>3</v>
      </c>
      <c r="C7" s="7" t="s">
        <v>19</v>
      </c>
      <c r="D7" s="64" t="s">
        <v>412</v>
      </c>
      <c r="F7" s="9" t="str">
        <f>IF(D5="sim",IF(D7="Contas de Resultado","A Sociedade informou que as provisões adicionadas possuem contas específicas no resultado, facilitando a conciliação dos saldos adicionados pelas contas do resultado.",IF(D7="Movimentação patrimonial","A Sociedade informou que as provisões temporariamente indedutíveis são adicionadas através da movimentação dos saldos de um período para outro das contas patrimoniais do ativo e passivo.",IF(D7="Parte pela movimentação patrimonial e parte pelas contas de resultado","A Sociedade informou que consegue adicionar os saldos das provisões indedutíveis, tanto pelas contas patrimoniais, como pelas contas de resultado.",IF(D7="não sei dizer","Inconclusivo.")))),"desabilitar")</f>
        <v>A Sociedade informou que consegue adicionar os saldos das provisões indedutíveis, tanto pelas contas patrimoniais, como pelas contas de resultado.</v>
      </c>
      <c r="G7" s="9" t="str">
        <f>IF(F7="Inconclusivo.","A Sociedade não tem a informação necessária para responder a questão 3, de forma que não podemos opinar sobre.",CONCATENATE(F7," ","Salientamos que é importante checar se a movimentação patrimonial das provisões possuem uma contrapartida em conta específica no resultado, cujo saldo reflita o montante adicionado na base do Lucro Real."))</f>
        <v>A Sociedade informou que consegue adicionar os saldos das provisões indedutíveis, tanto pelas contas patrimoniais, como pelas contas de resultado. Salientamos que é importante checar se a movimentação patrimonial das provisões possuem uma contrapartida em conta específica no resultado, cujo saldo reflita o montante adicionado na base do Lucro Real.</v>
      </c>
    </row>
    <row r="8" spans="2:8" ht="71.400000000000006" customHeight="1" x14ac:dyDescent="0.3">
      <c r="B8" s="2">
        <f t="shared" si="0"/>
        <v>4</v>
      </c>
      <c r="C8" s="7" t="s">
        <v>20</v>
      </c>
      <c r="D8" s="3" t="s">
        <v>398</v>
      </c>
      <c r="F8" s="9" t="str">
        <f>IF(D5="sim",IF(D8="sim","As provisões adicionadas possuem contas específicas no resultado,  facilitando a conciliação dos saldos adicionados pelas contas do resultado.",IF(D8="não","Não há contas contábeis no resultado que reflitam, apenas, os saldos das provisões temporariamente indedutíveis.",IF(D8="não sei dizer","Inconclusivo."))),"desabilitar")</f>
        <v>As provisões adicionadas possuem contas específicas no resultado,  facilitando a conciliação dos saldos adicionados pelas contas do resultado.</v>
      </c>
      <c r="G8" s="9" t="str">
        <f>IF(F8="Inconclusivo.","A Sociedade não tem a informação necessária para responder a questão 4, de forma que não podemos opinar sobre.",CONCATENATE(F8," ","Apesar de não ser obrigatório, a criação de contas específicas no resultado facilita a conciliação dos saldos que devem ser adicionados na base de cálculo do Lucro Real."))</f>
        <v>As provisões adicionadas possuem contas específicas no resultado,  facilitando a conciliação dos saldos adicionados pelas contas do resultado. Apesar de não ser obrigatório, a criação de contas específicas no resultado facilita a conciliação dos saldos que devem ser adicionados na base de cálculo do Lucro Real.</v>
      </c>
    </row>
    <row r="9" spans="2:8" ht="43.2" x14ac:dyDescent="0.3">
      <c r="B9" s="2">
        <f t="shared" si="0"/>
        <v>5</v>
      </c>
      <c r="C9" s="7" t="s">
        <v>32</v>
      </c>
      <c r="D9" s="3" t="s">
        <v>398</v>
      </c>
      <c r="F9" s="9" t="str">
        <f>IF(D5="sim",IF(D9="sim","Deixar de adicionar uma provisão temporária pode levar a questionamentos pelas autoridades fiscais. Analise quais são as provisões e cheque se devem ser adicionadas na base de cálculo do Lucro Real.",IF(D9="não"," ",IF(D9="não sei dizer","Inconclusivo."))),"desabilitar")</f>
        <v>Deixar de adicionar uma provisão temporária pode levar a questionamentos pelas autoridades fiscais. Analise quais são as provisões e cheque se devem ser adicionadas na base de cálculo do Lucro Real.</v>
      </c>
      <c r="G9" s="9" t="str">
        <f>IF(F9="Inconclusivo.","A Sociedade não tem a informação necessária para responder a questão 5, de forma que não podemos opinar sobre.",F9)</f>
        <v>Deixar de adicionar uma provisão temporária pode levar a questionamentos pelas autoridades fiscais. Analise quais são as provisões e cheque se devem ser adicionadas na base de cálculo do Lucro Real.</v>
      </c>
    </row>
    <row r="10" spans="2:8" ht="91.2" customHeight="1" x14ac:dyDescent="0.3">
      <c r="B10" s="2">
        <f t="shared" si="0"/>
        <v>6</v>
      </c>
      <c r="C10" s="7" t="s">
        <v>413</v>
      </c>
      <c r="D10" s="3" t="s">
        <v>398</v>
      </c>
      <c r="F10" s="9" t="str">
        <f>IF(D5="sim",IF(D10="sim"," ",IF(D10="não","Continuando no tema, a Sociedade declarou que não possui provisões dedutíveis de acordo com o art. 70 da IN 1.700/2017. Sugerimos rever a questão, pois o art.70 prevê a dedutiblidade de provisões comuns nas empresas e que Sociedade pode estar adicionando.",IF(D10="não sei dizer","Inconclusivo."))),"desabilitar")</f>
        <v xml:space="preserve"> </v>
      </c>
      <c r="G10" s="9" t="str">
        <f>IF(F10="Inconclusivo.","A Sociedade não tem a informação necessária para responder a questão 6, de forma que não podemos opinar sobre.",CONCATENATE(F10," ","Reforçamos que, à exceção das provisões mencionadas no art. 70 da IN 1.700/2017, todas as demais devem ser adicionadas na base de cálculo do Lucro Real."))</f>
        <v xml:space="preserve">  Reforçamos que, à exceção das provisões mencionadas no art. 70 da IN 1.700/2017, todas as demais devem ser adicionadas na base de cálculo do Lucro Real.</v>
      </c>
      <c r="H10" t="s">
        <v>414</v>
      </c>
    </row>
    <row r="11" spans="2:8" ht="43.2" x14ac:dyDescent="0.3">
      <c r="B11" s="2">
        <f t="shared" si="0"/>
        <v>7</v>
      </c>
      <c r="C11" s="7" t="s">
        <v>415</v>
      </c>
      <c r="D11" s="3" t="s">
        <v>398</v>
      </c>
      <c r="F11" s="9" t="str">
        <f>IF($D$5="sim",IF(D11="sim","Já com relação a PCLD, a Sociedade declarou que avalia periodicamente a possibilidade de dedução das perdas na recuperação dos créditos de clientes.",IF(D11="não","Já com relação a PCLD, a Sociedade informou que não avalia a possibilidade de dedução das perdas de clientes incobráveis. Caso o cliente não possua PCLD constituída ou clientes devedores há muito tempo, o procedimento está correto.",IF(D11="não sei dizer","Inconclusivo."))),"desabilitar")</f>
        <v>Já com relação a PCLD, a Sociedade declarou que avalia periodicamente a possibilidade de dedução das perdas na recuperação dos créditos de clientes.</v>
      </c>
      <c r="G11" s="9" t="str">
        <f>IF(F11="Inconclusivo.","A Sociedade não tem a informação necessária para responder a questão 7, de forma que não podemos opinar sobre.",F11)</f>
        <v>Já com relação a PCLD, a Sociedade declarou que avalia periodicamente a possibilidade de dedução das perdas na recuperação dos créditos de clientes.</v>
      </c>
    </row>
    <row r="12" spans="2:8" ht="42" customHeight="1" x14ac:dyDescent="0.3">
      <c r="B12" s="2">
        <f t="shared" si="0"/>
        <v>8</v>
      </c>
      <c r="C12" s="7" t="s">
        <v>33</v>
      </c>
      <c r="D12" s="3" t="s">
        <v>398</v>
      </c>
      <c r="F12" s="9" t="str">
        <f>IF($D$5="sim",IF(D11="sim",IF(D12="sim"," ",IF(D12="não","Ainda, a Sociedade informou que não baixou os títulos para o Resultado.",IF(D12="não sei dizer","Inconclusivo."))),IF(D11="não",IF(D12="sim","Embora a Sociedade tenha informado que não faz a avaliação periódica do art. 71 da IN 1.700/2017 efetuou baixas de clientes contra o resultado nesse ano calendário.",IF(D12="não","Contudo, a Sociedade informou que, além de não analisar os efeitos do art. 71 não efetuou baixas de clientes no resultado neste ano calendário.","inconclusivo")),IF(D11="não sei dizer",IF(D12="sim","Embora a Sociedade tenha informado que não faz a avaliação periódica do art. 71 da IN 1.700/2017 efetuou baixas de clientes contra o resultado nesse ano calendário.",IF(D12="não","Ainda, a Sociedade informou que, além de não saber se analisa os efeitos do art. 71 não efetuou baixas de clientes no resultado neste ano calendário.","Inconclusivo"))))),"desabilitar")</f>
        <v xml:space="preserve"> </v>
      </c>
      <c r="G12" s="9" t="str">
        <f>IF(F12="Inconclusivo.","A Sociedade não tem a informação necessária para responder a questão 8, de forma que não podemos opinar sobre.",F12)</f>
        <v xml:space="preserve"> </v>
      </c>
    </row>
    <row r="13" spans="2:8" ht="88.2" customHeight="1" x14ac:dyDescent="0.3">
      <c r="B13" s="2">
        <f t="shared" si="0"/>
        <v>9</v>
      </c>
      <c r="C13" s="7" t="s">
        <v>34</v>
      </c>
      <c r="D13" s="3" t="s">
        <v>398</v>
      </c>
      <c r="F13" s="9" t="str">
        <f>IF($D$5="sim",IF(D11="sim",IF(D12="sim",IF(D13="sim","Por fim, a Sociedade informou que baixou neste ano calendário, títulos incobráveis de clientes. Se os critérios aplicados para a dedução estiverem nos moldes do art. 71, a Sociedade pode tomar a dedutiblidade para fins fiscais.",IF(D13="não","Ainda, a Sociedade informou que tomou a dedutiblidade dos títulos incobráveis mas não baixou os títulos para o Resultado. Alertamos para o risco do Fisco considerar a dedução, para fins fiscais, indevida.",IF(D13="não sei dizer","Inconclusivo."))),IF(D11="NÃO",IF(D12="sim",IF(D13="sim","Por fim, a Sociedade baixou neste ano calendário, títulos incobráveis de clientes, tomando a dedutibilidade destes sem ao menos ter feito a avaliação dos critérios estabelecidos no art.71.",IF(D13="não","Por fim, a Sociedade informou que, apesar de ter baixado os títulos incobráveis contra o resultado, não tomou a dedutiblidade destes, adicionando os mesmos no cálculo do Lucro Real.",IF(D13="não sei dizer","Inconclusivo."))),IF(D12="não","Resumindo a PDD, a Sociedade informou que não faz a análise de dedutibilidade do art. 71, não efetuou a baixa dos títulos incobráveis contra o resultado, contudo, tomou a dedutiblidade das perdas. Sugerimos reavaliar o exposto para evitar questionamentos.",IF(D11="NÃO SEI DIZER",IF(D12="sim",IF(D13="sim","Por fim, a Sociedade não soube dizer se faz a avaliação do art. 71, mas baixou neste ano calendário títulos incobráveis de clientes, tomando a dedutibilidade destes sem ao menos ter feito a avaliação dos critérios estabelecidos no art.71.",IF(D13="não","Por fim, a Sociedade informou que, apesar não saber dizer se analisa os critérios do art. 71 informou que baixou os títulos incobráveis contra o resultado, mas não tomou a dedutiblidade destes, adicionando os mesmos no cálculo do Lucro Real.",IF(D13="não sei dizer","Inconclusivo.")))),"Apesar da Sociedade informar que toma a dedutibilidade das perdas de clientes sem analisar os critérios do art. 71, a mesma está tomando a dedutiblidade das referidas perdas. Sugerimos reavaliar o exposto para evitar eventuais questionamentos."))),IF(D12="não",IF(D13="sim","A Sociedade informou que faz a análise de dedutibilidade do art. 71 mas não efetuou a baixa dos títulos incobráveis contra o resultado, contudo, tomou a dedutiblidade das perdas. Sugerimos reavaliar o exposto para evitar questionamentos.",IF(D13="não","Apesar da Sociedade efetuar a análise dos critérios do art. 71, não está tomando a dedutiblidade das perdas, talvez pelo fato de ter mencionado que não baixou os títulos vencidos para o resultado.","inconclusivo")),IF(D13="sim","A Sociedade informou que faz a análise de dedutibilidade do art. 71 mas não diz se efetuou a baixa dos títulos incobráveis contra o resultado, contudo, tomou a dedutiblidade das perdas. Sugerimos reavaliar o exposto para evitar questionamentos.",IF(D13="não","A Sociedade informou que faz a análise de dedutibilidade do art. 71 mas não diz se efetuou a baixa dos títulos incobráveis contra o resultado, de todo modo, não tomou a dedutiblidade das perdas de clientes vencidos.",IF(D13="não sei dizer","inconclusivo"))))))))</f>
        <v>Por fim, a Sociedade informou que baixou neste ano calendário, títulos incobráveis de clientes. Se os critérios aplicados para a dedução estiverem nos moldes do art. 71, a Sociedade pode tomar a dedutiblidade para fins fiscais.</v>
      </c>
      <c r="G13" s="9" t="str">
        <f>IF(F13="inconclusivo","A Sociedade não tem a informação necessária para responder a questão 9, de forma que não podemos opinar sobre.",CONCATENATE(F13," ","O art. 71 da IN 1.700/2017, determina que a Sociedade pode tomar a dedutiblidade das despesas com baixas de clientes quando atenderem os critérios de valores mínimos, período em que o título está vencido e ter baixado o título contra o resultado contábil."))</f>
        <v>Por fim, a Sociedade informou que baixou neste ano calendário, títulos incobráveis de clientes. Se os critérios aplicados para a dedução estiverem nos moldes do art. 71, a Sociedade pode tomar a dedutiblidade para fins fiscais. O art. 71 da IN 1.700/2017, determina que a Sociedade pode tomar a dedutiblidade das despesas com baixas de clientes quando atenderem os critérios de valores mínimos, período em que o título está vencido e ter baixado o título contra o resultado contábil.</v>
      </c>
    </row>
    <row r="15" spans="2:8" x14ac:dyDescent="0.3">
      <c r="F15" s="61" t="s">
        <v>396</v>
      </c>
    </row>
    <row r="16" spans="2:8" ht="307.2" customHeight="1" x14ac:dyDescent="0.3">
      <c r="F16" s="62" t="str">
        <f>CONCATENATE(G5," ",G6," ",G7," ",G8," ",G9," ",G10," ",G11," ",G12," ",G13,)</f>
        <v xml:space="preserve">  As provisões temporariamente indedutíveis são aquelas que devem ser adicionadas em quanto provisão e excluídas no momento em que as despesas incorrerem efetivamente, exceto, aquelas cuja dedutibilidade são previstas em Lei.   Mesmo que o sistema contábil proveja toda a movimentação dos saldos de provisão, é recomendável controlar a parte a parcela que deve ser adicionada das demais movimentações dedutíveis. A Sociedade informou que consegue adicionar os saldos das provisões indedutíveis, tanto pelas contas patrimoniais, como pelas contas de resultado. Salientamos que é importante checar se a movimentação patrimonial das provisões possuem uma contrapartida em conta específica no resultado, cujo saldo reflita o montante adicionado na base do Lucro Real. As provisões adicionadas possuem contas específicas no resultado,  facilitando a conciliação dos saldos adicionados pelas contas do resultado. Apesar de não ser obrigatório, a criação de contas específicas no resultado facilita a conciliação dos saldos que devem ser adicionados na base de cálculo do Lucro Real. Deixar de adicionar uma provisão temporária pode levar a questionamentos pelas autoridades fiscais. Analise quais são as provisões e cheque se devem ser adicionadas na base de cálculo do Lucro Real.   Reforçamos que, à exceção das provisões mencionadas no art. 70 da IN 1.700/2017, todas as demais devem ser adicionadas na base de cálculo do Lucro Real. Já com relação a PCLD, a Sociedade declarou que avalia periodicamente a possibilidade de dedução das perdas na recuperação dos créditos de clientes.   Por fim, a Sociedade informou que baixou neste ano calendário, títulos incobráveis de clientes. Se os critérios aplicados para a dedução estiverem nos moldes do art. 71, a Sociedade pode tomar a dedutiblidade para fins fiscais. O art. 71 da IN 1.700/2017, determina que a Sociedade pode tomar a dedutiblidade das despesas com baixas de clientes quando atenderem os critérios de valores mínimos, período em que o título está vencido e ter baixado o título contra o resultado contábil.</v>
      </c>
    </row>
  </sheetData>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2">
        <x14:dataValidation type="list" allowBlank="1" showInputMessage="1" showErrorMessage="1">
          <x14:formula1>
            <xm:f>'Matriz de respostas'!$B$4:$B$6</xm:f>
          </x14:formula1>
          <xm:sqref>D5:D6 D8:D13</xm:sqref>
        </x14:dataValidation>
        <x14:dataValidation type="list" allowBlank="1" showInputMessage="1" showErrorMessage="1">
          <x14:formula1>
            <xm:f>'Matriz de respostas'!$B$22:$B$25</xm:f>
          </x14:formula1>
          <xm:sqref>D7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28"/>
  <sheetViews>
    <sheetView showGridLines="0" topLeftCell="A15" zoomScale="70" zoomScaleNormal="70" workbookViewId="0">
      <selection activeCell="D17" sqref="D17"/>
    </sheetView>
  </sheetViews>
  <sheetFormatPr defaultRowHeight="14.4" x14ac:dyDescent="0.3"/>
  <cols>
    <col min="1" max="1" width="3.33203125" customWidth="1"/>
    <col min="2" max="2" width="3.77734375" customWidth="1"/>
    <col min="3" max="3" width="81.88671875" customWidth="1"/>
    <col min="4" max="4" width="27.88671875" customWidth="1"/>
    <col min="5" max="5" width="4.109375" customWidth="1"/>
    <col min="6" max="6" width="199.5546875" customWidth="1"/>
    <col min="7" max="7" width="89.21875" customWidth="1"/>
    <col min="8" max="8" width="64.33203125" customWidth="1"/>
    <col min="9" max="9" width="72.88671875" customWidth="1"/>
  </cols>
  <sheetData>
    <row r="3" spans="2:7" x14ac:dyDescent="0.3">
      <c r="B3" s="1" t="s">
        <v>417</v>
      </c>
    </row>
    <row r="4" spans="2:7" ht="63" customHeight="1" x14ac:dyDescent="0.3">
      <c r="B4" s="2">
        <v>1</v>
      </c>
      <c r="C4" s="7" t="s">
        <v>383</v>
      </c>
      <c r="D4" s="3" t="s">
        <v>398</v>
      </c>
      <c r="F4" s="9" t="str">
        <f>IF(D4="SIM","A IN1.700/2017 trouxe diversos esclarecimentos acerca de procedimentos que são adotados pelas empresas e que geravam certa obscuridade.",IF(D4="NÃO","Sugerimos avaliar se realmente não há operações normatizadas pela IN 1.700/2017, pois houve alterações e esclarecimentos em diversas matérias que antes eram aplicadas pelas empresas corriqueiramente.",IF(D4="NÃO SEI DIZER","inconclusivo")))</f>
        <v>A IN1.700/2017 trouxe diversos esclarecimentos acerca de procedimentos que são adotados pelas empresas e que geravam certa obscuridade.</v>
      </c>
      <c r="G4" s="9" t="str">
        <f>IF(F4="Inconclusivo","A Sociedade não tem a informação necessária para responder a questão 1, de forma que não podemos opinar sobre.",CONCATENATE(F4," ","A Lei 12.973/2014 vigorou para extinguir os fatígáveis ajustes de RTT impostos pela Lei 12.249/2010. Em 2017 vigorou a IN 1.700/2017 que compila e normatiza diversos regimentos acerca do IRPJ e CSLL, tangente as pessoas jurídicas."))</f>
        <v>A IN1.700/2017 trouxe diversos esclarecimentos acerca de procedimentos que são adotados pelas empresas e que geravam certa obscuridade. A Lei 12.973/2014 vigorou para extinguir os fatígáveis ajustes de RTT impostos pela Lei 12.249/2010. Em 2017 vigorou a IN 1.700/2017 que compila e normatiza diversos regimentos acerca do IRPJ e CSLL, tangente as pessoas jurídicas.</v>
      </c>
    </row>
    <row r="5" spans="2:7" ht="44.4" customHeight="1" x14ac:dyDescent="0.3">
      <c r="B5" s="2">
        <f t="shared" ref="B5:B22" si="0">B4+1</f>
        <v>2</v>
      </c>
      <c r="C5" s="7" t="s">
        <v>418</v>
      </c>
      <c r="D5" s="3" t="s">
        <v>399</v>
      </c>
      <c r="F5" s="9" t="str">
        <f>IF(D5="SIM"," ",IF(D5="NÃO","A Sociedade informou que não há diferenças de saldo na adoção inicial da Lei 12.973/2014. Sugerimos reavaliar a questão e identificar se há saldos que são contabilizados de forma diferente da que seria contabilizado antes da Lei 11.638/2007.",IF(D5="NÃO SEI DIZER","inconclusivo")))</f>
        <v>A Sociedade informou que não há diferenças de saldo na adoção inicial da Lei 12.973/2014. Sugerimos reavaliar a questão e identificar se há saldos que são contabilizados de forma diferente da que seria contabilizado antes da Lei 11.638/2007.</v>
      </c>
      <c r="G5" s="9" t="str">
        <f>IF(F5="Inconclusivo","A Sociedade não tem a informação necessária para responder a questão 2, de forma que não podemos opinar sobre.",CONCATENATE(F5," ","Basicamente, as diferenças de saldo na adoção inicial podem e devem ser visualizadas através do Fcont."))</f>
        <v>A Sociedade informou que não há diferenças de saldo na adoção inicial da Lei 12.973/2014. Sugerimos reavaliar a questão e identificar se há saldos que são contabilizados de forma diferente da que seria contabilizado antes da Lei 11.638/2007. Basicamente, as diferenças de saldo na adoção inicial podem e devem ser visualizadas através do Fcont.</v>
      </c>
    </row>
    <row r="6" spans="2:7" ht="60.6" customHeight="1" x14ac:dyDescent="0.3">
      <c r="B6" s="2">
        <f t="shared" si="0"/>
        <v>3</v>
      </c>
      <c r="C6" s="7" t="s">
        <v>382</v>
      </c>
      <c r="D6" s="3" t="s">
        <v>398</v>
      </c>
      <c r="F6" s="9" t="str">
        <f>IF(D5="sim",IF(D6="sim","De acordo com informações, a Sociedade possui a evidência das diferenças de adoção inicial na contabilidade.",IF(D6="não","De acordo com informações, apesar da Sociedade ter diferenças de saldos na adoção inicial não efetuou a abertura das subcontas na contabilidade",IF(D6="não sei dizer","inconclusivo"))),"desabilitar")</f>
        <v>desabilitar</v>
      </c>
      <c r="G6" s="9" t="str">
        <f>IF(F6="Inconclusivo","A Sociedade não tem a informação necessária para responder a questão 3, de forma que não podemos opinar sobre.",IF(F7="desabilitar"," ",CONCATENATE(F6," ","É obrigatório por Lei que as diferenças de saldo na adoção inicial sejam evidenciados em subcontas distintas, quando necessário. Essas diferenças são as diferenças entre a contabilidade societária e fiscal, ambas declaradas no Fcont.")))</f>
        <v xml:space="preserve"> </v>
      </c>
    </row>
    <row r="7" spans="2:7" ht="75.599999999999994" customHeight="1" x14ac:dyDescent="0.3">
      <c r="B7" s="2">
        <f t="shared" si="0"/>
        <v>4</v>
      </c>
      <c r="C7" s="7" t="s">
        <v>384</v>
      </c>
      <c r="D7" s="3" t="s">
        <v>398</v>
      </c>
      <c r="F7" s="9" t="str">
        <f>IF(D5="sim",IF(D6="sim",IF(D7="sim","Cumpre informar que a Sociedade respondeu que as diferenças contabilizadas nas subcontas estão de acordo com o Fcont.",IF(D7="não","Cumpre informar que a Sociedade respondeu que as diferenças contabilizadas nas subcontas não estão de acordo com o Fcont. Nesse caso, antes de habilitar as subcontas, sugerimos que o Fcont seja revisado por uma consultoria externa para a validação.",IF(D7="não sei dizer","inconclusivo"))),"desabilitar"),"desabilitar")</f>
        <v>desabilitar</v>
      </c>
      <c r="G7" s="9" t="str">
        <f>IF(F7="Inconclusivo.","A Sociedade não tem a informação necessária para responder a questão 4, de forma que não podemos opinar sobre.",IF(F7="desabilitar"," ",IF(D7="sim",CONCATENATE(F7," ","Dessa forma, entendemos que a Sociedade está tratando as subcontas da forma correta, contudo, sugerimos que o Fcont seja revisado por uma consultoria externa para a validação dos saldos declarados."),IF(D7="não",CONCATENATE(F7," ","Para todos os efeitos, a Sociedade deve utilizar as diferenças entre saldo contábil x fiscal informados no Fcont e proceda com a abertura das subcontas."),"A Sociedade não tem a informação necessária para responder a questão 4, de forma que não podemos opinar sobre."))))</f>
        <v xml:space="preserve"> </v>
      </c>
    </row>
    <row r="8" spans="2:7" ht="28.8" x14ac:dyDescent="0.3">
      <c r="B8" s="2">
        <f t="shared" si="0"/>
        <v>5</v>
      </c>
      <c r="C8" s="7" t="s">
        <v>419</v>
      </c>
      <c r="D8" s="3" t="s">
        <v>398</v>
      </c>
      <c r="F8" s="9" t="str">
        <f>IF(D5="não","desabilitar",IF(D8="sim","Além disso, a Sociedade informou que está adicionando e/ou excluindo as diferenças na adoção inicial na base de cálculo do Lucro Real.",IF(D8="não","Além disso, a Sociedade informou que não está adicionando e/ou excluindo as diferenças da adoção inicial na base de cálculo do Lucro Real.",IF(D8="não sei dizer","inconclusivo"))))</f>
        <v>desabilitar</v>
      </c>
      <c r="G8" s="9" t="str">
        <f>IF(F8="Inconclusivo","A Sociedade não tem a informação necessária para responder a questão 5, de forma que não podemos opinar sobre.",IF(F7="desabilitar"," ",CONCATENATE(F8," ","As diferenças de adoção inicial devem ser adicionadas ou excluídas na base de cálculo do Lucro Real a medida em que eles vão se realizando, mediante depreciação, amortização, exaustão, alienação ou baixa.")))</f>
        <v xml:space="preserve"> </v>
      </c>
    </row>
    <row r="9" spans="2:7" ht="43.2" x14ac:dyDescent="0.3">
      <c r="B9" s="2">
        <f t="shared" si="0"/>
        <v>6</v>
      </c>
      <c r="C9" s="7" t="s">
        <v>420</v>
      </c>
      <c r="D9" s="3" t="s">
        <v>398</v>
      </c>
      <c r="F9" s="9" t="str">
        <f>IF(D9="sim"," ",IF(D9="não"," ",IF(D9="não sei dizer","inconclusivo")))</f>
        <v xml:space="preserve"> </v>
      </c>
      <c r="G9" s="9" t="str">
        <f>IF(F9="Inconclusivo","A Sociedade não tem a informação necessária para responder a questão 6, de forma que não podemos opinar sobre.",CONCATENATE(F9,"As diferenças de adoção inicial devem ser retroagidas desde o ano calendário de 2014, no caso da Sociedade ter sido optante pelos efeitos naquele ano por meio da ECF 2015/2014. Se a Sociedade não exerceu a opção na ECF, os efeitos só se iniciam em 2015."))</f>
        <v xml:space="preserve"> As diferenças de adoção inicial devem ser retroagidas desde o ano calendário de 2014, no caso da Sociedade ter sido optante pelos efeitos naquele ano por meio da ECF 2015/2014. Se a Sociedade não exerceu a opção na ECF, os efeitos só se iniciam em 2015.</v>
      </c>
    </row>
    <row r="10" spans="2:7" ht="43.2" x14ac:dyDescent="0.3">
      <c r="B10" s="2">
        <f t="shared" si="0"/>
        <v>7</v>
      </c>
      <c r="C10" s="7" t="s">
        <v>385</v>
      </c>
      <c r="D10" s="3" t="s">
        <v>398</v>
      </c>
      <c r="F10" s="9" t="str">
        <f>IF(D10="sim","Continuando, a Sociedade diz que os bens são depreciados pelas taxas avaliadas pela vida útil econômica dos bens.",IF(D10="não","Continuando, a Sociedade informou que deprecia os bens de acordo com as taxas fiscais estabelecidas pelo Fisco no anexo III IN 1.700/2017.",IF(D10="NÃO SEI DIZER","Inconclusivo")))</f>
        <v>Continuando, a Sociedade diz que os bens são depreciados pelas taxas avaliadas pela vida útil econômica dos bens.</v>
      </c>
      <c r="G10" s="9" t="str">
        <f>IF(F10="Inconclusivo","A Sociedade não tem a informação necessária para responder a questão 7, de forma que não podemos opinar sobre.",CONCATENATE(F10," ","Em caso da depreciação ser feita por meio das taxas de vida útil econômica, as mesmas devem estar suportadas por laudo elaborado por perito técnico independente."))</f>
        <v>Continuando, a Sociedade diz que os bens são depreciados pelas taxas avaliadas pela vida útil econômica dos bens. Em caso da depreciação ser feita por meio das taxas de vida útil econômica, as mesmas devem estar suportadas por laudo elaborado por perito técnico independente.</v>
      </c>
    </row>
    <row r="11" spans="2:7" ht="72" customHeight="1" x14ac:dyDescent="0.3">
      <c r="B11" s="2">
        <f t="shared" si="0"/>
        <v>8</v>
      </c>
      <c r="C11" s="7" t="s">
        <v>386</v>
      </c>
      <c r="D11" s="3" t="s">
        <v>398</v>
      </c>
      <c r="F11" s="9" t="str">
        <f>IF(D10="SIM",IF(D11="SIM","Salientanto ainda, que a Sociedade já depreciava esses bens pela vida útil antes mesmo da vigoração da Lei 12.973/2014.",IF(D11="não","Salientanto ainda, que a Sociedade não depreciava esses bens pela vida útil antes mesmo da vigoração da Lei 12.973/2014, mantendo sempre as taxas fiscais.",IF(D11="não sei dizer","inconclusivo"))),"desabilitar")</f>
        <v>Salientanto ainda, que a Sociedade já depreciava esses bens pela vida útil antes mesmo da vigoração da Lei 12.973/2014.</v>
      </c>
      <c r="G11" s="9" t="str">
        <f>IF(F11="desabilitar"," ",IF(F11="inconclusivo","A Sociedade não tem a informação necessária para responder a questão 8, de forma que não podemos opinar sobre.",CONCATENATE(F11," ","Nesse cenário, provavelmente há diferenças entre a depreciação por vida útil x taxas fiscais a serem analisadas pelo Fcont. Novamente, se a Sociedade optou pelos efeitos da Lei para 2014, a Sociedade já deve considerar abrir as subcontas a partir de 2014.")))</f>
        <v>Salientanto ainda, que a Sociedade já depreciava esses bens pela vida útil antes mesmo da vigoração da Lei 12.973/2014. Nesse cenário, provavelmente há diferenças entre a depreciação por vida útil x taxas fiscais a serem analisadas pelo Fcont. Novamente, se a Sociedade optou pelos efeitos da Lei para 2014, a Sociedade já deve considerar abrir as subcontas a partir de 2014.</v>
      </c>
    </row>
    <row r="12" spans="2:7" ht="43.2" x14ac:dyDescent="0.3">
      <c r="B12" s="2">
        <f t="shared" si="0"/>
        <v>9</v>
      </c>
      <c r="C12" s="7" t="s">
        <v>421</v>
      </c>
      <c r="D12" s="3" t="s">
        <v>423</v>
      </c>
      <c r="F12" s="9" t="str">
        <f>IF(D12="contabilizo e adiciono/excluo","Com relação aos ajustes a valor presente, a Sociedade informou que contabiliza ajustes a valor presente e efetua as adições e exclusões na base de cálculo do Lucro Real.",IF(D12="contabilizo mas não adiciono/excluo","Com relação aos ajustes a valor presente, apesar da Sociedade informar que contabiliza ajustes a valor presente, não efetua as adições exclusões na base do Lucro Real.",IF(D12="não contabilizo esse ajuste"," ",IF(D12="não sei dizer","inconclusivo"))))</f>
        <v>Com relação aos ajustes a valor presente, a Sociedade informou que contabiliza ajustes a valor presente e efetua as adições e exclusões na base de cálculo do Lucro Real.</v>
      </c>
      <c r="G12" s="9" t="str">
        <f>IF(F12="inconclusivo","A Sociedade não tem a informação necessária para responder a questão 9, de forma que não podemos opinar sobre.",IF(D12="não contabilizo esse ajuste", " ",CONCATENATE(F12," ","Lembrando que os ajustes a valor presente devem ser adicionados e excluídos conforme a realização do ativo ou passivo que lhe deu causa.")))</f>
        <v>Com relação aos ajustes a valor presente, a Sociedade informou que contabiliza ajustes a valor presente e efetua as adições e exclusões na base de cálculo do Lucro Real. Lembrando que os ajustes a valor presente devem ser adicionados e excluídos conforme a realização do ativo ou passivo que lhe deu causa.</v>
      </c>
    </row>
    <row r="13" spans="2:7" ht="43.2" x14ac:dyDescent="0.3">
      <c r="B13" s="2">
        <f t="shared" si="0"/>
        <v>10</v>
      </c>
      <c r="C13" s="7" t="s">
        <v>422</v>
      </c>
      <c r="D13" s="3" t="s">
        <v>423</v>
      </c>
      <c r="F13" s="9" t="str">
        <f>IF(D13="contabilizo e adiciono/excluo","Já referente aos ajustes a valor justo, a Sociedade informou que contabiliza o AVJ e efetua as adições e exclusões na base de cálculo do Lucro Real.",IF(D13="contabilizo mas não adiciono/excluo","Com relação aos ajustes a valor presente, apesar da Sociedade informar que contabiliza ajustes a valor justo, não efetua as adições exclusões na base do Lucro Real.",IF(D13="não contabilizo esse ajuste"," ",IF(D13="não sei dizer","inconclusivo"))))</f>
        <v>Já referente aos ajustes a valor justo, a Sociedade informou que contabiliza o AVJ e efetua as adições e exclusões na base de cálculo do Lucro Real.</v>
      </c>
      <c r="G13" s="9" t="str">
        <f>IF(F13="inconclusivo","A Sociedade não tem a informação necessária para responder a questão 10, de forma que não podemos opinar sobre.",IF(D13="não contabilizo esse ajuste", " ",CONCATENATE(F13," ","Lembrando que os ajustes a valor justo devem ser adicionados e excluídos conforme a realização do ativo ou passivo que lhe deu causa.")))</f>
        <v>Já referente aos ajustes a valor justo, a Sociedade informou que contabiliza o AVJ e efetua as adições e exclusões na base de cálculo do Lucro Real. Lembrando que os ajustes a valor justo devem ser adicionados e excluídos conforme a realização do ativo ou passivo que lhe deu causa.</v>
      </c>
    </row>
    <row r="14" spans="2:7" ht="59.4" customHeight="1" x14ac:dyDescent="0.3">
      <c r="B14" s="2">
        <f t="shared" si="0"/>
        <v>11</v>
      </c>
      <c r="C14" s="7" t="s">
        <v>431</v>
      </c>
      <c r="D14" s="64" t="s">
        <v>429</v>
      </c>
      <c r="F14" s="9" t="str">
        <f>IF(D14="Sim, possuo contratos de longo prazo e reconheço os custos e receitas pelo POC","A Sociedade informou que opera com projetos de longo prazo, reconhecendo os custos e receitas pelo regime POC.",IF(D14="Sim, possuo contratos de longo prazo mas não reconheço os custos e receitas pelo POC","A Sociedade informou que opera com projetos de longo prazo, mas não reconhece os custos e receitas pelo regime POC.",IF(D14="Não possuo contratos de longo prazo"," ",IF(D14="não sei dizer","inconclusivo"))))</f>
        <v>A Sociedade informou que opera com projetos de longo prazo, reconhecendo os custos e receitas pelo regime POC.</v>
      </c>
      <c r="G14" s="9" t="str">
        <f>IF(F14="inconclusivo","A Sociedade não tem a informação necessária para responder a questão 11, de forma que não podemos opinar sobre.",IF(F14=" "," ",CONCATENATE(F14," ","POC significa Percentual of Compliance e é largamente utilizado para reconhecer corretamente os custos e receitas de acordo com o percentua de evolução do projeto ou da obra de longo prazo.")))</f>
        <v>A Sociedade informou que opera com projetos de longo prazo, reconhecendo os custos e receitas pelo regime POC. POC significa Percentual of Compliance e é largamente utilizado para reconhecer corretamente os custos e receitas de acordo com o percentua de evolução do projeto ou da obra de longo prazo.</v>
      </c>
    </row>
    <row r="15" spans="2:7" ht="43.2" customHeight="1" x14ac:dyDescent="0.3">
      <c r="B15" s="2">
        <f t="shared" si="0"/>
        <v>12</v>
      </c>
      <c r="C15" s="7" t="s">
        <v>436</v>
      </c>
      <c r="D15" s="64" t="s">
        <v>434</v>
      </c>
      <c r="F15" s="9" t="str">
        <f>IF(D14="Sim, possuo contratos de longo prazo e reconheço os custos e receitas pelo POC",IF(D15="Sim, faço o diferimento do lucro e adiciono/excluo na base de cálculo do Lucro Real","Ainda, efetua o diferimento do lucro para fins fiscais adicionando e excluindo o efeito temporário e tributando conforme a evolução do projeto ou obra.",IF(D15="Sim, faço o diferimento do lucro mas apenas para fins contábeis e não adiciono/excluo na base de cálculo do Lucro Real","Apesar da Sociedade utilizar o POC para reconhecer os custos e receitas e diferir o lucro, não o está ajustando na base do Lucro Real os efeitos temporários do início do contrato até o término do contrato.",IF(D15="não sei dizer","inconclusivo"))),"DESABILITAR")</f>
        <v>Ainda, efetua o diferimento do lucro para fins fiscais adicionando e excluindo o efeito temporário e tributando conforme a evolução do projeto ou obra.</v>
      </c>
      <c r="G15" s="9" t="str">
        <f>IF(F15="inconclusivo","A Sociedade não tem a informação necessária para responder a questão 12, de forma que não podemos opinar sobre.",IF(F15="desabilitar"," ",IF(F15=" "," ",F15)))</f>
        <v>Ainda, efetua o diferimento do lucro para fins fiscais adicionando e excluindo o efeito temporário e tributando conforme a evolução do projeto ou obra.</v>
      </c>
    </row>
    <row r="16" spans="2:7" ht="72" customHeight="1" x14ac:dyDescent="0.3">
      <c r="B16" s="2">
        <f t="shared" si="0"/>
        <v>13</v>
      </c>
      <c r="C16" s="7" t="s">
        <v>387</v>
      </c>
      <c r="D16" s="64" t="s">
        <v>438</v>
      </c>
      <c r="F16" s="9" t="str">
        <f>IF(D16="Sim, adiciono as depreciações e excluo as contraprestações pagas","A Sociedade possui bens adquiridos por meio de arrendamento mercantil financeiro e está adicionando as despesas de depreciação e excluindo as contraprestações pagas.",IF(D16="Sim, mas não adiciono as depreciações não e excluo as contraprestações pagas","A Sociedade possui bens adquiridos por meio de arrendamento mercantil financeiro, contudo, não está adicionando as despesas de depreciação e não está excluindo as contraprestações pagas.",IF(D16="Não possuo arrendamento mercantil financeiro"," ",IF(D16="não sei dizer","inconclusivo"))))</f>
        <v>A Sociedade possui bens adquiridos por meio de arrendamento mercantil financeiro e está adicionando as despesas de depreciação e excluindo as contraprestações pagas.</v>
      </c>
      <c r="G16" s="9" t="str">
        <f>IF(F16="inconclusivo","A Sociedade não tem a informação necessária para responder a questão 13, de forma que não podemos opinar sobre.",IF(F16=" "," ",CONCATENATE(F16," ","O tratamento fiscal das operações de leasing financeiro não tiveram mudanças do que já era tratado antes quando eram feitos os ajustes de RTT. É importante averiguar a questão da dedutibilidade das despesas financeiras não atreladas as contraprestações.")))</f>
        <v>A Sociedade possui bens adquiridos por meio de arrendamento mercantil financeiro e está adicionando as despesas de depreciação e excluindo as contraprestações pagas. O tratamento fiscal das operações de leasing financeiro não tiveram mudanças do que já era tratado antes quando eram feitos os ajustes de RTT. É importante averiguar a questão da dedutibilidade das despesas financeiras não atreladas as contraprestações.</v>
      </c>
    </row>
    <row r="17" spans="2:9" ht="57.6" x14ac:dyDescent="0.3">
      <c r="B17" s="2">
        <f t="shared" si="0"/>
        <v>14</v>
      </c>
      <c r="C17" s="7" t="s">
        <v>390</v>
      </c>
      <c r="D17" s="64" t="s">
        <v>442</v>
      </c>
      <c r="F17" s="9" t="str">
        <f>IF(D17="Sim, possuo participações em outras empresas antes e até dez/2014. É baseado em laudo técnico.","A Sociedade possui participações em coligadas e controladas adquiridas até 31/12/2014 e com suporte de laudo técnico.",IF(D17="Sim, possuo participações em outras empresas antes e até dez/2014. Não é baseado em laudo técnico.","A Sociedade possui participações em coligadas e controladas adquiridas até 31/12/2014, no entanto, sem suporte de laudo técnico.",IF(D17="Não possuo participações em outras empresas antes e até dez/2014."," ",IF(D17="não sei dizer.","inconclusivo"))))</f>
        <v>A Sociedade possui participações em coligadas e controladas adquiridas até 31/12/2014 e com suporte de laudo técnico.</v>
      </c>
      <c r="G17" s="9" t="str">
        <f>IF(F17="inconclusivo","A Sociedade não tem a informação necessária para responder a questão 14, de forma que não podemos opinar sobre.",IF(F17=" "," ",F17))</f>
        <v>A Sociedade possui participações em coligadas e controladas adquiridas até 31/12/2014 e com suporte de laudo técnico.</v>
      </c>
    </row>
    <row r="18" spans="2:9" ht="28.8" x14ac:dyDescent="0.3">
      <c r="B18" s="2">
        <f t="shared" si="0"/>
        <v>15</v>
      </c>
      <c r="C18" s="7" t="s">
        <v>446</v>
      </c>
      <c r="D18" s="64" t="s">
        <v>448</v>
      </c>
      <c r="F18" s="9" t="str">
        <f>IF(D17="Não possuo participações em outras empresas antes e até dez/2014.","DESABILITAR",IF(D18="Sim, amortizo o ágio para fins fiscais","Tal participação deu origem a um ágio que está sendo amortizado para fins fiscais, de acordo com a resposta dada pela Sociedade.",IF(D18="Não amortizo o ágio para fins fiscais","Tal participação deu origem a um ágio que não está sendo amortizado para fins fiscais, de acordo com a resposta dada pela Sociedade.",IF(D18="Não houve ágio gerado na aquisição das participações societárias"," ",IF(D18="não sei dizer","inconclusivo")))))</f>
        <v>Tal participação deu origem a um ágio que está sendo amortizado para fins fiscais, de acordo com a resposta dada pela Sociedade.</v>
      </c>
      <c r="G18" s="9" t="str">
        <f>IF(F18="inconclusivo","A Sociedade não tem a informação necessária para responder a questão 15, de forma que não podemos opinar sobre.",IF(F18="DESABILITAR"," ",IF(F18="","""",F18)))</f>
        <v>Tal participação deu origem a um ágio que está sendo amortizado para fins fiscais, de acordo com a resposta dada pela Sociedade.</v>
      </c>
    </row>
    <row r="19" spans="2:9" ht="57.6" x14ac:dyDescent="0.3">
      <c r="B19" s="2">
        <f t="shared" si="0"/>
        <v>16</v>
      </c>
      <c r="C19" s="7" t="s">
        <v>391</v>
      </c>
      <c r="D19" s="64" t="s">
        <v>453</v>
      </c>
      <c r="F19" s="9" t="str">
        <f>IF(D17="Não possuo participações em outras empresas antes e até dez/2014.","DESABILITAR",IF(D19="Sim, o ágio foi gerado na incorporação de outra empresa. A incorporação ocorreu até 31/12/2017","De acordo com informações, a empresa a qual foi adquirida a participação com ágio foi incorporada antes de 31/12/2017.",IF(D19="Sim, o ágio foi gerado na incorporação de outra empresa. A incorporação ocorreu depois de 31/12/2017","De acordo com informações, a empresa a qual foi adquirida a participação com ágio foi incorporada depois de 31/12/2017.",IF(D19="O ágio foi gerado mas não houve incorporação de outra empresa","De acordo com informações, a empresa a qual foi adquirida a participação com ágio não foi incorporada.",IF(D19="não sei dizer","inconclusivo")))))</f>
        <v>De acordo com informações, a empresa a qual foi adquirida a participação com ágio foi incorporada depois de 31/12/2017.</v>
      </c>
      <c r="G19" s="9" t="str">
        <f>IF(F19="inconclusivo","A Sociedade não tem a informação necessária para responder a questão 16, de forma que não podemos opinar sobre.",IF(F18="DESABILITAR"," ",IF(F19=" "," ",CONCATENATE(F19," ","Se o ágio gerado ocorreu por incorporação até 31/12/2017 prevalecem as leis antigas para amortização fiscal do ágio. Se for posterior a essa data, a Sociedade deve desdobrar o custo de aquisição em partes de acordo com o art. 178 da IN 1.700/2017."))))</f>
        <v>De acordo com informações, a empresa a qual foi adquirida a participação com ágio foi incorporada depois de 31/12/2017. Se o ágio gerado ocorreu por incorporação até 31/12/2017 prevalecem as leis antigas para amortização fiscal do ágio. Se for posterior a essa data, a Sociedade deve desdobrar o custo de aquisição em partes de acordo com o art. 178 da IN 1.700/2017.</v>
      </c>
    </row>
    <row r="20" spans="2:9" ht="57.6" x14ac:dyDescent="0.3">
      <c r="B20" s="2">
        <f t="shared" si="0"/>
        <v>17</v>
      </c>
      <c r="C20" s="7" t="s">
        <v>456</v>
      </c>
      <c r="D20" s="64" t="s">
        <v>460</v>
      </c>
      <c r="F20" s="9" t="str">
        <f>IF(D17="Não possuo participações em outras empresas antes e até dez/2014.","DESABILITAR",IF(D19="Sim, o ágio foi gerado na incorporação de outra empresa. A incorporação ocorreu depois de 31/12/2017",IF(D20="Sim, foi efetuado o desdobramento do custo de aquisição e estão evidenciados em subcontas distintas","Nesse caso, a Sociedade informou que desdobrou o custo de aquisição em partes e evidenciou todas elas em subcontas.",IF(D20="Sim, foi efetuado o desdobramento do custo de aquisição mas não estão evidenciados em subcontas distintas","Apesar da Sociedade ter desdobrado o custo de aquisição em partes, não as evidenciou as subcontas distintas na contabilidade.",IF(D20="Não foi feito o desdobramento do custo de aquisição","Apesar de a Sociedade informar que incorporou a empresa posteriormente a 31/12/2017 a mesma não desdobrou o custo de aquisição em partes, de acordo com o art. 178 da IN1.700/2017.",IF(D20="não sei dizer","inconclusivo")))),"DESABILITAR"))</f>
        <v>Nesse caso, a Sociedade informou que desdobrou o custo de aquisição em partes e evidenciou todas elas em subcontas.</v>
      </c>
      <c r="G20" s="9" t="str">
        <f>IF(F20="inconclusivo","A Sociedade não tem a informação necessária para responder a questão 17, de forma que não podemos opinar sobre.",IF(F18="DESABILITAR"," ",IF(F20=" "," ",F20)))</f>
        <v>Nesse caso, a Sociedade informou que desdobrou o custo de aquisição em partes e evidenciou todas elas em subcontas.</v>
      </c>
    </row>
    <row r="21" spans="2:9" ht="28.8" x14ac:dyDescent="0.3">
      <c r="B21" s="2">
        <f t="shared" si="0"/>
        <v>18</v>
      </c>
      <c r="C21" s="7" t="s">
        <v>388</v>
      </c>
      <c r="D21" s="64" t="s">
        <v>398</v>
      </c>
      <c r="F21" s="9" t="str">
        <f>IF(D17="Não possuo participações em outras empresas antes e até dez/2014.","DESABILITAR",IF(D21="Sim","Com relação ao mais ou menos valia, a Sociedade informou que está adicionando e excluindo as realizações do mais ou menos valia.",IF(D21="não","Com relação ao mais ou menos valia, a Sociedade informou que não está adicionando e excluindo as realizações do mais ou menos valia.",IF(D21="Não possuo saldos de mais ou menos valia"," ",IF(D21="não sei dizer","inconclusivo")))))</f>
        <v>Com relação ao mais ou menos valia, a Sociedade informou que está adicionando e excluindo as realizações do mais ou menos valia.</v>
      </c>
      <c r="G21" s="9" t="str">
        <f>IF(F21="inconclusivo","A Sociedade não tem a informação necessária para responder a questão 18, de forma que não podemos opinar sobre.",IF(F18="DESABILITAR"," ",IF(F21=" "," ",CONCATENATE(F21," ","As realizações de mais ou menos valia devem ser adicionados e excluídos conforme a realização por meio de depreciação, amortização, exaustão ou alienação do bem que lhe deu causa."))))</f>
        <v>Com relação ao mais ou menos valia, a Sociedade informou que está adicionando e excluindo as realizações do mais ou menos valia. As realizações de mais ou menos valia devem ser adicionados e excluídos conforme a realização por meio de depreciação, amortização, exaustão ou alienação do bem que lhe deu causa.</v>
      </c>
    </row>
    <row r="22" spans="2:9" ht="169.8" customHeight="1" x14ac:dyDescent="0.3">
      <c r="B22" s="2">
        <f t="shared" si="0"/>
        <v>19</v>
      </c>
      <c r="C22" s="7" t="s">
        <v>389</v>
      </c>
      <c r="D22" s="3" t="s">
        <v>398</v>
      </c>
      <c r="F22" s="9" t="str">
        <f>IF(D17="Não possuo participações em outras empresas antes e até dez/2014.","DESABILITAR",IF(D22="Sim","Importante ressaltar que, em virtude da incorporação ter sido realizada com empresas do mesmo grupo, averiguar o risco da impossibilidade da amortização fiscal do ágio.",IF(D22="não","Importante ressaltar que a incorporação ocorreu com partes indepententes, ou seja, fora do grupo econômico.",IF(D22="Não possuo saldos de mais ou menos valia"," ",IF(D22="não sei dizer","inconclusivo")))))</f>
        <v>Importante ressaltar que, em virtude da incorporação ter sido realizada com empresas do mesmo grupo, averiguar o risco da impossibilidade da amortização fiscal do ágio.</v>
      </c>
      <c r="G22" s="9" t="str">
        <f>IF(F22="inconclusivo","A Sociedade não tem a informação necessária para responder a questão 18, de forma que não podemos opinar sobre.",IF(F18="DESABILITAR"," ",IF(F22=" "," ",CONCATENATE(F22," ","O art. 192 da IN 1.700/2017 estabelece que prevalecem as regras anteriores a nova Lei para o reconhecimento do ágio e dos desdobramentos quando a incorporação ocorrer até 31/12/2017, contudo, não deixa claro com relação as partes dependentes."))))</f>
        <v>Importante ressaltar que, em virtude da incorporação ter sido realizada com empresas do mesmo grupo, averiguar o risco da impossibilidade da amortização fiscal do ágio. O art. 192 da IN 1.700/2017 estabelece que prevalecem as regras anteriores a nova Lei para o reconhecimento do ágio e dos desdobramentos quando a incorporação ocorrer até 31/12/2017, contudo, não deixa claro com relação as partes dependentes.</v>
      </c>
      <c r="H22" s="9" t="str">
        <f>IF(D22="sim",IF(F18="DESABILITAR"," ",CONCATENATE(G22," ","O art. 192 da IN 1.700/2017 diz que não são aplicam as regras novas dos arts. 185 a 188, sendo que o art. 189 estabelece regras para as partes dependentes.")))</f>
        <v>Importante ressaltar que, em virtude da incorporação ter sido realizada com empresas do mesmo grupo, averiguar o risco da impossibilidade da amortização fiscal do ágio. O art. 192 da IN 1.700/2017 estabelece que prevalecem as regras anteriores a nova Lei para o reconhecimento do ágio e dos desdobramentos quando a incorporação ocorrer até 31/12/2017, contudo, não deixa claro com relação as partes dependentes. O art. 192 da IN 1.700/2017 diz que não são aplicam as regras novas dos arts. 185 a 188, sendo que o art. 189 estabelece regras para as partes dependentes.</v>
      </c>
      <c r="I22" s="9" t="str">
        <f>IF(D22="sim",IF(F18="DESABILITAR"," ",CONCATENATE(H22," ","No art. 185, fica vedada a amortização do ágio gerado na incorporação de empresas do mesmo grupo, mas o art. 192 anula o efeito do art. 185. Nesse cenário, sugerimos a avaliação do exposto junto a seus assessores jurídicos ou consultores particulares.")))</f>
        <v>Importante ressaltar que, em virtude da incorporação ter sido realizada com empresas do mesmo grupo, averiguar o risco da impossibilidade da amortização fiscal do ágio. O art. 192 da IN 1.700/2017 estabelece que prevalecem as regras anteriores a nova Lei para o reconhecimento do ágio e dos desdobramentos quando a incorporação ocorrer até 31/12/2017, contudo, não deixa claro com relação as partes dependentes. O art. 192 da IN 1.700/2017 diz que não são aplicam as regras novas dos arts. 185 a 188, sendo que o art. 189 estabelece regras para as partes dependentes. No art. 185, fica vedada a amortização do ágio gerado na incorporação de empresas do mesmo grupo, mas o art. 192 anula o efeito do art. 185. Nesse cenário, sugerimos a avaliação do exposto junto a seus assessores jurídicos ou consultores particulares.</v>
      </c>
    </row>
    <row r="25" spans="2:9" x14ac:dyDescent="0.3">
      <c r="F25" s="61" t="s">
        <v>396</v>
      </c>
    </row>
    <row r="26" spans="2:9" ht="408.6" customHeight="1" x14ac:dyDescent="0.3">
      <c r="F26" s="62" t="str">
        <f>CONCATENATE(G4," ",G5," ",G6," ",G7," ",G8," ",G9," ",G10," ",G11," ",G12," ",G13," ",G14," ",G15," ",G16," ",G17," ",G18," ",G19," ",G20," ",G21," ",I22)</f>
        <v>A IN1.700/2017 trouxe diversos esclarecimentos acerca de procedimentos que são adotados pelas empresas e que geravam certa obscuridade. A Lei 12.973/2014 vigorou para extinguir os fatígáveis ajustes de RTT impostos pela Lei 12.249/2010. Em 2017 vigorou a IN 1.700/2017 que compila e normatiza diversos regimentos acerca do IRPJ e CSLL, tangente as pessoas jurídicas. A Sociedade informou que não há diferenças de saldo na adoção inicial da Lei 12.973/2014. Sugerimos reavaliar a questão e identificar se há saldos que são contabilizados de forma diferente da que seria contabilizado antes da Lei 11.638/2007. Basicamente, as diferenças de saldo na adoção inicial podem e devem ser visualizadas através do Fcont.        As diferenças de adoção inicial devem ser retroagidas desde o ano calendário de 2014, no caso da Sociedade ter sido optante pelos efeitos naquele ano por meio da ECF 2015/2014. Se a Sociedade não exerceu a opção na ECF, os efeitos só se iniciam em 2015. Continuando, a Sociedade diz que os bens são depreciados pelas taxas avaliadas pela vida útil econômica dos bens. Em caso da depreciação ser feita por meio das taxas de vida útil econômica, as mesmas devem estar suportadas por laudo elaborado por perito técnico independente. Salientanto ainda, que a Sociedade já depreciava esses bens pela vida útil antes mesmo da vigoração da Lei 12.973/2014. Nesse cenário, provavelmente há diferenças entre a depreciação por vida útil x taxas fiscais a serem analisadas pelo Fcont. Novamente, se a Sociedade optou pelos efeitos da Lei para 2014, a Sociedade já deve considerar abrir as subcontas a partir de 2014. Com relação aos ajustes a valor presente, a Sociedade informou que contabiliza ajustes a valor presente e efetua as adições e exclusões na base de cálculo do Lucro Real. Lembrando que os ajustes a valor presente devem ser adicionados e excluídos conforme a realização do ativo ou passivo que lhe deu causa. Já referente aos ajustes a valor justo, a Sociedade informou que contabiliza o AVJ e efetua as adições e exclusões na base de cálculo do Lucro Real. Lembrando que os ajustes a valor justo devem ser adicionados e excluídos conforme a realização do ativo ou passivo que lhe deu causa. A Sociedade informou que opera com projetos de longo prazo, reconhecendo os custos e receitas pelo regime POC. POC significa Percentual of Compliance e é largamente utilizado para reconhecer corretamente os custos e receitas de acordo com o percentua de evolução do projeto ou da obra de longo prazo. Ainda, efetua o diferimento do lucro para fins fiscais adicionando e excluindo o efeito temporário e tributando conforme a evolução do projeto ou obra. A Sociedade possui bens adquiridos por meio de arrendamento mercantil financeiro e está adicionando as despesas de depreciação e excluindo as contraprestações pagas. O tratamento fiscal das operações de leasing financeiro não tiveram mudanças do que já era tratado antes quando eram feitos os ajustes de RTT. É importante averiguar a questão da dedutibilidade das despesas financeiras não atreladas as contraprestações. A Sociedade possui participações em coligadas e controladas adquiridas até 31/12/2014 e com suporte de laudo técnico. Tal participação deu origem a um ágio que está sendo amortizado para fins fiscais, de acordo com a resposta dada pela Sociedade. De acordo com informações, a empresa a qual foi adquirida a participação com ágio foi incorporada depois de 31/12/2017. Se o ágio gerado ocorreu por incorporação até 31/12/2017 prevalecem as leis antigas para amortização fiscal do ágio. Se for posterior a essa data, a Sociedade deve desdobrar o custo de aquisição em partes de acordo com o art. 178 da IN 1.700/2017. Nesse caso, a Sociedade informou que desdobrou o custo de aquisição em partes e evidenciou todas elas em subcontas. Com relação ao mais ou menos valia, a Sociedade informou que está adicionando e excluindo as realizações do mais ou menos valia. As realizações de mais ou menos valia devem ser adicionados e excluídos conforme a realização por meio de depreciação, amortização, exaustão ou alienação do bem que lhe deu causa. Importante ressaltar que, em virtude da incorporação ter sido realizada com empresas do mesmo grupo, averiguar o risco da impossibilidade da amortização fiscal do ágio. O art. 192 da IN 1.700/2017 estabelece que prevalecem as regras anteriores a nova Lei para o reconhecimento do ágio e dos desdobramentos quando a incorporação ocorrer até 31/12/2017, contudo, não deixa claro com relação as partes dependentes. O art. 192 da IN 1.700/2017 diz que não são aplicam as regras novas dos arts. 185 a 188, sendo que o art. 189 estabelece regras para as partes dependentes. No art. 185, fica vedada a amortização do ágio gerado na incorporação de empresas do mesmo grupo, mas o art. 192 anula o efeito do art. 185. Nesse cenário, sugerimos a avaliação do exposto junto a seus assessores jurídicos ou consultores particulares.</v>
      </c>
    </row>
    <row r="28" spans="2:9" ht="60" customHeight="1" x14ac:dyDescent="0.3"/>
  </sheetData>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10">
        <x14:dataValidation type="list" allowBlank="1" showInputMessage="1" showErrorMessage="1">
          <x14:formula1>
            <xm:f>'Matriz de respostas'!$B$4:$B$6</xm:f>
          </x14:formula1>
          <xm:sqref>D4:D11 D22</xm:sqref>
        </x14:dataValidation>
        <x14:dataValidation type="list" allowBlank="1" showInputMessage="1" showErrorMessage="1">
          <x14:formula1>
            <xm:f>'Matriz de respostas'!$B$28:$B$31</xm:f>
          </x14:formula1>
          <xm:sqref>D12:D13</xm:sqref>
        </x14:dataValidation>
        <x14:dataValidation type="list" allowBlank="1" showInputMessage="1" showErrorMessage="1">
          <x14:formula1>
            <xm:f>'Matriz de respostas'!$B$34:$B$37</xm:f>
          </x14:formula1>
          <xm:sqref>D14</xm:sqref>
        </x14:dataValidation>
        <x14:dataValidation type="list" allowBlank="1" showInputMessage="1" showErrorMessage="1">
          <x14:formula1>
            <xm:f>'Matriz de respostas'!$B$40:$B$42</xm:f>
          </x14:formula1>
          <xm:sqref>D15</xm:sqref>
        </x14:dataValidation>
        <x14:dataValidation type="list" allowBlank="1" showInputMessage="1" showErrorMessage="1">
          <x14:formula1>
            <xm:f>'Matriz de respostas'!$B$45:$B$48</xm:f>
          </x14:formula1>
          <xm:sqref>D16</xm:sqref>
        </x14:dataValidation>
        <x14:dataValidation type="list" allowBlank="1" showInputMessage="1" showErrorMessage="1">
          <x14:formula1>
            <xm:f>'Matriz de respostas'!$B$51:$B$54</xm:f>
          </x14:formula1>
          <xm:sqref>D17</xm:sqref>
        </x14:dataValidation>
        <x14:dataValidation type="list" allowBlank="1" showInputMessage="1" showErrorMessage="1">
          <x14:formula1>
            <xm:f>'Matriz de respostas'!$B$57:$B$60</xm:f>
          </x14:formula1>
          <xm:sqref>D18</xm:sqref>
        </x14:dataValidation>
        <x14:dataValidation type="list" allowBlank="1" showInputMessage="1" showErrorMessage="1">
          <x14:formula1>
            <xm:f>'Matriz de respostas'!$B$63:$B$66</xm:f>
          </x14:formula1>
          <xm:sqref>D19</xm:sqref>
        </x14:dataValidation>
        <x14:dataValidation type="list" allowBlank="1" showInputMessage="1" showErrorMessage="1">
          <x14:formula1>
            <xm:f>'Matriz de respostas'!$B$69:$B$72</xm:f>
          </x14:formula1>
          <xm:sqref>D20</xm:sqref>
        </x14:dataValidation>
        <x14:dataValidation type="list" allowBlank="1" showInputMessage="1" showErrorMessage="1">
          <x14:formula1>
            <xm:f>'Matriz de respostas'!$B$75:$B$78</xm:f>
          </x14:formula1>
          <xm:sqref>D21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528"/>
  <sheetViews>
    <sheetView topLeftCell="B170" zoomScale="80" zoomScaleNormal="80" workbookViewId="0">
      <selection activeCell="J172" sqref="J172"/>
    </sheetView>
  </sheetViews>
  <sheetFormatPr defaultRowHeight="14.4" x14ac:dyDescent="0.3"/>
  <cols>
    <col min="2" max="3" width="35.5546875" bestFit="1" customWidth="1"/>
    <col min="4" max="4" width="19.44140625" bestFit="1" customWidth="1"/>
    <col min="5" max="5" width="12.88671875" bestFit="1" customWidth="1"/>
    <col min="6" max="7" width="12.88671875" customWidth="1"/>
    <col min="9" max="9" width="9.6640625" bestFit="1" customWidth="1"/>
    <col min="10" max="10" width="35.5546875" bestFit="1" customWidth="1"/>
    <col min="11" max="11" width="21.88671875" bestFit="1" customWidth="1"/>
    <col min="12" max="12" width="9" bestFit="1" customWidth="1"/>
    <col min="16" max="16" width="18.44140625" bestFit="1" customWidth="1"/>
  </cols>
  <sheetData>
    <row r="2" spans="2:16" x14ac:dyDescent="0.3">
      <c r="P2" s="44" t="s">
        <v>42</v>
      </c>
    </row>
    <row r="3" spans="2:16" x14ac:dyDescent="0.3">
      <c r="P3" s="44" t="s">
        <v>43</v>
      </c>
    </row>
    <row r="4" spans="2:16" ht="27.6" thickBot="1" x14ac:dyDescent="0.35">
      <c r="B4" s="10" t="s">
        <v>35</v>
      </c>
      <c r="C4" s="9"/>
      <c r="D4" s="9"/>
      <c r="E4" s="9"/>
      <c r="F4" s="9"/>
      <c r="G4" s="9"/>
      <c r="P4" s="44" t="s">
        <v>45</v>
      </c>
    </row>
    <row r="5" spans="2:16" ht="35.4" x14ac:dyDescent="0.3">
      <c r="B5" s="11" t="s">
        <v>36</v>
      </c>
      <c r="C5" s="11" t="s">
        <v>37</v>
      </c>
      <c r="D5" s="11" t="s">
        <v>38</v>
      </c>
      <c r="E5" s="12" t="s">
        <v>39</v>
      </c>
      <c r="F5" s="24" t="s">
        <v>379</v>
      </c>
      <c r="G5" s="25" t="s">
        <v>380</v>
      </c>
      <c r="I5" s="37"/>
      <c r="J5" s="24" t="s">
        <v>38</v>
      </c>
      <c r="K5" s="25" t="s">
        <v>372</v>
      </c>
      <c r="L5" s="38"/>
      <c r="P5" s="44" t="s">
        <v>47</v>
      </c>
    </row>
    <row r="6" spans="2:16" ht="24.6" thickBot="1" x14ac:dyDescent="0.35">
      <c r="B6" s="13"/>
      <c r="C6" s="13"/>
      <c r="D6" s="13"/>
      <c r="E6" s="14" t="s">
        <v>40</v>
      </c>
      <c r="F6" s="44"/>
      <c r="G6" s="44"/>
      <c r="I6" s="26" t="s">
        <v>37</v>
      </c>
      <c r="J6" s="39"/>
      <c r="K6" s="40"/>
      <c r="L6" s="38"/>
      <c r="P6" s="44" t="s">
        <v>48</v>
      </c>
    </row>
    <row r="7" spans="2:16" ht="24.6" thickBot="1" x14ac:dyDescent="0.35">
      <c r="B7" s="15" t="s">
        <v>41</v>
      </c>
      <c r="C7" s="16" t="s">
        <v>42</v>
      </c>
      <c r="D7" s="16">
        <v>10</v>
      </c>
      <c r="E7" s="17">
        <v>0.1</v>
      </c>
      <c r="F7" s="47"/>
      <c r="G7" s="47"/>
      <c r="I7" s="27" t="s">
        <v>41</v>
      </c>
      <c r="J7" s="26" t="s">
        <v>42</v>
      </c>
      <c r="K7" s="26">
        <v>10</v>
      </c>
      <c r="L7" s="29">
        <v>0.1</v>
      </c>
      <c r="M7">
        <f t="shared" ref="M7:M70" si="0">VLOOKUP(J7,C:E,3,0)</f>
        <v>0.1</v>
      </c>
      <c r="P7" s="16" t="s">
        <v>49</v>
      </c>
    </row>
    <row r="8" spans="2:16" ht="36" thickBot="1" x14ac:dyDescent="0.35">
      <c r="B8" s="15" t="s">
        <v>41</v>
      </c>
      <c r="C8" s="16" t="s">
        <v>43</v>
      </c>
      <c r="D8" s="16">
        <v>25</v>
      </c>
      <c r="E8" s="17">
        <v>0.04</v>
      </c>
      <c r="F8" s="47"/>
      <c r="G8" s="47"/>
      <c r="I8" s="27" t="s">
        <v>41</v>
      </c>
      <c r="J8" s="26" t="s">
        <v>43</v>
      </c>
      <c r="K8" s="26">
        <v>25</v>
      </c>
      <c r="L8" s="29">
        <v>0.04</v>
      </c>
      <c r="M8">
        <f t="shared" si="0"/>
        <v>0.04</v>
      </c>
      <c r="P8" s="16" t="s">
        <v>50</v>
      </c>
    </row>
    <row r="9" spans="2:16" ht="81.599999999999994" thickBot="1" x14ac:dyDescent="0.35">
      <c r="B9" s="16" t="s">
        <v>44</v>
      </c>
      <c r="C9" s="16" t="s">
        <v>45</v>
      </c>
      <c r="D9" s="18" t="s">
        <v>46</v>
      </c>
      <c r="E9" s="19" t="s">
        <v>46</v>
      </c>
      <c r="F9" s="48"/>
      <c r="G9" s="48"/>
      <c r="I9" s="26" t="s">
        <v>44</v>
      </c>
      <c r="J9" s="26" t="s">
        <v>45</v>
      </c>
      <c r="K9" s="30" t="s">
        <v>46</v>
      </c>
      <c r="L9" s="31" t="s">
        <v>46</v>
      </c>
      <c r="M9" t="str">
        <f t="shared" si="0"/>
        <v> </v>
      </c>
      <c r="P9" s="16" t="s">
        <v>51</v>
      </c>
    </row>
    <row r="10" spans="2:16" ht="24.6" thickBot="1" x14ac:dyDescent="0.35">
      <c r="B10" s="16">
        <v>101</v>
      </c>
      <c r="C10" s="16" t="s">
        <v>47</v>
      </c>
      <c r="D10" s="16">
        <v>5</v>
      </c>
      <c r="E10" s="17">
        <v>0.2</v>
      </c>
      <c r="F10" s="47"/>
      <c r="G10" s="47"/>
      <c r="I10" s="26">
        <v>101</v>
      </c>
      <c r="J10" s="26" t="s">
        <v>47</v>
      </c>
      <c r="K10" s="26">
        <v>5</v>
      </c>
      <c r="L10" s="29">
        <v>0.2</v>
      </c>
      <c r="M10">
        <f t="shared" si="0"/>
        <v>0.2</v>
      </c>
      <c r="P10" s="16" t="s">
        <v>53</v>
      </c>
    </row>
    <row r="11" spans="2:16" ht="47.4" thickBot="1" x14ac:dyDescent="0.35">
      <c r="B11" s="16">
        <v>102</v>
      </c>
      <c r="C11" s="16" t="s">
        <v>48</v>
      </c>
      <c r="D11" s="16">
        <v>5</v>
      </c>
      <c r="E11" s="17">
        <v>0.2</v>
      </c>
      <c r="F11" s="47"/>
      <c r="G11" s="47"/>
      <c r="I11" s="26">
        <v>102</v>
      </c>
      <c r="J11" s="26" t="s">
        <v>48</v>
      </c>
      <c r="K11" s="26">
        <v>5</v>
      </c>
      <c r="L11" s="29">
        <v>0.2</v>
      </c>
      <c r="M11">
        <f t="shared" si="0"/>
        <v>0.2</v>
      </c>
      <c r="P11" s="16" t="s">
        <v>54</v>
      </c>
    </row>
    <row r="12" spans="2:16" ht="36" thickBot="1" x14ac:dyDescent="0.35">
      <c r="B12" s="16">
        <v>103</v>
      </c>
      <c r="C12" s="16" t="s">
        <v>49</v>
      </c>
      <c r="D12" s="16">
        <v>5</v>
      </c>
      <c r="E12" s="17">
        <v>0.2</v>
      </c>
      <c r="F12" s="47"/>
      <c r="G12" s="47"/>
      <c r="I12" s="26">
        <v>103</v>
      </c>
      <c r="J12" s="26" t="s">
        <v>49</v>
      </c>
      <c r="K12" s="26">
        <v>5</v>
      </c>
      <c r="L12" s="29">
        <v>0.2</v>
      </c>
      <c r="M12">
        <f t="shared" si="0"/>
        <v>0.2</v>
      </c>
      <c r="P12" s="15" t="s">
        <v>56</v>
      </c>
    </row>
    <row r="13" spans="2:16" ht="36" thickBot="1" x14ac:dyDescent="0.35">
      <c r="B13" s="16">
        <v>104</v>
      </c>
      <c r="C13" s="16" t="s">
        <v>50</v>
      </c>
      <c r="D13" s="16">
        <v>5</v>
      </c>
      <c r="E13" s="17">
        <v>0.2</v>
      </c>
      <c r="F13" s="47"/>
      <c r="G13" s="47"/>
      <c r="I13" s="26">
        <v>104</v>
      </c>
      <c r="J13" s="26" t="s">
        <v>50</v>
      </c>
      <c r="K13" s="26">
        <v>5</v>
      </c>
      <c r="L13" s="29">
        <v>0.2</v>
      </c>
      <c r="M13">
        <f t="shared" si="0"/>
        <v>0.2</v>
      </c>
      <c r="P13" s="15" t="s">
        <v>58</v>
      </c>
    </row>
    <row r="14" spans="2:16" ht="47.4" thickBot="1" x14ac:dyDescent="0.35">
      <c r="B14" s="16">
        <v>105</v>
      </c>
      <c r="C14" s="16" t="s">
        <v>51</v>
      </c>
      <c r="D14" s="16">
        <v>2</v>
      </c>
      <c r="E14" s="17">
        <v>0.5</v>
      </c>
      <c r="F14" s="47"/>
      <c r="G14" s="47"/>
      <c r="I14" s="26">
        <v>105</v>
      </c>
      <c r="J14" s="26" t="s">
        <v>51</v>
      </c>
      <c r="K14" s="26">
        <v>2</v>
      </c>
      <c r="L14" s="29">
        <v>0.5</v>
      </c>
      <c r="M14">
        <f t="shared" si="0"/>
        <v>0.5</v>
      </c>
      <c r="P14" s="15" t="s">
        <v>60</v>
      </c>
    </row>
    <row r="15" spans="2:16" ht="70.2" thickBot="1" x14ac:dyDescent="0.35">
      <c r="B15" s="16" t="s">
        <v>52</v>
      </c>
      <c r="C15" s="16" t="s">
        <v>53</v>
      </c>
      <c r="D15" s="18" t="s">
        <v>46</v>
      </c>
      <c r="E15" s="19" t="s">
        <v>46</v>
      </c>
      <c r="F15" s="48"/>
      <c r="G15" s="48"/>
      <c r="I15" s="26" t="s">
        <v>52</v>
      </c>
      <c r="J15" s="26" t="s">
        <v>53</v>
      </c>
      <c r="K15" s="30" t="s">
        <v>46</v>
      </c>
      <c r="L15" s="31" t="s">
        <v>46</v>
      </c>
      <c r="M15" t="str">
        <f t="shared" si="0"/>
        <v> </v>
      </c>
      <c r="P15" s="16" t="s">
        <v>61</v>
      </c>
    </row>
    <row r="16" spans="2:16" ht="36" thickBot="1" x14ac:dyDescent="0.35">
      <c r="B16" s="16">
        <v>3923</v>
      </c>
      <c r="C16" s="16" t="s">
        <v>54</v>
      </c>
      <c r="D16" s="18" t="s">
        <v>46</v>
      </c>
      <c r="E16" s="19" t="s">
        <v>46</v>
      </c>
      <c r="F16" s="48"/>
      <c r="G16" s="48"/>
      <c r="I16" s="26">
        <v>3923</v>
      </c>
      <c r="J16" s="26" t="s">
        <v>54</v>
      </c>
      <c r="K16" s="30" t="s">
        <v>46</v>
      </c>
      <c r="L16" s="31" t="s">
        <v>46</v>
      </c>
      <c r="M16" t="str">
        <f t="shared" si="0"/>
        <v> </v>
      </c>
      <c r="P16" s="16" t="s">
        <v>63</v>
      </c>
    </row>
    <row r="17" spans="2:16" ht="24.6" thickBot="1" x14ac:dyDescent="0.35">
      <c r="B17" s="16" t="s">
        <v>55</v>
      </c>
      <c r="C17" s="15" t="s">
        <v>56</v>
      </c>
      <c r="D17" s="16">
        <v>5</v>
      </c>
      <c r="E17" s="17">
        <v>0.2</v>
      </c>
      <c r="F17" s="47"/>
      <c r="G17" s="47"/>
      <c r="I17" s="26" t="s">
        <v>55</v>
      </c>
      <c r="J17" s="27" t="s">
        <v>56</v>
      </c>
      <c r="K17" s="26">
        <v>5</v>
      </c>
      <c r="L17" s="29">
        <v>0.2</v>
      </c>
      <c r="M17">
        <f t="shared" si="0"/>
        <v>0.2</v>
      </c>
      <c r="P17" s="16" t="s">
        <v>64</v>
      </c>
    </row>
    <row r="18" spans="2:16" ht="24.6" thickBot="1" x14ac:dyDescent="0.35">
      <c r="B18" s="16" t="s">
        <v>57</v>
      </c>
      <c r="C18" s="15" t="s">
        <v>58</v>
      </c>
      <c r="D18" s="16">
        <v>5</v>
      </c>
      <c r="E18" s="17">
        <v>0.2</v>
      </c>
      <c r="F18" s="47"/>
      <c r="G18" s="47"/>
      <c r="I18" s="26" t="s">
        <v>57</v>
      </c>
      <c r="J18" s="27" t="s">
        <v>58</v>
      </c>
      <c r="K18" s="26">
        <v>5</v>
      </c>
      <c r="L18" s="29">
        <v>0.2</v>
      </c>
      <c r="M18">
        <f t="shared" si="0"/>
        <v>0.2</v>
      </c>
      <c r="P18" s="16" t="s">
        <v>66</v>
      </c>
    </row>
    <row r="19" spans="2:16" ht="70.2" thickBot="1" x14ac:dyDescent="0.35">
      <c r="B19" s="16" t="s">
        <v>59</v>
      </c>
      <c r="C19" s="15" t="s">
        <v>60</v>
      </c>
      <c r="D19" s="16">
        <v>5</v>
      </c>
      <c r="E19" s="17">
        <v>0.2</v>
      </c>
      <c r="F19" s="47"/>
      <c r="G19" s="47"/>
      <c r="I19" s="26" t="s">
        <v>59</v>
      </c>
      <c r="J19" s="27" t="s">
        <v>60</v>
      </c>
      <c r="K19" s="26">
        <v>5</v>
      </c>
      <c r="L19" s="29">
        <v>0.2</v>
      </c>
      <c r="M19">
        <f t="shared" si="0"/>
        <v>0.2</v>
      </c>
      <c r="P19" s="16" t="s">
        <v>67</v>
      </c>
    </row>
    <row r="20" spans="2:16" ht="36" thickBot="1" x14ac:dyDescent="0.35">
      <c r="B20" s="16">
        <v>3926</v>
      </c>
      <c r="C20" s="16" t="s">
        <v>61</v>
      </c>
      <c r="D20" s="18" t="s">
        <v>46</v>
      </c>
      <c r="E20" s="19" t="s">
        <v>46</v>
      </c>
      <c r="F20" s="48"/>
      <c r="G20" s="48"/>
      <c r="I20" s="26">
        <v>3926</v>
      </c>
      <c r="J20" s="26" t="s">
        <v>61</v>
      </c>
      <c r="K20" s="30" t="s">
        <v>46</v>
      </c>
      <c r="L20" s="31" t="s">
        <v>46</v>
      </c>
      <c r="M20" t="str">
        <f t="shared" si="0"/>
        <v> </v>
      </c>
      <c r="P20" s="16" t="s">
        <v>69</v>
      </c>
    </row>
    <row r="21" spans="2:16" ht="47.4" thickBot="1" x14ac:dyDescent="0.35">
      <c r="B21" s="16" t="s">
        <v>62</v>
      </c>
      <c r="C21" s="16" t="s">
        <v>63</v>
      </c>
      <c r="D21" s="16">
        <v>2</v>
      </c>
      <c r="E21" s="17">
        <v>0.5</v>
      </c>
      <c r="F21" s="47"/>
      <c r="G21" s="47"/>
      <c r="I21" s="26" t="s">
        <v>62</v>
      </c>
      <c r="J21" s="26" t="s">
        <v>63</v>
      </c>
      <c r="K21" s="26">
        <v>2</v>
      </c>
      <c r="L21" s="29">
        <v>0.5</v>
      </c>
      <c r="M21">
        <f t="shared" si="0"/>
        <v>0.5</v>
      </c>
      <c r="P21" s="16" t="s">
        <v>70</v>
      </c>
    </row>
    <row r="22" spans="2:16" ht="15" thickBot="1" x14ac:dyDescent="0.35">
      <c r="B22" s="16" t="s">
        <v>62</v>
      </c>
      <c r="C22" s="16" t="s">
        <v>64</v>
      </c>
      <c r="D22" s="16">
        <v>5</v>
      </c>
      <c r="E22" s="17">
        <v>0.2</v>
      </c>
      <c r="F22" s="47"/>
      <c r="G22" s="47"/>
      <c r="I22" s="26" t="s">
        <v>62</v>
      </c>
      <c r="J22" s="26" t="s">
        <v>64</v>
      </c>
      <c r="K22" s="26">
        <v>5</v>
      </c>
      <c r="L22" s="29">
        <v>0.2</v>
      </c>
      <c r="M22">
        <f t="shared" si="0"/>
        <v>0.2</v>
      </c>
      <c r="P22" s="16" t="s">
        <v>72</v>
      </c>
    </row>
    <row r="23" spans="2:16" ht="161.4" thickBot="1" x14ac:dyDescent="0.35">
      <c r="B23" s="16" t="s">
        <v>65</v>
      </c>
      <c r="C23" s="16" t="s">
        <v>66</v>
      </c>
      <c r="D23" s="18" t="s">
        <v>46</v>
      </c>
      <c r="E23" s="19" t="s">
        <v>46</v>
      </c>
      <c r="F23" s="48"/>
      <c r="G23" s="48"/>
      <c r="I23" s="26" t="s">
        <v>65</v>
      </c>
      <c r="J23" s="26" t="s">
        <v>66</v>
      </c>
      <c r="K23" s="30" t="s">
        <v>46</v>
      </c>
      <c r="L23" s="31" t="s">
        <v>46</v>
      </c>
      <c r="M23" t="str">
        <f t="shared" si="0"/>
        <v> </v>
      </c>
      <c r="P23" s="16" t="s">
        <v>73</v>
      </c>
    </row>
    <row r="24" spans="2:16" ht="47.4" thickBot="1" x14ac:dyDescent="0.35">
      <c r="B24" s="16">
        <v>4010</v>
      </c>
      <c r="C24" s="16" t="s">
        <v>67</v>
      </c>
      <c r="D24" s="16">
        <v>2</v>
      </c>
      <c r="E24" s="17">
        <v>0.5</v>
      </c>
      <c r="F24" s="47"/>
      <c r="G24" s="47"/>
      <c r="I24" s="26">
        <v>4010</v>
      </c>
      <c r="J24" s="26" t="s">
        <v>67</v>
      </c>
      <c r="K24" s="26">
        <v>2</v>
      </c>
      <c r="L24" s="29">
        <v>0.5</v>
      </c>
      <c r="M24">
        <f t="shared" si="0"/>
        <v>0.5</v>
      </c>
      <c r="P24" s="16" t="s">
        <v>74</v>
      </c>
    </row>
    <row r="25" spans="2:16" ht="58.8" thickBot="1" x14ac:dyDescent="0.35">
      <c r="B25" s="16" t="s">
        <v>68</v>
      </c>
      <c r="C25" s="16" t="s">
        <v>69</v>
      </c>
      <c r="D25" s="18" t="s">
        <v>46</v>
      </c>
      <c r="E25" s="19" t="s">
        <v>46</v>
      </c>
      <c r="F25" s="48"/>
      <c r="G25" s="48"/>
      <c r="I25" s="26" t="s">
        <v>68</v>
      </c>
      <c r="J25" s="26" t="s">
        <v>69</v>
      </c>
      <c r="K25" s="30" t="s">
        <v>46</v>
      </c>
      <c r="L25" s="31" t="s">
        <v>46</v>
      </c>
      <c r="M25" t="str">
        <f t="shared" si="0"/>
        <v> </v>
      </c>
      <c r="P25" s="16" t="s">
        <v>76</v>
      </c>
    </row>
    <row r="26" spans="2:16" ht="93" thickBot="1" x14ac:dyDescent="0.35">
      <c r="B26" s="16">
        <v>4204</v>
      </c>
      <c r="C26" s="16" t="s">
        <v>70</v>
      </c>
      <c r="D26" s="16">
        <v>2</v>
      </c>
      <c r="E26" s="17">
        <v>0.5</v>
      </c>
      <c r="F26" s="47"/>
      <c r="G26" s="47"/>
      <c r="I26" s="26">
        <v>4204</v>
      </c>
      <c r="J26" s="26" t="s">
        <v>70</v>
      </c>
      <c r="K26" s="26">
        <v>2</v>
      </c>
      <c r="L26" s="29">
        <v>0.5</v>
      </c>
      <c r="M26">
        <f t="shared" si="0"/>
        <v>0.5</v>
      </c>
      <c r="P26" s="16" t="s">
        <v>78</v>
      </c>
    </row>
    <row r="27" spans="2:16" ht="172.8" thickBot="1" x14ac:dyDescent="0.35">
      <c r="B27" s="16" t="s">
        <v>71</v>
      </c>
      <c r="C27" s="16" t="s">
        <v>72</v>
      </c>
      <c r="D27" s="18" t="s">
        <v>46</v>
      </c>
      <c r="E27" s="19" t="s">
        <v>46</v>
      </c>
      <c r="F27" s="48"/>
      <c r="G27" s="48"/>
      <c r="I27" s="26" t="s">
        <v>71</v>
      </c>
      <c r="J27" s="26" t="s">
        <v>72</v>
      </c>
      <c r="K27" s="30" t="s">
        <v>46</v>
      </c>
      <c r="L27" s="31" t="s">
        <v>46</v>
      </c>
      <c r="M27" t="str">
        <f t="shared" si="0"/>
        <v> </v>
      </c>
      <c r="P27" s="16" t="s">
        <v>80</v>
      </c>
    </row>
    <row r="28" spans="2:16" ht="81.599999999999994" thickBot="1" x14ac:dyDescent="0.35">
      <c r="B28" s="16">
        <v>4415</v>
      </c>
      <c r="C28" s="16" t="s">
        <v>73</v>
      </c>
      <c r="D28" s="16">
        <v>5</v>
      </c>
      <c r="E28" s="17">
        <v>0.2</v>
      </c>
      <c r="F28" s="47"/>
      <c r="G28" s="47"/>
      <c r="I28" s="26">
        <v>4415</v>
      </c>
      <c r="J28" s="26" t="s">
        <v>73</v>
      </c>
      <c r="K28" s="26">
        <v>5</v>
      </c>
      <c r="L28" s="29">
        <v>0.2</v>
      </c>
      <c r="M28">
        <f t="shared" si="0"/>
        <v>0.2</v>
      </c>
      <c r="P28" s="16" t="s">
        <v>82</v>
      </c>
    </row>
    <row r="29" spans="2:16" ht="81.599999999999994" thickBot="1" x14ac:dyDescent="0.35">
      <c r="B29" s="16">
        <v>4416</v>
      </c>
      <c r="C29" s="16" t="s">
        <v>74</v>
      </c>
      <c r="D29" s="16">
        <v>5</v>
      </c>
      <c r="E29" s="17">
        <v>0.2</v>
      </c>
      <c r="F29" s="47"/>
      <c r="G29" s="47"/>
      <c r="I29" s="26">
        <v>4416</v>
      </c>
      <c r="J29" s="26" t="s">
        <v>74</v>
      </c>
      <c r="K29" s="26">
        <v>5</v>
      </c>
      <c r="L29" s="29">
        <v>0.2</v>
      </c>
      <c r="M29">
        <f t="shared" si="0"/>
        <v>0.2</v>
      </c>
      <c r="P29" s="16" t="s">
        <v>83</v>
      </c>
    </row>
    <row r="30" spans="2:16" ht="47.4" thickBot="1" x14ac:dyDescent="0.35">
      <c r="B30" s="16" t="s">
        <v>75</v>
      </c>
      <c r="C30" s="16" t="s">
        <v>76</v>
      </c>
      <c r="D30" s="16">
        <v>5</v>
      </c>
      <c r="E30" s="17">
        <v>0.2</v>
      </c>
      <c r="F30" s="47"/>
      <c r="G30" s="47"/>
      <c r="I30" s="26" t="s">
        <v>75</v>
      </c>
      <c r="J30" s="26" t="s">
        <v>76</v>
      </c>
      <c r="K30" s="26">
        <v>5</v>
      </c>
      <c r="L30" s="29">
        <v>0.2</v>
      </c>
      <c r="M30">
        <f t="shared" si="0"/>
        <v>0.2</v>
      </c>
      <c r="P30" s="16" t="s">
        <v>84</v>
      </c>
    </row>
    <row r="31" spans="2:16" ht="104.4" thickBot="1" x14ac:dyDescent="0.35">
      <c r="B31" s="16" t="s">
        <v>77</v>
      </c>
      <c r="C31" s="16" t="s">
        <v>78</v>
      </c>
      <c r="D31" s="18" t="s">
        <v>46</v>
      </c>
      <c r="E31" s="19" t="s">
        <v>46</v>
      </c>
      <c r="F31" s="48"/>
      <c r="G31" s="48"/>
      <c r="I31" s="26" t="s">
        <v>77</v>
      </c>
      <c r="J31" s="26" t="s">
        <v>78</v>
      </c>
      <c r="K31" s="30" t="s">
        <v>46</v>
      </c>
      <c r="L31" s="31" t="s">
        <v>46</v>
      </c>
      <c r="M31" t="str">
        <f t="shared" si="0"/>
        <v> </v>
      </c>
      <c r="P31" s="16" t="s">
        <v>85</v>
      </c>
    </row>
    <row r="32" spans="2:16" ht="81.599999999999994" thickBot="1" x14ac:dyDescent="0.35">
      <c r="B32" s="16" t="s">
        <v>79</v>
      </c>
      <c r="C32" s="16" t="s">
        <v>80</v>
      </c>
      <c r="D32" s="16">
        <v>2</v>
      </c>
      <c r="E32" s="17">
        <v>0.5</v>
      </c>
      <c r="F32" s="47"/>
      <c r="G32" s="47"/>
      <c r="I32" s="26" t="s">
        <v>79</v>
      </c>
      <c r="J32" s="26" t="s">
        <v>80</v>
      </c>
      <c r="K32" s="26">
        <v>2</v>
      </c>
      <c r="L32" s="29">
        <v>0.5</v>
      </c>
      <c r="M32">
        <f t="shared" si="0"/>
        <v>0.5</v>
      </c>
      <c r="P32" s="16" t="s">
        <v>87</v>
      </c>
    </row>
    <row r="33" spans="2:16" ht="195.6" thickBot="1" x14ac:dyDescent="0.35">
      <c r="B33" s="16" t="s">
        <v>81</v>
      </c>
      <c r="C33" s="16" t="s">
        <v>82</v>
      </c>
      <c r="D33" s="18" t="s">
        <v>46</v>
      </c>
      <c r="E33" s="19" t="s">
        <v>46</v>
      </c>
      <c r="F33" s="48"/>
      <c r="G33" s="48"/>
      <c r="I33" s="26" t="s">
        <v>81</v>
      </c>
      <c r="J33" s="26" t="s">
        <v>82</v>
      </c>
      <c r="K33" s="30" t="s">
        <v>46</v>
      </c>
      <c r="L33" s="31" t="s">
        <v>46</v>
      </c>
      <c r="M33" t="str">
        <f t="shared" si="0"/>
        <v> </v>
      </c>
      <c r="P33" s="16" t="s">
        <v>88</v>
      </c>
    </row>
    <row r="34" spans="2:16" ht="36" thickBot="1" x14ac:dyDescent="0.35">
      <c r="B34" s="16">
        <v>6303</v>
      </c>
      <c r="C34" s="16" t="s">
        <v>83</v>
      </c>
      <c r="D34" s="16">
        <v>5</v>
      </c>
      <c r="E34" s="17">
        <v>0.2</v>
      </c>
      <c r="F34" s="47"/>
      <c r="G34" s="47"/>
      <c r="I34" s="26">
        <v>6303</v>
      </c>
      <c r="J34" s="26" t="s">
        <v>83</v>
      </c>
      <c r="K34" s="26">
        <v>5</v>
      </c>
      <c r="L34" s="29">
        <v>0.2</v>
      </c>
      <c r="M34">
        <f t="shared" si="0"/>
        <v>0.2</v>
      </c>
      <c r="P34" s="16" t="s">
        <v>90</v>
      </c>
    </row>
    <row r="35" spans="2:16" ht="138.6" thickBot="1" x14ac:dyDescent="0.35">
      <c r="B35" s="16">
        <v>6305</v>
      </c>
      <c r="C35" s="16" t="s">
        <v>84</v>
      </c>
      <c r="D35" s="16">
        <v>5</v>
      </c>
      <c r="E35" s="17">
        <v>0.2</v>
      </c>
      <c r="F35" s="47"/>
      <c r="G35" s="47"/>
      <c r="I35" s="26">
        <v>6305</v>
      </c>
      <c r="J35" s="26" t="s">
        <v>84</v>
      </c>
      <c r="K35" s="26">
        <v>5</v>
      </c>
      <c r="L35" s="29">
        <v>0.2</v>
      </c>
      <c r="M35">
        <f t="shared" si="0"/>
        <v>0.2</v>
      </c>
      <c r="P35" s="16" t="s">
        <v>91</v>
      </c>
    </row>
    <row r="36" spans="2:16" ht="47.4" thickBot="1" x14ac:dyDescent="0.35">
      <c r="B36" s="16">
        <v>6306</v>
      </c>
      <c r="C36" s="16" t="s">
        <v>85</v>
      </c>
      <c r="D36" s="16">
        <v>4</v>
      </c>
      <c r="E36" s="17">
        <v>0.25</v>
      </c>
      <c r="F36" s="47"/>
      <c r="G36" s="47"/>
      <c r="I36" s="26">
        <v>6306</v>
      </c>
      <c r="J36" s="26" t="s">
        <v>85</v>
      </c>
      <c r="K36" s="26">
        <v>4</v>
      </c>
      <c r="L36" s="29">
        <v>0.25</v>
      </c>
      <c r="M36">
        <f t="shared" si="0"/>
        <v>0.25</v>
      </c>
      <c r="P36" s="16" t="s">
        <v>93</v>
      </c>
    </row>
    <row r="37" spans="2:16" ht="81.599999999999994" thickBot="1" x14ac:dyDescent="0.35">
      <c r="B37" s="16" t="s">
        <v>86</v>
      </c>
      <c r="C37" s="16" t="s">
        <v>87</v>
      </c>
      <c r="D37" s="18" t="s">
        <v>46</v>
      </c>
      <c r="E37" s="19" t="s">
        <v>46</v>
      </c>
      <c r="F37" s="48"/>
      <c r="G37" s="48"/>
      <c r="I37" s="26" t="s">
        <v>86</v>
      </c>
      <c r="J37" s="26" t="s">
        <v>87</v>
      </c>
      <c r="K37" s="30" t="s">
        <v>46</v>
      </c>
      <c r="L37" s="31" t="s">
        <v>46</v>
      </c>
      <c r="M37" t="str">
        <f t="shared" si="0"/>
        <v> </v>
      </c>
      <c r="P37" s="16" t="s">
        <v>94</v>
      </c>
    </row>
    <row r="38" spans="2:16" ht="93" thickBot="1" x14ac:dyDescent="0.35">
      <c r="B38" s="16">
        <v>6909</v>
      </c>
      <c r="C38" s="16" t="s">
        <v>88</v>
      </c>
      <c r="D38" s="16">
        <v>5</v>
      </c>
      <c r="E38" s="17">
        <v>0.2</v>
      </c>
      <c r="F38" s="47"/>
      <c r="G38" s="47"/>
      <c r="I38" s="26">
        <v>6909</v>
      </c>
      <c r="J38" s="26" t="s">
        <v>88</v>
      </c>
      <c r="K38" s="26">
        <v>5</v>
      </c>
      <c r="L38" s="29">
        <v>0.2</v>
      </c>
      <c r="M38">
        <f t="shared" si="0"/>
        <v>0.2</v>
      </c>
      <c r="P38" s="15" t="s">
        <v>96</v>
      </c>
    </row>
    <row r="39" spans="2:16" ht="15" thickBot="1" x14ac:dyDescent="0.35">
      <c r="B39" s="16" t="s">
        <v>89</v>
      </c>
      <c r="C39" s="16" t="s">
        <v>90</v>
      </c>
      <c r="D39" s="18" t="s">
        <v>46</v>
      </c>
      <c r="E39" s="19" t="s">
        <v>46</v>
      </c>
      <c r="F39" s="48"/>
      <c r="G39" s="48"/>
      <c r="I39" s="26" t="s">
        <v>89</v>
      </c>
      <c r="J39" s="26" t="s">
        <v>90</v>
      </c>
      <c r="K39" s="30" t="s">
        <v>46</v>
      </c>
      <c r="L39" s="31" t="s">
        <v>46</v>
      </c>
      <c r="M39" t="str">
        <f t="shared" si="0"/>
        <v> </v>
      </c>
      <c r="P39" s="15" t="s">
        <v>98</v>
      </c>
    </row>
    <row r="40" spans="2:16" ht="229.8" thickBot="1" x14ac:dyDescent="0.35">
      <c r="B40" s="16">
        <v>7010</v>
      </c>
      <c r="C40" s="16" t="s">
        <v>91</v>
      </c>
      <c r="D40" s="16">
        <v>5</v>
      </c>
      <c r="E40" s="17">
        <v>0.2</v>
      </c>
      <c r="F40" s="47"/>
      <c r="G40" s="47"/>
      <c r="I40" s="26">
        <v>7010</v>
      </c>
      <c r="J40" s="26" t="s">
        <v>91</v>
      </c>
      <c r="K40" s="26">
        <v>5</v>
      </c>
      <c r="L40" s="29">
        <v>0.2</v>
      </c>
      <c r="M40">
        <f t="shared" si="0"/>
        <v>0.2</v>
      </c>
      <c r="P40" s="16" t="s">
        <v>99</v>
      </c>
    </row>
    <row r="41" spans="2:16" ht="70.2" thickBot="1" x14ac:dyDescent="0.35">
      <c r="B41" s="16" t="s">
        <v>92</v>
      </c>
      <c r="C41" s="16" t="s">
        <v>93</v>
      </c>
      <c r="D41" s="18" t="s">
        <v>46</v>
      </c>
      <c r="E41" s="19" t="s">
        <v>46</v>
      </c>
      <c r="F41" s="48"/>
      <c r="G41" s="48"/>
      <c r="I41" s="26" t="s">
        <v>92</v>
      </c>
      <c r="J41" s="26" t="s">
        <v>93</v>
      </c>
      <c r="K41" s="30" t="s">
        <v>46</v>
      </c>
      <c r="L41" s="31" t="s">
        <v>46</v>
      </c>
      <c r="M41" t="str">
        <f t="shared" si="0"/>
        <v> </v>
      </c>
      <c r="P41" s="16" t="s">
        <v>100</v>
      </c>
    </row>
    <row r="42" spans="2:16" ht="264" thickBot="1" x14ac:dyDescent="0.35">
      <c r="B42" s="16">
        <v>7308</v>
      </c>
      <c r="C42" s="16" t="s">
        <v>94</v>
      </c>
      <c r="D42" s="18" t="s">
        <v>46</v>
      </c>
      <c r="E42" s="19" t="s">
        <v>46</v>
      </c>
      <c r="F42" s="48"/>
      <c r="G42" s="48"/>
      <c r="I42" s="26">
        <v>7308</v>
      </c>
      <c r="J42" s="26" t="s">
        <v>94</v>
      </c>
      <c r="K42" s="30" t="s">
        <v>46</v>
      </c>
      <c r="L42" s="31" t="s">
        <v>46</v>
      </c>
      <c r="M42" t="str">
        <f t="shared" si="0"/>
        <v> </v>
      </c>
      <c r="P42" s="16" t="s">
        <v>101</v>
      </c>
    </row>
    <row r="43" spans="2:16" ht="264" thickBot="1" x14ac:dyDescent="0.35">
      <c r="B43" s="16" t="s">
        <v>95</v>
      </c>
      <c r="C43" s="15" t="s">
        <v>96</v>
      </c>
      <c r="D43" s="16">
        <v>25</v>
      </c>
      <c r="E43" s="17">
        <v>0.04</v>
      </c>
      <c r="F43" s="47"/>
      <c r="G43" s="47"/>
      <c r="I43" s="26" t="s">
        <v>95</v>
      </c>
      <c r="J43" s="27" t="s">
        <v>96</v>
      </c>
      <c r="K43" s="26">
        <v>25</v>
      </c>
      <c r="L43" s="29">
        <v>0.04</v>
      </c>
      <c r="M43">
        <f t="shared" si="0"/>
        <v>0.04</v>
      </c>
      <c r="P43" s="16" t="s">
        <v>102</v>
      </c>
    </row>
    <row r="44" spans="2:16" ht="15" thickBot="1" x14ac:dyDescent="0.35">
      <c r="B44" s="16" t="s">
        <v>97</v>
      </c>
      <c r="C44" s="15" t="s">
        <v>98</v>
      </c>
      <c r="D44" s="16">
        <v>25</v>
      </c>
      <c r="E44" s="17">
        <v>0.04</v>
      </c>
      <c r="F44" s="47"/>
      <c r="G44" s="47"/>
      <c r="I44" s="26" t="s">
        <v>97</v>
      </c>
      <c r="J44" s="27" t="s">
        <v>98</v>
      </c>
      <c r="K44" s="26">
        <v>25</v>
      </c>
      <c r="L44" s="29">
        <v>0.04</v>
      </c>
      <c r="M44">
        <f t="shared" si="0"/>
        <v>0.04</v>
      </c>
      <c r="P44" s="16" t="s">
        <v>104</v>
      </c>
    </row>
    <row r="45" spans="2:16" ht="104.4" thickBot="1" x14ac:dyDescent="0.35">
      <c r="B45" s="16">
        <v>7309</v>
      </c>
      <c r="C45" s="16" t="s">
        <v>99</v>
      </c>
      <c r="D45" s="16">
        <v>10</v>
      </c>
      <c r="E45" s="17">
        <v>0.1</v>
      </c>
      <c r="F45" s="47"/>
      <c r="G45" s="47"/>
      <c r="I45" s="26">
        <v>7309</v>
      </c>
      <c r="J45" s="26" t="s">
        <v>99</v>
      </c>
      <c r="K45" s="26">
        <v>10</v>
      </c>
      <c r="L45" s="29">
        <v>0.1</v>
      </c>
      <c r="M45" t="e">
        <f t="shared" si="0"/>
        <v>#VALUE!</v>
      </c>
      <c r="P45" s="16" t="s">
        <v>105</v>
      </c>
    </row>
    <row r="46" spans="2:16" ht="218.4" thickBot="1" x14ac:dyDescent="0.35">
      <c r="B46" s="16">
        <v>7311</v>
      </c>
      <c r="C46" s="16" t="s">
        <v>100</v>
      </c>
      <c r="D46" s="16">
        <v>5</v>
      </c>
      <c r="E46" s="17">
        <v>0.2</v>
      </c>
      <c r="F46" s="47"/>
      <c r="G46" s="47"/>
      <c r="I46" s="26">
        <v>7311</v>
      </c>
      <c r="J46" s="26" t="s">
        <v>100</v>
      </c>
      <c r="K46" s="26">
        <v>5</v>
      </c>
      <c r="L46" s="29">
        <v>0.2</v>
      </c>
      <c r="M46">
        <f t="shared" si="0"/>
        <v>0.2</v>
      </c>
      <c r="P46" s="16" t="s">
        <v>106</v>
      </c>
    </row>
    <row r="47" spans="2:16" ht="127.2" thickBot="1" x14ac:dyDescent="0.35">
      <c r="B47" s="16">
        <v>7321</v>
      </c>
      <c r="C47" s="16" t="s">
        <v>101</v>
      </c>
      <c r="D47" s="16">
        <v>10</v>
      </c>
      <c r="E47" s="17">
        <v>0.1</v>
      </c>
      <c r="F47" s="47"/>
      <c r="G47" s="47"/>
      <c r="I47" s="26">
        <v>7321</v>
      </c>
      <c r="J47" s="26" t="s">
        <v>101</v>
      </c>
      <c r="K47" s="26">
        <v>10</v>
      </c>
      <c r="L47" s="29">
        <v>0.1</v>
      </c>
      <c r="M47" t="e">
        <f t="shared" si="0"/>
        <v>#VALUE!</v>
      </c>
      <c r="P47" s="16" t="s">
        <v>107</v>
      </c>
    </row>
    <row r="48" spans="2:16" ht="127.2" thickBot="1" x14ac:dyDescent="0.35">
      <c r="B48" s="16">
        <v>7322</v>
      </c>
      <c r="C48" s="16" t="s">
        <v>102</v>
      </c>
      <c r="D48" s="16">
        <v>10</v>
      </c>
      <c r="E48" s="17">
        <v>0.1</v>
      </c>
      <c r="F48" s="47"/>
      <c r="G48" s="47"/>
      <c r="I48" s="26">
        <v>7322</v>
      </c>
      <c r="J48" s="26" t="s">
        <v>102</v>
      </c>
      <c r="K48" s="26">
        <v>10</v>
      </c>
      <c r="L48" s="29">
        <v>0.1</v>
      </c>
      <c r="M48" t="e">
        <f t="shared" si="0"/>
        <v>#VALUE!</v>
      </c>
      <c r="P48" s="16" t="s">
        <v>109</v>
      </c>
    </row>
    <row r="49" spans="2:16" ht="127.2" thickBot="1" x14ac:dyDescent="0.35">
      <c r="B49" s="16" t="s">
        <v>103</v>
      </c>
      <c r="C49" s="16" t="s">
        <v>104</v>
      </c>
      <c r="D49" s="18" t="s">
        <v>46</v>
      </c>
      <c r="E49" s="19" t="s">
        <v>46</v>
      </c>
      <c r="F49" s="48"/>
      <c r="G49" s="48"/>
      <c r="I49" s="26" t="s">
        <v>103</v>
      </c>
      <c r="J49" s="26" t="s">
        <v>104</v>
      </c>
      <c r="K49" s="30" t="s">
        <v>46</v>
      </c>
      <c r="L49" s="31" t="s">
        <v>46</v>
      </c>
      <c r="M49" t="str">
        <f t="shared" si="0"/>
        <v> </v>
      </c>
      <c r="P49" s="16" t="s">
        <v>110</v>
      </c>
    </row>
    <row r="50" spans="2:16" ht="150" thickBot="1" x14ac:dyDescent="0.35">
      <c r="B50" s="16">
        <v>7610</v>
      </c>
      <c r="C50" s="16" t="s">
        <v>105</v>
      </c>
      <c r="D50" s="16">
        <v>25</v>
      </c>
      <c r="E50" s="17">
        <v>0.04</v>
      </c>
      <c r="F50" s="47"/>
      <c r="G50" s="47"/>
      <c r="I50" s="26">
        <v>7610</v>
      </c>
      <c r="J50" s="26" t="s">
        <v>105</v>
      </c>
      <c r="K50" s="26">
        <v>25</v>
      </c>
      <c r="L50" s="29">
        <v>0.04</v>
      </c>
      <c r="M50">
        <f t="shared" si="0"/>
        <v>0.04</v>
      </c>
      <c r="P50" s="16" t="s">
        <v>111</v>
      </c>
    </row>
    <row r="51" spans="2:16" ht="104.4" thickBot="1" x14ac:dyDescent="0.35">
      <c r="B51" s="16">
        <v>7611</v>
      </c>
      <c r="C51" s="16" t="s">
        <v>106</v>
      </c>
      <c r="D51" s="16">
        <v>10</v>
      </c>
      <c r="E51" s="17">
        <v>0.1</v>
      </c>
      <c r="F51" s="47"/>
      <c r="G51" s="47"/>
      <c r="I51" s="26">
        <v>7611</v>
      </c>
      <c r="J51" s="26" t="s">
        <v>106</v>
      </c>
      <c r="K51" s="26">
        <v>10</v>
      </c>
      <c r="L51" s="29">
        <v>0.1</v>
      </c>
      <c r="M51" t="e">
        <f t="shared" si="0"/>
        <v>#VALUE!</v>
      </c>
      <c r="P51" s="16" t="s">
        <v>112</v>
      </c>
    </row>
    <row r="52" spans="2:16" ht="138.6" thickBot="1" x14ac:dyDescent="0.35">
      <c r="B52" s="16">
        <v>7613</v>
      </c>
      <c r="C52" s="16" t="s">
        <v>107</v>
      </c>
      <c r="D52" s="16">
        <v>5</v>
      </c>
      <c r="E52" s="17">
        <v>0.2</v>
      </c>
      <c r="F52" s="47"/>
      <c r="G52" s="47"/>
      <c r="I52" s="26">
        <v>7613</v>
      </c>
      <c r="J52" s="26" t="s">
        <v>107</v>
      </c>
      <c r="K52" s="26">
        <v>5</v>
      </c>
      <c r="L52" s="29">
        <v>0.2</v>
      </c>
      <c r="M52">
        <f t="shared" si="0"/>
        <v>0.2</v>
      </c>
      <c r="P52" s="16" t="s">
        <v>113</v>
      </c>
    </row>
    <row r="53" spans="2:16" ht="47.4" thickBot="1" x14ac:dyDescent="0.35">
      <c r="B53" s="16" t="s">
        <v>108</v>
      </c>
      <c r="C53" s="16" t="s">
        <v>109</v>
      </c>
      <c r="D53" s="18" t="s">
        <v>46</v>
      </c>
      <c r="E53" s="19" t="s">
        <v>46</v>
      </c>
      <c r="F53" s="48"/>
      <c r="G53" s="48"/>
      <c r="I53" s="26" t="s">
        <v>108</v>
      </c>
      <c r="J53" s="26" t="s">
        <v>109</v>
      </c>
      <c r="K53" s="30" t="s">
        <v>46</v>
      </c>
      <c r="L53" s="31" t="s">
        <v>46</v>
      </c>
      <c r="M53" t="str">
        <f t="shared" si="0"/>
        <v> </v>
      </c>
      <c r="P53" s="15" t="s">
        <v>115</v>
      </c>
    </row>
    <row r="54" spans="2:16" ht="58.2" x14ac:dyDescent="0.3">
      <c r="B54" s="20">
        <v>8201</v>
      </c>
      <c r="C54" s="20" t="s">
        <v>110</v>
      </c>
      <c r="D54" s="20">
        <v>5</v>
      </c>
      <c r="E54" s="21">
        <v>0.2</v>
      </c>
      <c r="F54" s="47"/>
      <c r="G54" s="47"/>
      <c r="I54" s="32">
        <v>8201</v>
      </c>
      <c r="J54" s="32" t="s">
        <v>373</v>
      </c>
      <c r="K54" s="32">
        <v>5</v>
      </c>
      <c r="L54" s="33">
        <v>0.2</v>
      </c>
      <c r="M54">
        <f t="shared" si="0"/>
        <v>0</v>
      </c>
      <c r="P54" s="45" t="s">
        <v>117</v>
      </c>
    </row>
    <row r="55" spans="2:16" ht="81.599999999999994" thickBot="1" x14ac:dyDescent="0.35">
      <c r="B55" s="13"/>
      <c r="C55" s="16" t="s">
        <v>111</v>
      </c>
      <c r="D55" s="13"/>
      <c r="E55" s="22"/>
      <c r="F55" s="5"/>
      <c r="G55" s="5"/>
      <c r="I55" s="41"/>
      <c r="J55" s="42" t="s">
        <v>46</v>
      </c>
      <c r="K55" s="41"/>
      <c r="L55" s="43"/>
      <c r="M55">
        <f t="shared" si="0"/>
        <v>0</v>
      </c>
      <c r="P55" s="15" t="s">
        <v>119</v>
      </c>
    </row>
    <row r="56" spans="2:16" ht="81.599999999999994" thickBot="1" x14ac:dyDescent="0.35">
      <c r="B56" s="16">
        <v>8202</v>
      </c>
      <c r="C56" s="16" t="s">
        <v>112</v>
      </c>
      <c r="D56" s="16">
        <v>5</v>
      </c>
      <c r="E56" s="17">
        <v>0.2</v>
      </c>
      <c r="F56" s="47"/>
      <c r="G56" s="47"/>
      <c r="I56" s="41"/>
      <c r="J56" s="42" t="s">
        <v>46</v>
      </c>
      <c r="K56" s="41"/>
      <c r="L56" s="43"/>
      <c r="M56">
        <f t="shared" si="0"/>
        <v>0</v>
      </c>
      <c r="P56" s="16" t="s">
        <v>120</v>
      </c>
    </row>
    <row r="57" spans="2:16" ht="298.2" thickBot="1" x14ac:dyDescent="0.35">
      <c r="B57" s="16">
        <v>8203</v>
      </c>
      <c r="C57" s="16" t="s">
        <v>113</v>
      </c>
      <c r="D57" s="18" t="s">
        <v>46</v>
      </c>
      <c r="E57" s="19" t="s">
        <v>46</v>
      </c>
      <c r="F57" s="48"/>
      <c r="G57" s="48"/>
      <c r="I57" s="41"/>
      <c r="J57" s="42" t="s">
        <v>46</v>
      </c>
      <c r="K57" s="41"/>
      <c r="L57" s="43"/>
      <c r="M57">
        <f t="shared" si="0"/>
        <v>0</v>
      </c>
      <c r="P57" s="16" t="s">
        <v>121</v>
      </c>
    </row>
    <row r="58" spans="2:16" ht="81.599999999999994" thickBot="1" x14ac:dyDescent="0.35">
      <c r="B58" s="16" t="s">
        <v>114</v>
      </c>
      <c r="C58" s="15" t="s">
        <v>115</v>
      </c>
      <c r="D58" s="16">
        <v>5</v>
      </c>
      <c r="E58" s="17">
        <v>0.2</v>
      </c>
      <c r="F58" s="47"/>
      <c r="G58" s="47"/>
      <c r="I58" s="39"/>
      <c r="J58" s="26" t="s">
        <v>111</v>
      </c>
      <c r="K58" s="39"/>
      <c r="L58" s="40"/>
      <c r="M58">
        <f t="shared" si="0"/>
        <v>0</v>
      </c>
      <c r="P58" s="16" t="s">
        <v>122</v>
      </c>
    </row>
    <row r="59" spans="2:16" ht="252.6" thickBot="1" x14ac:dyDescent="0.35">
      <c r="B59" s="16" t="s">
        <v>116</v>
      </c>
      <c r="C59" s="15" t="s">
        <v>117</v>
      </c>
      <c r="D59" s="16">
        <v>5</v>
      </c>
      <c r="E59" s="17">
        <v>0.2</v>
      </c>
      <c r="F59" s="47"/>
      <c r="G59" s="47"/>
      <c r="I59" s="26">
        <v>8202</v>
      </c>
      <c r="J59" s="26" t="s">
        <v>112</v>
      </c>
      <c r="K59" s="26">
        <v>5</v>
      </c>
      <c r="L59" s="29">
        <v>0.2</v>
      </c>
      <c r="M59">
        <f t="shared" si="0"/>
        <v>0.2</v>
      </c>
      <c r="P59" s="16" t="s">
        <v>123</v>
      </c>
    </row>
    <row r="60" spans="2:16" ht="58.8" thickBot="1" x14ac:dyDescent="0.35">
      <c r="B60" s="16" t="s">
        <v>118</v>
      </c>
      <c r="C60" s="15" t="s">
        <v>119</v>
      </c>
      <c r="D60" s="16">
        <v>5</v>
      </c>
      <c r="E60" s="17">
        <v>0.2</v>
      </c>
      <c r="F60" s="47"/>
      <c r="G60" s="47"/>
      <c r="I60" s="26">
        <v>8203</v>
      </c>
      <c r="J60" s="26" t="s">
        <v>113</v>
      </c>
      <c r="K60" s="30" t="s">
        <v>46</v>
      </c>
      <c r="L60" s="31" t="s">
        <v>46</v>
      </c>
      <c r="M60" t="str">
        <f t="shared" si="0"/>
        <v> </v>
      </c>
      <c r="P60" s="15" t="s">
        <v>125</v>
      </c>
    </row>
    <row r="61" spans="2:16" ht="104.4" thickBot="1" x14ac:dyDescent="0.35">
      <c r="B61" s="16">
        <v>8204</v>
      </c>
      <c r="C61" s="16" t="s">
        <v>120</v>
      </c>
      <c r="D61" s="16">
        <v>5</v>
      </c>
      <c r="E61" s="17">
        <v>0.2</v>
      </c>
      <c r="F61" s="47"/>
      <c r="G61" s="47"/>
      <c r="I61" s="26" t="s">
        <v>114</v>
      </c>
      <c r="J61" s="27" t="s">
        <v>115</v>
      </c>
      <c r="K61" s="26">
        <v>5</v>
      </c>
      <c r="L61" s="29">
        <v>0.2</v>
      </c>
      <c r="M61">
        <f t="shared" si="0"/>
        <v>0.2</v>
      </c>
      <c r="P61" s="16" t="s">
        <v>126</v>
      </c>
    </row>
    <row r="62" spans="2:16" ht="127.2" thickBot="1" x14ac:dyDescent="0.35">
      <c r="B62" s="16">
        <v>8205</v>
      </c>
      <c r="C62" s="16" t="s">
        <v>121</v>
      </c>
      <c r="D62" s="16">
        <v>5</v>
      </c>
      <c r="E62" s="17">
        <v>0.2</v>
      </c>
      <c r="F62" s="47"/>
      <c r="G62" s="47"/>
      <c r="I62" s="26" t="s">
        <v>116</v>
      </c>
      <c r="J62" s="27" t="s">
        <v>117</v>
      </c>
      <c r="K62" s="26">
        <v>5</v>
      </c>
      <c r="L62" s="29">
        <v>0.2</v>
      </c>
      <c r="M62">
        <f t="shared" si="0"/>
        <v>0.2</v>
      </c>
      <c r="P62" s="16" t="s">
        <v>127</v>
      </c>
    </row>
    <row r="63" spans="2:16" ht="24.6" thickBot="1" x14ac:dyDescent="0.35">
      <c r="B63" s="16">
        <v>8206</v>
      </c>
      <c r="C63" s="16" t="s">
        <v>122</v>
      </c>
      <c r="D63" s="16">
        <v>5</v>
      </c>
      <c r="E63" s="17">
        <v>0.2</v>
      </c>
      <c r="F63" s="47"/>
      <c r="G63" s="47"/>
      <c r="I63" s="26" t="s">
        <v>118</v>
      </c>
      <c r="J63" s="27" t="s">
        <v>119</v>
      </c>
      <c r="K63" s="26">
        <v>5</v>
      </c>
      <c r="L63" s="29">
        <v>0.2</v>
      </c>
      <c r="M63">
        <f t="shared" si="0"/>
        <v>0.2</v>
      </c>
      <c r="P63" s="16" t="s">
        <v>129</v>
      </c>
    </row>
    <row r="64" spans="2:16" ht="127.2" thickBot="1" x14ac:dyDescent="0.35">
      <c r="B64" s="16">
        <v>8207</v>
      </c>
      <c r="C64" s="16" t="s">
        <v>123</v>
      </c>
      <c r="D64" s="18" t="s">
        <v>46</v>
      </c>
      <c r="E64" s="19" t="s">
        <v>46</v>
      </c>
      <c r="F64" s="48"/>
      <c r="G64" s="48"/>
      <c r="I64" s="26">
        <v>8204</v>
      </c>
      <c r="J64" s="26" t="s">
        <v>120</v>
      </c>
      <c r="K64" s="26">
        <v>5</v>
      </c>
      <c r="L64" s="29">
        <v>0.2</v>
      </c>
      <c r="M64">
        <f t="shared" si="0"/>
        <v>0.2</v>
      </c>
      <c r="P64" s="16" t="s">
        <v>130</v>
      </c>
    </row>
    <row r="65" spans="2:16" ht="172.8" thickBot="1" x14ac:dyDescent="0.35">
      <c r="B65" s="16" t="s">
        <v>124</v>
      </c>
      <c r="C65" s="15" t="s">
        <v>125</v>
      </c>
      <c r="D65" s="16">
        <v>5</v>
      </c>
      <c r="E65" s="17">
        <v>0.2</v>
      </c>
      <c r="F65" s="47"/>
      <c r="G65" s="47"/>
      <c r="I65" s="26">
        <v>8205</v>
      </c>
      <c r="J65" s="26" t="s">
        <v>121</v>
      </c>
      <c r="K65" s="26">
        <v>5</v>
      </c>
      <c r="L65" s="29">
        <v>0.2</v>
      </c>
      <c r="M65" t="e">
        <f t="shared" si="0"/>
        <v>#VALUE!</v>
      </c>
      <c r="P65" s="16" t="s">
        <v>131</v>
      </c>
    </row>
    <row r="66" spans="2:16" ht="81.599999999999994" thickBot="1" x14ac:dyDescent="0.35">
      <c r="B66" s="16">
        <v>8210</v>
      </c>
      <c r="C66" s="16" t="s">
        <v>126</v>
      </c>
      <c r="D66" s="16">
        <v>10</v>
      </c>
      <c r="E66" s="17">
        <v>0.1</v>
      </c>
      <c r="F66" s="47"/>
      <c r="G66" s="47"/>
      <c r="I66" s="26">
        <v>8206</v>
      </c>
      <c r="J66" s="26" t="s">
        <v>122</v>
      </c>
      <c r="K66" s="26">
        <v>5</v>
      </c>
      <c r="L66" s="29">
        <v>0.2</v>
      </c>
      <c r="M66">
        <f t="shared" si="0"/>
        <v>0.2</v>
      </c>
      <c r="P66" s="16" t="s">
        <v>133</v>
      </c>
    </row>
    <row r="67" spans="2:16" ht="138.6" thickBot="1" x14ac:dyDescent="0.35">
      <c r="B67" s="16">
        <v>8214</v>
      </c>
      <c r="C67" s="16" t="s">
        <v>127</v>
      </c>
      <c r="D67" s="16">
        <v>5</v>
      </c>
      <c r="E67" s="17">
        <v>0.2</v>
      </c>
      <c r="F67" s="47"/>
      <c r="G67" s="47"/>
      <c r="I67" s="26">
        <v>8207</v>
      </c>
      <c r="J67" s="26" t="s">
        <v>123</v>
      </c>
      <c r="K67" s="30" t="s">
        <v>46</v>
      </c>
      <c r="L67" s="31" t="s">
        <v>46</v>
      </c>
      <c r="M67" t="e">
        <f t="shared" si="0"/>
        <v>#VALUE!</v>
      </c>
      <c r="P67" s="16" t="s">
        <v>134</v>
      </c>
    </row>
    <row r="68" spans="2:16" ht="172.8" thickBot="1" x14ac:dyDescent="0.35">
      <c r="B68" s="16" t="s">
        <v>128</v>
      </c>
      <c r="C68" s="16" t="s">
        <v>129</v>
      </c>
      <c r="D68" s="18" t="s">
        <v>46</v>
      </c>
      <c r="E68" s="19" t="s">
        <v>46</v>
      </c>
      <c r="F68" s="48"/>
      <c r="G68" s="48"/>
      <c r="I68" s="26" t="s">
        <v>124</v>
      </c>
      <c r="J68" s="27" t="s">
        <v>125</v>
      </c>
      <c r="K68" s="26">
        <v>5</v>
      </c>
      <c r="L68" s="29">
        <v>0.2</v>
      </c>
      <c r="M68">
        <f t="shared" si="0"/>
        <v>0.2</v>
      </c>
      <c r="P68" s="16" t="s">
        <v>135</v>
      </c>
    </row>
    <row r="69" spans="2:16" ht="58.8" thickBot="1" x14ac:dyDescent="0.35">
      <c r="B69" s="16">
        <v>8303</v>
      </c>
      <c r="C69" s="16" t="s">
        <v>130</v>
      </c>
      <c r="D69" s="16">
        <v>10</v>
      </c>
      <c r="E69" s="17">
        <v>0.1</v>
      </c>
      <c r="F69" s="47"/>
      <c r="G69" s="47"/>
      <c r="I69" s="26">
        <v>8210</v>
      </c>
      <c r="J69" s="26" t="s">
        <v>126</v>
      </c>
      <c r="K69" s="26">
        <v>10</v>
      </c>
      <c r="L69" s="29">
        <v>0.1</v>
      </c>
      <c r="M69">
        <f t="shared" si="0"/>
        <v>0.1</v>
      </c>
      <c r="P69" s="16" t="s">
        <v>136</v>
      </c>
    </row>
    <row r="70" spans="2:16" ht="172.8" thickBot="1" x14ac:dyDescent="0.35">
      <c r="B70" s="16">
        <v>8304</v>
      </c>
      <c r="C70" s="16" t="s">
        <v>131</v>
      </c>
      <c r="D70" s="16">
        <v>10</v>
      </c>
      <c r="E70" s="17">
        <v>0.1</v>
      </c>
      <c r="F70" s="47"/>
      <c r="G70" s="47"/>
      <c r="I70" s="26">
        <v>8214</v>
      </c>
      <c r="J70" s="26" t="s">
        <v>127</v>
      </c>
      <c r="K70" s="26">
        <v>5</v>
      </c>
      <c r="L70" s="29">
        <v>0.2</v>
      </c>
      <c r="M70">
        <f t="shared" si="0"/>
        <v>0.2</v>
      </c>
      <c r="P70" s="16" t="s">
        <v>137</v>
      </c>
    </row>
    <row r="71" spans="2:16" ht="138.6" thickBot="1" x14ac:dyDescent="0.35">
      <c r="B71" s="16" t="s">
        <v>132</v>
      </c>
      <c r="C71" s="16" t="s">
        <v>133</v>
      </c>
      <c r="D71" s="18" t="s">
        <v>46</v>
      </c>
      <c r="E71" s="19" t="s">
        <v>46</v>
      </c>
      <c r="F71" s="48"/>
      <c r="G71" s="48"/>
      <c r="I71" s="26" t="s">
        <v>128</v>
      </c>
      <c r="J71" s="26" t="s">
        <v>129</v>
      </c>
      <c r="K71" s="30" t="s">
        <v>46</v>
      </c>
      <c r="L71" s="31" t="s">
        <v>46</v>
      </c>
      <c r="M71" t="str">
        <f t="shared" ref="M71:M134" si="1">VLOOKUP(J71,C:E,3,0)</f>
        <v> </v>
      </c>
      <c r="P71" s="16" t="s">
        <v>138</v>
      </c>
    </row>
    <row r="72" spans="2:16" ht="58.8" thickBot="1" x14ac:dyDescent="0.35">
      <c r="B72" s="16">
        <v>8401</v>
      </c>
      <c r="C72" s="16" t="s">
        <v>134</v>
      </c>
      <c r="D72" s="16">
        <v>10</v>
      </c>
      <c r="E72" s="17">
        <v>0.1</v>
      </c>
      <c r="F72" s="47"/>
      <c r="G72" s="47"/>
      <c r="I72" s="26">
        <v>8303</v>
      </c>
      <c r="J72" s="26" t="s">
        <v>130</v>
      </c>
      <c r="K72" s="26">
        <v>10</v>
      </c>
      <c r="L72" s="29">
        <v>0.1</v>
      </c>
      <c r="M72">
        <f t="shared" si="1"/>
        <v>0.1</v>
      </c>
      <c r="P72" s="16" t="s">
        <v>139</v>
      </c>
    </row>
    <row r="73" spans="2:16" ht="93" thickBot="1" x14ac:dyDescent="0.35">
      <c r="B73" s="16">
        <v>8402</v>
      </c>
      <c r="C73" s="16" t="s">
        <v>135</v>
      </c>
      <c r="D73" s="16">
        <v>10</v>
      </c>
      <c r="E73" s="17">
        <v>0.1</v>
      </c>
      <c r="F73" s="47"/>
      <c r="G73" s="47"/>
      <c r="I73" s="26">
        <v>8304</v>
      </c>
      <c r="J73" s="26" t="s">
        <v>131</v>
      </c>
      <c r="K73" s="26">
        <v>10</v>
      </c>
      <c r="L73" s="29">
        <v>0.1</v>
      </c>
      <c r="M73">
        <f t="shared" si="1"/>
        <v>0.1</v>
      </c>
      <c r="P73" s="16" t="s">
        <v>140</v>
      </c>
    </row>
    <row r="74" spans="2:16" ht="58.8" thickBot="1" x14ac:dyDescent="0.35">
      <c r="B74" s="16">
        <v>8403</v>
      </c>
      <c r="C74" s="16" t="s">
        <v>136</v>
      </c>
      <c r="D74" s="16">
        <v>10</v>
      </c>
      <c r="E74" s="17">
        <v>0.1</v>
      </c>
      <c r="F74" s="47"/>
      <c r="G74" s="47"/>
      <c r="I74" s="26" t="s">
        <v>132</v>
      </c>
      <c r="J74" s="26" t="s">
        <v>133</v>
      </c>
      <c r="K74" s="30" t="s">
        <v>46</v>
      </c>
      <c r="L74" s="31" t="s">
        <v>46</v>
      </c>
      <c r="M74" t="str">
        <f t="shared" si="1"/>
        <v> </v>
      </c>
      <c r="P74" s="16" t="s">
        <v>141</v>
      </c>
    </row>
    <row r="75" spans="2:16" ht="93" thickBot="1" x14ac:dyDescent="0.35">
      <c r="B75" s="16">
        <v>8404</v>
      </c>
      <c r="C75" s="16" t="s">
        <v>137</v>
      </c>
      <c r="D75" s="16">
        <v>10</v>
      </c>
      <c r="E75" s="17">
        <v>0.1</v>
      </c>
      <c r="F75" s="47"/>
      <c r="G75" s="47"/>
      <c r="I75" s="26">
        <v>8401</v>
      </c>
      <c r="J75" s="26" t="s">
        <v>134</v>
      </c>
      <c r="K75" s="26">
        <v>10</v>
      </c>
      <c r="L75" s="29">
        <v>0.1</v>
      </c>
      <c r="M75">
        <f t="shared" si="1"/>
        <v>0.1</v>
      </c>
      <c r="P75" s="16" t="s">
        <v>142</v>
      </c>
    </row>
    <row r="76" spans="2:16" ht="81.599999999999994" thickBot="1" x14ac:dyDescent="0.35">
      <c r="B76" s="16">
        <v>8405</v>
      </c>
      <c r="C76" s="16" t="s">
        <v>138</v>
      </c>
      <c r="D76" s="16">
        <v>10</v>
      </c>
      <c r="E76" s="17">
        <v>0.1</v>
      </c>
      <c r="F76" s="47"/>
      <c r="G76" s="47"/>
      <c r="I76" s="26">
        <v>8402</v>
      </c>
      <c r="J76" s="26" t="s">
        <v>135</v>
      </c>
      <c r="K76" s="26">
        <v>10</v>
      </c>
      <c r="L76" s="29">
        <v>0.1</v>
      </c>
      <c r="M76">
        <f t="shared" si="1"/>
        <v>0.1</v>
      </c>
      <c r="P76" s="16" t="s">
        <v>143</v>
      </c>
    </row>
    <row r="77" spans="2:16" ht="24.6" thickBot="1" x14ac:dyDescent="0.35">
      <c r="B77" s="16">
        <v>8406</v>
      </c>
      <c r="C77" s="16" t="s">
        <v>139</v>
      </c>
      <c r="D77" s="16">
        <v>10</v>
      </c>
      <c r="E77" s="17">
        <v>0.1</v>
      </c>
      <c r="F77" s="47"/>
      <c r="G77" s="47"/>
      <c r="I77" s="26">
        <v>8403</v>
      </c>
      <c r="J77" s="26" t="s">
        <v>136</v>
      </c>
      <c r="K77" s="26">
        <v>10</v>
      </c>
      <c r="L77" s="29">
        <v>0.1</v>
      </c>
      <c r="M77">
        <f t="shared" si="1"/>
        <v>0.1</v>
      </c>
      <c r="P77" s="16" t="s">
        <v>144</v>
      </c>
    </row>
    <row r="78" spans="2:16" ht="93" thickBot="1" x14ac:dyDescent="0.35">
      <c r="B78" s="16">
        <v>8407</v>
      </c>
      <c r="C78" s="16" t="s">
        <v>140</v>
      </c>
      <c r="D78" s="16">
        <v>10</v>
      </c>
      <c r="E78" s="17">
        <v>0.1</v>
      </c>
      <c r="F78" s="47"/>
      <c r="G78" s="47"/>
      <c r="I78" s="26">
        <v>8404</v>
      </c>
      <c r="J78" s="26" t="s">
        <v>137</v>
      </c>
      <c r="K78" s="26">
        <v>10</v>
      </c>
      <c r="L78" s="29">
        <v>0.1</v>
      </c>
      <c r="M78">
        <f t="shared" si="1"/>
        <v>0.1</v>
      </c>
      <c r="P78" s="16" t="s">
        <v>145</v>
      </c>
    </row>
    <row r="79" spans="2:16" ht="150" thickBot="1" x14ac:dyDescent="0.35">
      <c r="B79" s="16">
        <v>8408</v>
      </c>
      <c r="C79" s="16" t="s">
        <v>141</v>
      </c>
      <c r="D79" s="16">
        <v>10</v>
      </c>
      <c r="E79" s="17">
        <v>0.1</v>
      </c>
      <c r="F79" s="47"/>
      <c r="G79" s="47"/>
      <c r="I79" s="26">
        <v>8405</v>
      </c>
      <c r="J79" s="26" t="s">
        <v>138</v>
      </c>
      <c r="K79" s="26">
        <v>10</v>
      </c>
      <c r="L79" s="29">
        <v>0.1</v>
      </c>
      <c r="M79">
        <f t="shared" si="1"/>
        <v>0.1</v>
      </c>
      <c r="P79" s="16" t="s">
        <v>146</v>
      </c>
    </row>
    <row r="80" spans="2:16" ht="184.2" thickBot="1" x14ac:dyDescent="0.35">
      <c r="B80" s="16">
        <v>8410</v>
      </c>
      <c r="C80" s="16" t="s">
        <v>142</v>
      </c>
      <c r="D80" s="16">
        <v>10</v>
      </c>
      <c r="E80" s="17">
        <v>0.1</v>
      </c>
      <c r="F80" s="47"/>
      <c r="G80" s="47"/>
      <c r="I80" s="26">
        <v>8406</v>
      </c>
      <c r="J80" s="26" t="s">
        <v>139</v>
      </c>
      <c r="K80" s="26">
        <v>10</v>
      </c>
      <c r="L80" s="29">
        <v>0.1</v>
      </c>
      <c r="M80">
        <f t="shared" si="1"/>
        <v>0.1</v>
      </c>
      <c r="P80" s="16" t="s">
        <v>147</v>
      </c>
    </row>
    <row r="81" spans="2:16" ht="218.4" thickBot="1" x14ac:dyDescent="0.35">
      <c r="B81" s="16">
        <v>8411</v>
      </c>
      <c r="C81" s="16" t="s">
        <v>143</v>
      </c>
      <c r="D81" s="16">
        <v>10</v>
      </c>
      <c r="E81" s="17">
        <v>0.1</v>
      </c>
      <c r="F81" s="47"/>
      <c r="G81" s="47"/>
      <c r="I81" s="26">
        <v>8407</v>
      </c>
      <c r="J81" s="26" t="s">
        <v>140</v>
      </c>
      <c r="K81" s="26">
        <v>10</v>
      </c>
      <c r="L81" s="29">
        <v>0.1</v>
      </c>
      <c r="M81">
        <f t="shared" si="1"/>
        <v>0.1</v>
      </c>
      <c r="P81" s="16" t="s">
        <v>148</v>
      </c>
    </row>
    <row r="82" spans="2:16" ht="81.599999999999994" thickBot="1" x14ac:dyDescent="0.35">
      <c r="B82" s="16">
        <v>8412</v>
      </c>
      <c r="C82" s="16" t="s">
        <v>144</v>
      </c>
      <c r="D82" s="16">
        <v>10</v>
      </c>
      <c r="E82" s="17">
        <v>0.1</v>
      </c>
      <c r="F82" s="47"/>
      <c r="G82" s="47"/>
      <c r="I82" s="26">
        <v>8408</v>
      </c>
      <c r="J82" s="26" t="s">
        <v>141</v>
      </c>
      <c r="K82" s="26">
        <v>10</v>
      </c>
      <c r="L82" s="29">
        <v>0.1</v>
      </c>
      <c r="M82">
        <f t="shared" si="1"/>
        <v>0.1</v>
      </c>
      <c r="P82" s="16" t="s">
        <v>149</v>
      </c>
    </row>
    <row r="83" spans="2:16" ht="172.8" thickBot="1" x14ac:dyDescent="0.35">
      <c r="B83" s="16">
        <v>8413</v>
      </c>
      <c r="C83" s="16" t="s">
        <v>145</v>
      </c>
      <c r="D83" s="16">
        <v>10</v>
      </c>
      <c r="E83" s="17">
        <v>0.1</v>
      </c>
      <c r="F83" s="47"/>
      <c r="G83" s="47"/>
      <c r="I83" s="26">
        <v>8410</v>
      </c>
      <c r="J83" s="26" t="s">
        <v>142</v>
      </c>
      <c r="K83" s="26">
        <v>10</v>
      </c>
      <c r="L83" s="29">
        <v>0.1</v>
      </c>
      <c r="M83">
        <f t="shared" si="1"/>
        <v>0.1</v>
      </c>
      <c r="P83" s="16" t="s">
        <v>150</v>
      </c>
    </row>
    <row r="84" spans="2:16" ht="366.6" thickBot="1" x14ac:dyDescent="0.35">
      <c r="B84" s="16">
        <v>8414</v>
      </c>
      <c r="C84" s="16" t="s">
        <v>146</v>
      </c>
      <c r="D84" s="16">
        <v>10</v>
      </c>
      <c r="E84" s="17">
        <v>0.1</v>
      </c>
      <c r="F84" s="47"/>
      <c r="G84" s="47"/>
      <c r="I84" s="26">
        <v>8411</v>
      </c>
      <c r="J84" s="26" t="s">
        <v>143</v>
      </c>
      <c r="K84" s="26">
        <v>10</v>
      </c>
      <c r="L84" s="29">
        <v>0.1</v>
      </c>
      <c r="M84">
        <f t="shared" si="1"/>
        <v>0.1</v>
      </c>
      <c r="P84" s="16" t="s">
        <v>151</v>
      </c>
    </row>
    <row r="85" spans="2:16" ht="93" thickBot="1" x14ac:dyDescent="0.35">
      <c r="B85" s="16">
        <v>8415</v>
      </c>
      <c r="C85" s="16" t="s">
        <v>147</v>
      </c>
      <c r="D85" s="16">
        <v>10</v>
      </c>
      <c r="E85" s="17">
        <v>0.1</v>
      </c>
      <c r="F85" s="47"/>
      <c r="G85" s="47"/>
      <c r="I85" s="26">
        <v>8412</v>
      </c>
      <c r="J85" s="26" t="s">
        <v>144</v>
      </c>
      <c r="K85" s="26">
        <v>10</v>
      </c>
      <c r="L85" s="29">
        <v>0.1</v>
      </c>
      <c r="M85">
        <f t="shared" si="1"/>
        <v>0.1</v>
      </c>
      <c r="P85" s="16" t="s">
        <v>152</v>
      </c>
    </row>
    <row r="86" spans="2:16" ht="93" thickBot="1" x14ac:dyDescent="0.35">
      <c r="B86" s="16">
        <v>8416</v>
      </c>
      <c r="C86" s="16" t="s">
        <v>148</v>
      </c>
      <c r="D86" s="16">
        <v>10</v>
      </c>
      <c r="E86" s="17">
        <v>0.1</v>
      </c>
      <c r="F86" s="47"/>
      <c r="G86" s="47"/>
      <c r="I86" s="26">
        <v>8413</v>
      </c>
      <c r="J86" s="26" t="s">
        <v>145</v>
      </c>
      <c r="K86" s="26">
        <v>10</v>
      </c>
      <c r="L86" s="29">
        <v>0.1</v>
      </c>
      <c r="M86">
        <f t="shared" si="1"/>
        <v>0.1</v>
      </c>
      <c r="P86" s="16" t="s">
        <v>153</v>
      </c>
    </row>
    <row r="87" spans="2:16" ht="389.4" thickBot="1" x14ac:dyDescent="0.35">
      <c r="B87" s="16">
        <v>8417</v>
      </c>
      <c r="C87" s="16" t="s">
        <v>149</v>
      </c>
      <c r="D87" s="16">
        <v>10</v>
      </c>
      <c r="E87" s="17">
        <v>0.1</v>
      </c>
      <c r="F87" s="47"/>
      <c r="G87" s="47"/>
      <c r="I87" s="26">
        <v>8414</v>
      </c>
      <c r="J87" s="26" t="s">
        <v>146</v>
      </c>
      <c r="K87" s="26">
        <v>10</v>
      </c>
      <c r="L87" s="29">
        <v>0.1</v>
      </c>
      <c r="M87">
        <f t="shared" si="1"/>
        <v>0.1</v>
      </c>
      <c r="P87" s="16" t="s">
        <v>154</v>
      </c>
    </row>
    <row r="88" spans="2:16" ht="172.8" thickBot="1" x14ac:dyDescent="0.35">
      <c r="B88" s="16">
        <v>8418</v>
      </c>
      <c r="C88" s="16" t="s">
        <v>150</v>
      </c>
      <c r="D88" s="16">
        <v>10</v>
      </c>
      <c r="E88" s="17">
        <v>0.1</v>
      </c>
      <c r="F88" s="47"/>
      <c r="G88" s="47"/>
      <c r="I88" s="26">
        <v>8415</v>
      </c>
      <c r="J88" s="26" t="s">
        <v>147</v>
      </c>
      <c r="K88" s="26">
        <v>10</v>
      </c>
      <c r="L88" s="29">
        <v>0.1</v>
      </c>
      <c r="M88">
        <f t="shared" si="1"/>
        <v>0.1</v>
      </c>
      <c r="P88" s="16" t="s">
        <v>155</v>
      </c>
    </row>
    <row r="89" spans="2:16" ht="218.4" thickBot="1" x14ac:dyDescent="0.35">
      <c r="B89" s="16">
        <v>8419</v>
      </c>
      <c r="C89" s="16" t="s">
        <v>151</v>
      </c>
      <c r="D89" s="16">
        <v>10</v>
      </c>
      <c r="E89" s="17">
        <v>0.1</v>
      </c>
      <c r="F89" s="47"/>
      <c r="G89" s="47"/>
      <c r="I89" s="26">
        <v>8416</v>
      </c>
      <c r="J89" s="26" t="s">
        <v>148</v>
      </c>
      <c r="K89" s="26">
        <v>10</v>
      </c>
      <c r="L89" s="29">
        <v>0.1</v>
      </c>
      <c r="M89">
        <f t="shared" si="1"/>
        <v>0.1</v>
      </c>
      <c r="P89" s="16" t="s">
        <v>156</v>
      </c>
    </row>
    <row r="90" spans="2:16" ht="58.8" thickBot="1" x14ac:dyDescent="0.35">
      <c r="B90" s="16">
        <v>8420</v>
      </c>
      <c r="C90" s="16" t="s">
        <v>152</v>
      </c>
      <c r="D90" s="16">
        <v>10</v>
      </c>
      <c r="E90" s="17">
        <v>0.1</v>
      </c>
      <c r="F90" s="47"/>
      <c r="G90" s="47"/>
      <c r="I90" s="26">
        <v>8417</v>
      </c>
      <c r="J90" s="26" t="s">
        <v>149</v>
      </c>
      <c r="K90" s="26">
        <v>10</v>
      </c>
      <c r="L90" s="29">
        <v>0.1</v>
      </c>
      <c r="M90">
        <f t="shared" si="1"/>
        <v>0.1</v>
      </c>
      <c r="P90" s="16" t="s">
        <v>157</v>
      </c>
    </row>
    <row r="91" spans="2:16" ht="150" thickBot="1" x14ac:dyDescent="0.35">
      <c r="B91" s="16">
        <v>8421</v>
      </c>
      <c r="C91" s="16" t="s">
        <v>153</v>
      </c>
      <c r="D91" s="16">
        <v>10</v>
      </c>
      <c r="E91" s="17">
        <v>0.1</v>
      </c>
      <c r="F91" s="47"/>
      <c r="G91" s="47"/>
      <c r="I91" s="26">
        <v>8418</v>
      </c>
      <c r="J91" s="26" t="s">
        <v>150</v>
      </c>
      <c r="K91" s="26">
        <v>10</v>
      </c>
      <c r="L91" s="29">
        <v>0.1</v>
      </c>
      <c r="M91">
        <f t="shared" si="1"/>
        <v>0.1</v>
      </c>
      <c r="P91" s="16" t="s">
        <v>158</v>
      </c>
    </row>
    <row r="92" spans="2:16" ht="172.8" thickBot="1" x14ac:dyDescent="0.35">
      <c r="B92" s="16">
        <v>8422</v>
      </c>
      <c r="C92" s="16" t="s">
        <v>154</v>
      </c>
      <c r="D92" s="16">
        <v>10</v>
      </c>
      <c r="E92" s="17">
        <v>0.1</v>
      </c>
      <c r="F92" s="47"/>
      <c r="G92" s="47"/>
      <c r="I92" s="26">
        <v>8419</v>
      </c>
      <c r="J92" s="26" t="s">
        <v>151</v>
      </c>
      <c r="K92" s="26">
        <v>10</v>
      </c>
      <c r="L92" s="29">
        <v>0.1</v>
      </c>
      <c r="M92" t="e">
        <f t="shared" si="1"/>
        <v>#VALUE!</v>
      </c>
      <c r="P92" s="16" t="s">
        <v>159</v>
      </c>
    </row>
    <row r="93" spans="2:16" ht="138.6" thickBot="1" x14ac:dyDescent="0.35">
      <c r="B93" s="16">
        <v>8423</v>
      </c>
      <c r="C93" s="16" t="s">
        <v>155</v>
      </c>
      <c r="D93" s="16">
        <v>10</v>
      </c>
      <c r="E93" s="17">
        <v>0.1</v>
      </c>
      <c r="F93" s="47"/>
      <c r="G93" s="47"/>
      <c r="I93" s="26">
        <v>8420</v>
      </c>
      <c r="J93" s="26" t="s">
        <v>152</v>
      </c>
      <c r="K93" s="26">
        <v>10</v>
      </c>
      <c r="L93" s="29">
        <v>0.1</v>
      </c>
      <c r="M93">
        <f t="shared" si="1"/>
        <v>0.1</v>
      </c>
      <c r="P93" s="16" t="s">
        <v>160</v>
      </c>
    </row>
    <row r="94" spans="2:16" ht="184.2" thickBot="1" x14ac:dyDescent="0.35">
      <c r="B94" s="16">
        <v>8424</v>
      </c>
      <c r="C94" s="16" t="s">
        <v>156</v>
      </c>
      <c r="D94" s="16">
        <v>10</v>
      </c>
      <c r="E94" s="17">
        <v>0.1</v>
      </c>
      <c r="F94" s="47"/>
      <c r="G94" s="47"/>
      <c r="I94" s="26">
        <v>8421</v>
      </c>
      <c r="J94" s="26" t="s">
        <v>153</v>
      </c>
      <c r="K94" s="26">
        <v>10</v>
      </c>
      <c r="L94" s="29">
        <v>0.1</v>
      </c>
      <c r="M94">
        <f t="shared" si="1"/>
        <v>0.1</v>
      </c>
      <c r="P94" s="16" t="s">
        <v>161</v>
      </c>
    </row>
    <row r="95" spans="2:16" ht="172.8" thickBot="1" x14ac:dyDescent="0.35">
      <c r="B95" s="16">
        <v>8425</v>
      </c>
      <c r="C95" s="16" t="s">
        <v>157</v>
      </c>
      <c r="D95" s="16">
        <v>10</v>
      </c>
      <c r="E95" s="17">
        <v>0.1</v>
      </c>
      <c r="F95" s="47"/>
      <c r="G95" s="47"/>
      <c r="I95" s="26">
        <v>8422</v>
      </c>
      <c r="J95" s="26" t="s">
        <v>154</v>
      </c>
      <c r="K95" s="26">
        <v>10</v>
      </c>
      <c r="L95" s="29">
        <v>0.1</v>
      </c>
      <c r="M95" t="e">
        <f t="shared" si="1"/>
        <v>#VALUE!</v>
      </c>
      <c r="P95" s="16" t="s">
        <v>162</v>
      </c>
    </row>
    <row r="96" spans="2:16" ht="150" thickBot="1" x14ac:dyDescent="0.35">
      <c r="B96" s="16">
        <v>8426</v>
      </c>
      <c r="C96" s="16" t="s">
        <v>158</v>
      </c>
      <c r="D96" s="16">
        <v>10</v>
      </c>
      <c r="E96" s="17">
        <v>0.1</v>
      </c>
      <c r="F96" s="47"/>
      <c r="G96" s="47"/>
      <c r="I96" s="26">
        <v>8423</v>
      </c>
      <c r="J96" s="26" t="s">
        <v>155</v>
      </c>
      <c r="K96" s="26">
        <v>10</v>
      </c>
      <c r="L96" s="29">
        <v>0.1</v>
      </c>
      <c r="M96">
        <f t="shared" si="1"/>
        <v>0.1</v>
      </c>
      <c r="P96" s="16" t="s">
        <v>163</v>
      </c>
    </row>
    <row r="97" spans="2:16" ht="229.8" thickBot="1" x14ac:dyDescent="0.35">
      <c r="B97" s="16">
        <v>8427</v>
      </c>
      <c r="C97" s="16" t="s">
        <v>159</v>
      </c>
      <c r="D97" s="16">
        <v>10</v>
      </c>
      <c r="E97" s="17">
        <v>0.1</v>
      </c>
      <c r="F97" s="47"/>
      <c r="G97" s="47"/>
      <c r="I97" s="26">
        <v>8424</v>
      </c>
      <c r="J97" s="26" t="s">
        <v>156</v>
      </c>
      <c r="K97" s="26">
        <v>10</v>
      </c>
      <c r="L97" s="29">
        <v>0.1</v>
      </c>
      <c r="M97" t="e">
        <f t="shared" si="1"/>
        <v>#VALUE!</v>
      </c>
      <c r="P97" s="16" t="s">
        <v>164</v>
      </c>
    </row>
    <row r="98" spans="2:16" ht="70.2" thickBot="1" x14ac:dyDescent="0.35">
      <c r="B98" s="16">
        <v>8428</v>
      </c>
      <c r="C98" s="16" t="s">
        <v>160</v>
      </c>
      <c r="D98" s="16">
        <v>10</v>
      </c>
      <c r="E98" s="17">
        <v>0.1</v>
      </c>
      <c r="F98" s="47"/>
      <c r="G98" s="47"/>
      <c r="I98" s="26">
        <v>8425</v>
      </c>
      <c r="J98" s="26" t="s">
        <v>157</v>
      </c>
      <c r="K98" s="26">
        <v>10</v>
      </c>
      <c r="L98" s="29">
        <v>0.1</v>
      </c>
      <c r="M98">
        <f t="shared" si="1"/>
        <v>0.1</v>
      </c>
      <c r="P98" s="16" t="s">
        <v>165</v>
      </c>
    </row>
    <row r="99" spans="2:16" ht="115.8" thickBot="1" x14ac:dyDescent="0.35">
      <c r="B99" s="16">
        <v>8429</v>
      </c>
      <c r="C99" s="16" t="s">
        <v>161</v>
      </c>
      <c r="D99" s="16">
        <v>4</v>
      </c>
      <c r="E99" s="17">
        <v>0.25</v>
      </c>
      <c r="F99" s="47"/>
      <c r="G99" s="47"/>
      <c r="I99" s="26">
        <v>8426</v>
      </c>
      <c r="J99" s="26" t="s">
        <v>158</v>
      </c>
      <c r="K99" s="26">
        <v>10</v>
      </c>
      <c r="L99" s="29">
        <v>0.1</v>
      </c>
      <c r="M99">
        <f t="shared" si="1"/>
        <v>0.1</v>
      </c>
      <c r="P99" s="16" t="s">
        <v>166</v>
      </c>
    </row>
    <row r="100" spans="2:16" ht="184.2" thickBot="1" x14ac:dyDescent="0.35">
      <c r="B100" s="16">
        <v>8430</v>
      </c>
      <c r="C100" s="16" t="s">
        <v>162</v>
      </c>
      <c r="D100" s="16">
        <v>10</v>
      </c>
      <c r="E100" s="17">
        <v>0.1</v>
      </c>
      <c r="F100" s="47"/>
      <c r="G100" s="47"/>
      <c r="I100" s="26">
        <v>8427</v>
      </c>
      <c r="J100" s="26" t="s">
        <v>159</v>
      </c>
      <c r="K100" s="26">
        <v>10</v>
      </c>
      <c r="L100" s="29">
        <v>0.1</v>
      </c>
      <c r="M100">
        <f t="shared" si="1"/>
        <v>0.1</v>
      </c>
      <c r="P100" s="16" t="s">
        <v>167</v>
      </c>
    </row>
    <row r="101" spans="2:16" ht="195.6" thickBot="1" x14ac:dyDescent="0.35">
      <c r="B101" s="16">
        <v>8432</v>
      </c>
      <c r="C101" s="16" t="s">
        <v>163</v>
      </c>
      <c r="D101" s="16">
        <v>10</v>
      </c>
      <c r="E101" s="17">
        <v>0.1</v>
      </c>
      <c r="F101" s="47"/>
      <c r="G101" s="47"/>
      <c r="I101" s="26">
        <v>8428</v>
      </c>
      <c r="J101" s="26" t="s">
        <v>160</v>
      </c>
      <c r="K101" s="26">
        <v>10</v>
      </c>
      <c r="L101" s="29">
        <v>0.1</v>
      </c>
      <c r="M101">
        <f t="shared" si="1"/>
        <v>0.1</v>
      </c>
      <c r="P101" s="16" t="s">
        <v>168</v>
      </c>
    </row>
    <row r="102" spans="2:16" ht="241.2" thickBot="1" x14ac:dyDescent="0.35">
      <c r="B102" s="16">
        <v>8433</v>
      </c>
      <c r="C102" s="16" t="s">
        <v>164</v>
      </c>
      <c r="D102" s="16">
        <v>10</v>
      </c>
      <c r="E102" s="17">
        <v>0.1</v>
      </c>
      <c r="F102" s="47"/>
      <c r="G102" s="47"/>
      <c r="I102" s="26">
        <v>8429</v>
      </c>
      <c r="J102" s="26" t="s">
        <v>161</v>
      </c>
      <c r="K102" s="26">
        <v>4</v>
      </c>
      <c r="L102" s="29">
        <v>0.25</v>
      </c>
      <c r="M102">
        <f t="shared" si="1"/>
        <v>0.25</v>
      </c>
      <c r="P102" s="16" t="s">
        <v>169</v>
      </c>
    </row>
    <row r="103" spans="2:16" ht="104.4" thickBot="1" x14ac:dyDescent="0.35">
      <c r="B103" s="16">
        <v>8434</v>
      </c>
      <c r="C103" s="16" t="s">
        <v>165</v>
      </c>
      <c r="D103" s="16">
        <v>10</v>
      </c>
      <c r="E103" s="17">
        <v>0.1</v>
      </c>
      <c r="F103" s="47"/>
      <c r="G103" s="47"/>
      <c r="I103" s="26">
        <v>8430</v>
      </c>
      <c r="J103" s="26" t="s">
        <v>162</v>
      </c>
      <c r="K103" s="26">
        <v>10</v>
      </c>
      <c r="L103" s="29">
        <v>0.1</v>
      </c>
      <c r="M103">
        <f t="shared" si="1"/>
        <v>0.1</v>
      </c>
      <c r="P103" s="16" t="s">
        <v>170</v>
      </c>
    </row>
    <row r="104" spans="2:16" ht="93" thickBot="1" x14ac:dyDescent="0.35">
      <c r="B104" s="16">
        <v>8435</v>
      </c>
      <c r="C104" s="16" t="s">
        <v>166</v>
      </c>
      <c r="D104" s="16">
        <v>10</v>
      </c>
      <c r="E104" s="17">
        <v>0.1</v>
      </c>
      <c r="F104" s="47"/>
      <c r="G104" s="47"/>
      <c r="I104" s="26">
        <v>8432</v>
      </c>
      <c r="J104" s="26" t="s">
        <v>163</v>
      </c>
      <c r="K104" s="26">
        <v>10</v>
      </c>
      <c r="L104" s="29">
        <v>0.1</v>
      </c>
      <c r="M104">
        <f t="shared" si="1"/>
        <v>0.1</v>
      </c>
      <c r="P104" s="16" t="s">
        <v>171</v>
      </c>
    </row>
    <row r="105" spans="2:16" ht="93" thickBot="1" x14ac:dyDescent="0.35">
      <c r="B105" s="16">
        <v>8436</v>
      </c>
      <c r="C105" s="16" t="s">
        <v>167</v>
      </c>
      <c r="D105" s="16">
        <v>10</v>
      </c>
      <c r="E105" s="17">
        <v>0.1</v>
      </c>
      <c r="F105" s="47"/>
      <c r="G105" s="47"/>
      <c r="I105" s="26">
        <v>8433</v>
      </c>
      <c r="J105" s="26" t="s">
        <v>164</v>
      </c>
      <c r="K105" s="26">
        <v>10</v>
      </c>
      <c r="L105" s="29">
        <v>0.1</v>
      </c>
      <c r="M105" t="e">
        <f t="shared" si="1"/>
        <v>#VALUE!</v>
      </c>
      <c r="P105" s="16" t="s">
        <v>172</v>
      </c>
    </row>
    <row r="106" spans="2:16" ht="378" thickBot="1" x14ac:dyDescent="0.35">
      <c r="B106" s="16">
        <v>8437</v>
      </c>
      <c r="C106" s="16" t="s">
        <v>168</v>
      </c>
      <c r="D106" s="16">
        <v>10</v>
      </c>
      <c r="E106" s="17">
        <v>0.1</v>
      </c>
      <c r="F106" s="47"/>
      <c r="G106" s="47"/>
      <c r="I106" s="26">
        <v>8434</v>
      </c>
      <c r="J106" s="26" t="s">
        <v>165</v>
      </c>
      <c r="K106" s="26">
        <v>10</v>
      </c>
      <c r="L106" s="29">
        <v>0.1</v>
      </c>
      <c r="M106">
        <f t="shared" si="1"/>
        <v>0.1</v>
      </c>
      <c r="P106" s="16" t="s">
        <v>173</v>
      </c>
    </row>
    <row r="107" spans="2:16" ht="127.2" thickBot="1" x14ac:dyDescent="0.35">
      <c r="B107" s="16">
        <v>8438</v>
      </c>
      <c r="C107" s="16" t="s">
        <v>169</v>
      </c>
      <c r="D107" s="16">
        <v>10</v>
      </c>
      <c r="E107" s="17">
        <v>0.1</v>
      </c>
      <c r="F107" s="47"/>
      <c r="G107" s="47"/>
      <c r="I107" s="26">
        <v>8435</v>
      </c>
      <c r="J107" s="26" t="s">
        <v>166</v>
      </c>
      <c r="K107" s="26">
        <v>10</v>
      </c>
      <c r="L107" s="29">
        <v>0.1</v>
      </c>
      <c r="M107">
        <f t="shared" si="1"/>
        <v>0.1</v>
      </c>
      <c r="P107" s="16" t="s">
        <v>174</v>
      </c>
    </row>
    <row r="108" spans="2:16" ht="93" thickBot="1" x14ac:dyDescent="0.35">
      <c r="B108" s="16">
        <v>8439</v>
      </c>
      <c r="C108" s="16" t="s">
        <v>170</v>
      </c>
      <c r="D108" s="16">
        <v>10</v>
      </c>
      <c r="E108" s="17">
        <v>0.1</v>
      </c>
      <c r="F108" s="47"/>
      <c r="G108" s="47"/>
      <c r="I108" s="26">
        <v>8436</v>
      </c>
      <c r="J108" s="26" t="s">
        <v>167</v>
      </c>
      <c r="K108" s="26">
        <v>10</v>
      </c>
      <c r="L108" s="29">
        <v>0.1</v>
      </c>
      <c r="M108">
        <f t="shared" si="1"/>
        <v>0.1</v>
      </c>
      <c r="P108" s="16" t="s">
        <v>175</v>
      </c>
    </row>
    <row r="109" spans="2:16" ht="275.39999999999998" thickBot="1" x14ac:dyDescent="0.35">
      <c r="B109" s="16">
        <v>8440</v>
      </c>
      <c r="C109" s="16" t="s">
        <v>171</v>
      </c>
      <c r="D109" s="16">
        <v>10</v>
      </c>
      <c r="E109" s="17">
        <v>0.1</v>
      </c>
      <c r="F109" s="47"/>
      <c r="G109" s="47"/>
      <c r="I109" s="26">
        <v>8437</v>
      </c>
      <c r="J109" s="26" t="s">
        <v>168</v>
      </c>
      <c r="K109" s="26">
        <v>10</v>
      </c>
      <c r="L109" s="29">
        <v>0.1</v>
      </c>
      <c r="M109">
        <f t="shared" si="1"/>
        <v>0.1</v>
      </c>
      <c r="P109" s="16" t="s">
        <v>176</v>
      </c>
    </row>
    <row r="110" spans="2:16" ht="115.8" thickBot="1" x14ac:dyDescent="0.35">
      <c r="B110" s="16">
        <v>8441</v>
      </c>
      <c r="C110" s="16" t="s">
        <v>172</v>
      </c>
      <c r="D110" s="16">
        <v>10</v>
      </c>
      <c r="E110" s="17">
        <v>0.1</v>
      </c>
      <c r="F110" s="47"/>
      <c r="G110" s="47"/>
      <c r="I110" s="26">
        <v>8438</v>
      </c>
      <c r="J110" s="26" t="s">
        <v>169</v>
      </c>
      <c r="K110" s="26">
        <v>10</v>
      </c>
      <c r="L110" s="29">
        <v>0.1</v>
      </c>
      <c r="M110" t="e">
        <f t="shared" si="1"/>
        <v>#VALUE!</v>
      </c>
      <c r="P110" s="16" t="s">
        <v>177</v>
      </c>
    </row>
    <row r="111" spans="2:16" ht="172.8" thickBot="1" x14ac:dyDescent="0.35">
      <c r="B111" s="16">
        <v>8442</v>
      </c>
      <c r="C111" s="16" t="s">
        <v>173</v>
      </c>
      <c r="D111" s="16">
        <v>10</v>
      </c>
      <c r="E111" s="17">
        <v>0.1</v>
      </c>
      <c r="F111" s="47"/>
      <c r="G111" s="47"/>
      <c r="I111" s="26">
        <v>8439</v>
      </c>
      <c r="J111" s="26" t="s">
        <v>170</v>
      </c>
      <c r="K111" s="26">
        <v>10</v>
      </c>
      <c r="L111" s="29">
        <v>0.1</v>
      </c>
      <c r="M111">
        <f t="shared" si="1"/>
        <v>0.1</v>
      </c>
      <c r="P111" s="16" t="s">
        <v>178</v>
      </c>
    </row>
    <row r="112" spans="2:16" ht="161.4" thickBot="1" x14ac:dyDescent="0.35">
      <c r="B112" s="16">
        <v>8443</v>
      </c>
      <c r="C112" s="16" t="s">
        <v>174</v>
      </c>
      <c r="D112" s="16">
        <v>10</v>
      </c>
      <c r="E112" s="17">
        <v>0.1</v>
      </c>
      <c r="F112" s="47"/>
      <c r="G112" s="47"/>
      <c r="I112" s="26">
        <v>8440</v>
      </c>
      <c r="J112" s="26" t="s">
        <v>171</v>
      </c>
      <c r="K112" s="26">
        <v>10</v>
      </c>
      <c r="L112" s="29">
        <v>0.1</v>
      </c>
      <c r="M112">
        <f t="shared" si="1"/>
        <v>0.1</v>
      </c>
      <c r="P112" s="16" t="s">
        <v>179</v>
      </c>
    </row>
    <row r="113" spans="2:16" ht="195.6" thickBot="1" x14ac:dyDescent="0.35">
      <c r="B113" s="16">
        <v>8444</v>
      </c>
      <c r="C113" s="16" t="s">
        <v>175</v>
      </c>
      <c r="D113" s="16">
        <v>10</v>
      </c>
      <c r="E113" s="17">
        <v>0.1</v>
      </c>
      <c r="F113" s="47"/>
      <c r="G113" s="47"/>
      <c r="I113" s="26">
        <v>8441</v>
      </c>
      <c r="J113" s="26" t="s">
        <v>172</v>
      </c>
      <c r="K113" s="26">
        <v>10</v>
      </c>
      <c r="L113" s="29">
        <v>0.1</v>
      </c>
      <c r="M113">
        <f t="shared" si="1"/>
        <v>0.1</v>
      </c>
      <c r="P113" s="16" t="s">
        <v>180</v>
      </c>
    </row>
    <row r="114" spans="2:16" ht="172.8" thickBot="1" x14ac:dyDescent="0.35">
      <c r="B114" s="16">
        <v>8445</v>
      </c>
      <c r="C114" s="16" t="s">
        <v>176</v>
      </c>
      <c r="D114" s="16">
        <v>10</v>
      </c>
      <c r="E114" s="17">
        <v>0.1</v>
      </c>
      <c r="F114" s="47"/>
      <c r="G114" s="47"/>
      <c r="I114" s="26">
        <v>8442</v>
      </c>
      <c r="J114" s="26" t="s">
        <v>173</v>
      </c>
      <c r="K114" s="26">
        <v>10</v>
      </c>
      <c r="L114" s="29">
        <v>0.1</v>
      </c>
      <c r="M114" t="e">
        <f t="shared" si="1"/>
        <v>#VALUE!</v>
      </c>
      <c r="P114" s="16" t="s">
        <v>181</v>
      </c>
    </row>
    <row r="115" spans="2:16" ht="378" thickBot="1" x14ac:dyDescent="0.35">
      <c r="B115" s="16">
        <v>8446</v>
      </c>
      <c r="C115" s="16" t="s">
        <v>177</v>
      </c>
      <c r="D115" s="16">
        <v>10</v>
      </c>
      <c r="E115" s="17">
        <v>0.1</v>
      </c>
      <c r="F115" s="47"/>
      <c r="G115" s="47"/>
      <c r="I115" s="26">
        <v>8443</v>
      </c>
      <c r="J115" s="26" t="s">
        <v>174</v>
      </c>
      <c r="K115" s="26">
        <v>10</v>
      </c>
      <c r="L115" s="29">
        <v>0.1</v>
      </c>
      <c r="M115">
        <f t="shared" si="1"/>
        <v>0.1</v>
      </c>
      <c r="P115" s="16" t="s">
        <v>182</v>
      </c>
    </row>
    <row r="116" spans="2:16" ht="127.2" thickBot="1" x14ac:dyDescent="0.35">
      <c r="B116" s="16">
        <v>8447</v>
      </c>
      <c r="C116" s="16" t="s">
        <v>178</v>
      </c>
      <c r="D116" s="16">
        <v>10</v>
      </c>
      <c r="E116" s="17">
        <v>0.1</v>
      </c>
      <c r="F116" s="47"/>
      <c r="G116" s="47"/>
      <c r="I116" s="26">
        <v>8444</v>
      </c>
      <c r="J116" s="26" t="s">
        <v>175</v>
      </c>
      <c r="K116" s="26">
        <v>10</v>
      </c>
      <c r="L116" s="29">
        <v>0.1</v>
      </c>
      <c r="M116">
        <f t="shared" si="1"/>
        <v>0.1</v>
      </c>
      <c r="P116" s="16" t="s">
        <v>183</v>
      </c>
    </row>
    <row r="117" spans="2:16" ht="138.6" thickBot="1" x14ac:dyDescent="0.35">
      <c r="B117" s="16">
        <v>8448</v>
      </c>
      <c r="C117" s="16" t="s">
        <v>179</v>
      </c>
      <c r="D117" s="16">
        <v>10</v>
      </c>
      <c r="E117" s="17">
        <v>0.1</v>
      </c>
      <c r="F117" s="47"/>
      <c r="G117" s="47"/>
      <c r="I117" s="26">
        <v>8445</v>
      </c>
      <c r="J117" s="26" t="s">
        <v>176</v>
      </c>
      <c r="K117" s="26">
        <v>10</v>
      </c>
      <c r="L117" s="29">
        <v>0.1</v>
      </c>
      <c r="M117" t="e">
        <f t="shared" si="1"/>
        <v>#VALUE!</v>
      </c>
      <c r="P117" s="16" t="s">
        <v>184</v>
      </c>
    </row>
    <row r="118" spans="2:16" ht="104.4" thickBot="1" x14ac:dyDescent="0.35">
      <c r="B118" s="16">
        <v>8449</v>
      </c>
      <c r="C118" s="16" t="s">
        <v>180</v>
      </c>
      <c r="D118" s="16">
        <v>10</v>
      </c>
      <c r="E118" s="17">
        <v>0.1</v>
      </c>
      <c r="F118" s="47"/>
      <c r="G118" s="47"/>
      <c r="I118" s="26">
        <v>8446</v>
      </c>
      <c r="J118" s="26" t="s">
        <v>177</v>
      </c>
      <c r="K118" s="26">
        <v>10</v>
      </c>
      <c r="L118" s="29">
        <v>0.1</v>
      </c>
      <c r="M118">
        <f t="shared" si="1"/>
        <v>0.1</v>
      </c>
      <c r="P118" s="16" t="s">
        <v>185</v>
      </c>
    </row>
    <row r="119" spans="2:16" ht="81.599999999999994" thickBot="1" x14ac:dyDescent="0.35">
      <c r="B119" s="16">
        <v>8450</v>
      </c>
      <c r="C119" s="16" t="s">
        <v>181</v>
      </c>
      <c r="D119" s="16">
        <v>10</v>
      </c>
      <c r="E119" s="17">
        <v>0.1</v>
      </c>
      <c r="F119" s="47"/>
      <c r="G119" s="47"/>
      <c r="I119" s="26">
        <v>8447</v>
      </c>
      <c r="J119" s="26" t="s">
        <v>178</v>
      </c>
      <c r="K119" s="26">
        <v>10</v>
      </c>
      <c r="L119" s="29">
        <v>0.1</v>
      </c>
      <c r="M119">
        <f t="shared" si="1"/>
        <v>0.1</v>
      </c>
      <c r="P119" s="16" t="s">
        <v>186</v>
      </c>
    </row>
    <row r="120" spans="2:16" ht="195.6" thickBot="1" x14ac:dyDescent="0.35">
      <c r="B120" s="16">
        <v>8451</v>
      </c>
      <c r="C120" s="16" t="s">
        <v>182</v>
      </c>
      <c r="D120" s="16">
        <v>10</v>
      </c>
      <c r="E120" s="17">
        <v>0.1</v>
      </c>
      <c r="F120" s="47"/>
      <c r="G120" s="47"/>
      <c r="I120" s="26">
        <v>8448</v>
      </c>
      <c r="J120" s="26" t="s">
        <v>179</v>
      </c>
      <c r="K120" s="26">
        <v>10</v>
      </c>
      <c r="L120" s="29">
        <v>0.1</v>
      </c>
      <c r="M120">
        <f t="shared" si="1"/>
        <v>0.1</v>
      </c>
      <c r="P120" s="16" t="s">
        <v>187</v>
      </c>
    </row>
    <row r="121" spans="2:16" ht="127.2" thickBot="1" x14ac:dyDescent="0.35">
      <c r="B121" s="16">
        <v>8452</v>
      </c>
      <c r="C121" s="16" t="s">
        <v>183</v>
      </c>
      <c r="D121" s="16">
        <v>10</v>
      </c>
      <c r="E121" s="17">
        <v>0.1</v>
      </c>
      <c r="F121" s="47"/>
      <c r="G121" s="47"/>
      <c r="I121" s="26">
        <v>8449</v>
      </c>
      <c r="J121" s="26" t="s">
        <v>180</v>
      </c>
      <c r="K121" s="26">
        <v>10</v>
      </c>
      <c r="L121" s="29">
        <v>0.1</v>
      </c>
      <c r="M121">
        <f t="shared" si="1"/>
        <v>0.1</v>
      </c>
      <c r="P121" s="16" t="s">
        <v>188</v>
      </c>
    </row>
    <row r="122" spans="2:16" ht="70.2" thickBot="1" x14ac:dyDescent="0.35">
      <c r="B122" s="16">
        <v>8453</v>
      </c>
      <c r="C122" s="16" t="s">
        <v>184</v>
      </c>
      <c r="D122" s="16">
        <v>10</v>
      </c>
      <c r="E122" s="17">
        <v>0.1</v>
      </c>
      <c r="F122" s="47"/>
      <c r="G122" s="47"/>
      <c r="I122" s="26">
        <v>8450</v>
      </c>
      <c r="J122" s="26" t="s">
        <v>181</v>
      </c>
      <c r="K122" s="26">
        <v>10</v>
      </c>
      <c r="L122" s="29">
        <v>0.1</v>
      </c>
      <c r="M122">
        <f t="shared" si="1"/>
        <v>0.1</v>
      </c>
      <c r="P122" s="16" t="s">
        <v>189</v>
      </c>
    </row>
    <row r="123" spans="2:16" ht="195.6" thickBot="1" x14ac:dyDescent="0.35">
      <c r="B123" s="16">
        <v>8454</v>
      </c>
      <c r="C123" s="16" t="s">
        <v>185</v>
      </c>
      <c r="D123" s="16">
        <v>10</v>
      </c>
      <c r="E123" s="17">
        <v>0.1</v>
      </c>
      <c r="F123" s="47"/>
      <c r="G123" s="47"/>
      <c r="I123" s="26">
        <v>8451</v>
      </c>
      <c r="J123" s="26" t="s">
        <v>182</v>
      </c>
      <c r="K123" s="26">
        <v>10</v>
      </c>
      <c r="L123" s="29">
        <v>0.1</v>
      </c>
      <c r="M123" t="e">
        <f t="shared" si="1"/>
        <v>#VALUE!</v>
      </c>
      <c r="P123" s="16" t="s">
        <v>190</v>
      </c>
    </row>
    <row r="124" spans="2:16" ht="207" thickBot="1" x14ac:dyDescent="0.35">
      <c r="B124" s="16">
        <v>8455</v>
      </c>
      <c r="C124" s="16" t="s">
        <v>186</v>
      </c>
      <c r="D124" s="16">
        <v>10</v>
      </c>
      <c r="E124" s="17">
        <v>0.1</v>
      </c>
      <c r="F124" s="47"/>
      <c r="G124" s="47"/>
      <c r="I124" s="26">
        <v>8452</v>
      </c>
      <c r="J124" s="26" t="s">
        <v>183</v>
      </c>
      <c r="K124" s="26">
        <v>10</v>
      </c>
      <c r="L124" s="29">
        <v>0.1</v>
      </c>
      <c r="M124">
        <f t="shared" si="1"/>
        <v>0.1</v>
      </c>
      <c r="P124" s="16" t="s">
        <v>191</v>
      </c>
    </row>
    <row r="125" spans="2:16" ht="241.2" thickBot="1" x14ac:dyDescent="0.35">
      <c r="B125" s="16">
        <v>8456</v>
      </c>
      <c r="C125" s="16" t="s">
        <v>187</v>
      </c>
      <c r="D125" s="16">
        <v>10</v>
      </c>
      <c r="E125" s="17">
        <v>0.1</v>
      </c>
      <c r="F125" s="47"/>
      <c r="G125" s="47"/>
      <c r="I125" s="26">
        <v>8453</v>
      </c>
      <c r="J125" s="26" t="s">
        <v>184</v>
      </c>
      <c r="K125" s="26">
        <v>10</v>
      </c>
      <c r="L125" s="29">
        <v>0.1</v>
      </c>
      <c r="M125">
        <f t="shared" si="1"/>
        <v>0.1</v>
      </c>
      <c r="P125" s="16" t="s">
        <v>192</v>
      </c>
    </row>
    <row r="126" spans="2:16" ht="286.8" thickBot="1" x14ac:dyDescent="0.35">
      <c r="B126" s="16">
        <v>8457</v>
      </c>
      <c r="C126" s="16" t="s">
        <v>188</v>
      </c>
      <c r="D126" s="16">
        <v>10</v>
      </c>
      <c r="E126" s="17">
        <v>0.1</v>
      </c>
      <c r="F126" s="47"/>
      <c r="G126" s="47"/>
      <c r="I126" s="26">
        <v>8454</v>
      </c>
      <c r="J126" s="26" t="s">
        <v>185</v>
      </c>
      <c r="K126" s="26">
        <v>10</v>
      </c>
      <c r="L126" s="29">
        <v>0.1</v>
      </c>
      <c r="M126">
        <f t="shared" si="1"/>
        <v>0.1</v>
      </c>
      <c r="P126" s="16" t="s">
        <v>193</v>
      </c>
    </row>
    <row r="127" spans="2:16" ht="93" thickBot="1" x14ac:dyDescent="0.35">
      <c r="B127" s="16">
        <v>8458</v>
      </c>
      <c r="C127" s="16" t="s">
        <v>189</v>
      </c>
      <c r="D127" s="16">
        <v>10</v>
      </c>
      <c r="E127" s="17">
        <v>0.1</v>
      </c>
      <c r="F127" s="47"/>
      <c r="G127" s="47"/>
      <c r="I127" s="26">
        <v>8455</v>
      </c>
      <c r="J127" s="26" t="s">
        <v>186</v>
      </c>
      <c r="K127" s="26">
        <v>10</v>
      </c>
      <c r="L127" s="29">
        <v>0.1</v>
      </c>
      <c r="M127">
        <f t="shared" si="1"/>
        <v>0.1</v>
      </c>
      <c r="P127" s="16" t="s">
        <v>194</v>
      </c>
    </row>
    <row r="128" spans="2:16" ht="127.2" thickBot="1" x14ac:dyDescent="0.35">
      <c r="B128" s="16">
        <v>8459</v>
      </c>
      <c r="C128" s="16" t="s">
        <v>190</v>
      </c>
      <c r="D128" s="16">
        <v>10</v>
      </c>
      <c r="E128" s="17">
        <v>0.1</v>
      </c>
      <c r="F128" s="47"/>
      <c r="G128" s="47"/>
      <c r="I128" s="26">
        <v>8456</v>
      </c>
      <c r="J128" s="26" t="s">
        <v>187</v>
      </c>
      <c r="K128" s="26">
        <v>10</v>
      </c>
      <c r="L128" s="29">
        <v>0.1</v>
      </c>
      <c r="M128">
        <f t="shared" si="1"/>
        <v>0.1</v>
      </c>
      <c r="P128" s="16" t="s">
        <v>195</v>
      </c>
    </row>
    <row r="129" spans="2:16" ht="172.8" thickBot="1" x14ac:dyDescent="0.35">
      <c r="B129" s="16">
        <v>8460</v>
      </c>
      <c r="C129" s="16" t="s">
        <v>191</v>
      </c>
      <c r="D129" s="16">
        <v>10</v>
      </c>
      <c r="E129" s="17">
        <v>0.1</v>
      </c>
      <c r="F129" s="47"/>
      <c r="G129" s="47"/>
      <c r="I129" s="26">
        <v>8457</v>
      </c>
      <c r="J129" s="26" t="s">
        <v>188</v>
      </c>
      <c r="K129" s="26">
        <v>10</v>
      </c>
      <c r="L129" s="29">
        <v>0.1</v>
      </c>
      <c r="M129">
        <f t="shared" si="1"/>
        <v>0.1</v>
      </c>
      <c r="P129" s="16" t="s">
        <v>196</v>
      </c>
    </row>
    <row r="130" spans="2:16" ht="115.8" thickBot="1" x14ac:dyDescent="0.35">
      <c r="B130" s="16">
        <v>8461</v>
      </c>
      <c r="C130" s="16" t="s">
        <v>192</v>
      </c>
      <c r="D130" s="16">
        <v>10</v>
      </c>
      <c r="E130" s="17">
        <v>0.1</v>
      </c>
      <c r="F130" s="47"/>
      <c r="G130" s="47"/>
      <c r="I130" s="26">
        <v>8458</v>
      </c>
      <c r="J130" s="26" t="s">
        <v>189</v>
      </c>
      <c r="K130" s="26">
        <v>10</v>
      </c>
      <c r="L130" s="29">
        <v>0.1</v>
      </c>
      <c r="M130">
        <f t="shared" si="1"/>
        <v>0.1</v>
      </c>
      <c r="P130" s="16" t="s">
        <v>197</v>
      </c>
    </row>
    <row r="131" spans="2:16" ht="127.2" thickBot="1" x14ac:dyDescent="0.35">
      <c r="B131" s="16">
        <v>8462</v>
      </c>
      <c r="C131" s="16" t="s">
        <v>193</v>
      </c>
      <c r="D131" s="16">
        <v>10</v>
      </c>
      <c r="E131" s="17">
        <v>0.1</v>
      </c>
      <c r="F131" s="47"/>
      <c r="G131" s="47"/>
      <c r="I131" s="26">
        <v>8459</v>
      </c>
      <c r="J131" s="26" t="s">
        <v>190</v>
      </c>
      <c r="K131" s="26">
        <v>10</v>
      </c>
      <c r="L131" s="29">
        <v>0.1</v>
      </c>
      <c r="M131">
        <f t="shared" si="1"/>
        <v>0.1</v>
      </c>
      <c r="P131" s="16" t="s">
        <v>198</v>
      </c>
    </row>
    <row r="132" spans="2:16" ht="104.4" thickBot="1" x14ac:dyDescent="0.35">
      <c r="B132" s="16">
        <v>8463</v>
      </c>
      <c r="C132" s="16" t="s">
        <v>194</v>
      </c>
      <c r="D132" s="16">
        <v>10</v>
      </c>
      <c r="E132" s="17">
        <v>0.1</v>
      </c>
      <c r="F132" s="47"/>
      <c r="G132" s="47"/>
      <c r="I132" s="26">
        <v>8460</v>
      </c>
      <c r="J132" s="26" t="s">
        <v>191</v>
      </c>
      <c r="K132" s="26">
        <v>10</v>
      </c>
      <c r="L132" s="29">
        <v>0.1</v>
      </c>
      <c r="M132" t="e">
        <f t="shared" si="1"/>
        <v>#VALUE!</v>
      </c>
      <c r="P132" s="16" t="s">
        <v>199</v>
      </c>
    </row>
    <row r="133" spans="2:16" ht="241.2" thickBot="1" x14ac:dyDescent="0.35">
      <c r="B133" s="16">
        <v>8464</v>
      </c>
      <c r="C133" s="16" t="s">
        <v>195</v>
      </c>
      <c r="D133" s="16">
        <v>10</v>
      </c>
      <c r="E133" s="17">
        <v>0.1</v>
      </c>
      <c r="F133" s="47"/>
      <c r="G133" s="47"/>
      <c r="I133" s="26">
        <v>8461</v>
      </c>
      <c r="J133" s="26" t="s">
        <v>192</v>
      </c>
      <c r="K133" s="26">
        <v>10</v>
      </c>
      <c r="L133" s="29">
        <v>0.1</v>
      </c>
      <c r="M133" t="e">
        <f t="shared" si="1"/>
        <v>#VALUE!</v>
      </c>
      <c r="P133" s="16" t="s">
        <v>200</v>
      </c>
    </row>
    <row r="134" spans="2:16" ht="127.2" thickBot="1" x14ac:dyDescent="0.35">
      <c r="B134" s="16">
        <v>8465</v>
      </c>
      <c r="C134" s="16" t="s">
        <v>196</v>
      </c>
      <c r="D134" s="16">
        <v>10</v>
      </c>
      <c r="E134" s="17">
        <v>0.1</v>
      </c>
      <c r="F134" s="47"/>
      <c r="G134" s="47"/>
      <c r="I134" s="26">
        <v>8462</v>
      </c>
      <c r="J134" s="26" t="s">
        <v>193</v>
      </c>
      <c r="K134" s="26">
        <v>10</v>
      </c>
      <c r="L134" s="29">
        <v>0.1</v>
      </c>
      <c r="M134" t="e">
        <f t="shared" si="1"/>
        <v>#VALUE!</v>
      </c>
      <c r="P134" s="15" t="s">
        <v>202</v>
      </c>
    </row>
    <row r="135" spans="2:16" ht="47.4" thickBot="1" x14ac:dyDescent="0.35">
      <c r="B135" s="16">
        <v>8467</v>
      </c>
      <c r="C135" s="16" t="s">
        <v>197</v>
      </c>
      <c r="D135" s="16">
        <v>10</v>
      </c>
      <c r="E135" s="17">
        <v>0.1</v>
      </c>
      <c r="F135" s="47"/>
      <c r="G135" s="47"/>
      <c r="I135" s="26">
        <v>8463</v>
      </c>
      <c r="J135" s="26" t="s">
        <v>194</v>
      </c>
      <c r="K135" s="26">
        <v>10</v>
      </c>
      <c r="L135" s="29">
        <v>0.1</v>
      </c>
      <c r="M135">
        <f t="shared" ref="M135:M198" si="2">VLOOKUP(J135,C:E,3,0)</f>
        <v>0.1</v>
      </c>
      <c r="P135" s="15" t="s">
        <v>204</v>
      </c>
    </row>
    <row r="136" spans="2:16" ht="70.2" thickBot="1" x14ac:dyDescent="0.35">
      <c r="B136" s="16">
        <v>8468</v>
      </c>
      <c r="C136" s="16" t="s">
        <v>198</v>
      </c>
      <c r="D136" s="16">
        <v>10</v>
      </c>
      <c r="E136" s="17">
        <v>0.1</v>
      </c>
      <c r="F136" s="47"/>
      <c r="G136" s="47"/>
      <c r="I136" s="26">
        <v>8464</v>
      </c>
      <c r="J136" s="26" t="s">
        <v>195</v>
      </c>
      <c r="K136" s="26">
        <v>10</v>
      </c>
      <c r="L136" s="29">
        <v>0.1</v>
      </c>
      <c r="M136">
        <f t="shared" si="2"/>
        <v>0.1</v>
      </c>
      <c r="P136" s="15" t="s">
        <v>206</v>
      </c>
    </row>
    <row r="137" spans="2:16" ht="81.599999999999994" thickBot="1" x14ac:dyDescent="0.35">
      <c r="B137" s="16">
        <v>8469</v>
      </c>
      <c r="C137" s="16" t="s">
        <v>199</v>
      </c>
      <c r="D137" s="16">
        <v>10</v>
      </c>
      <c r="E137" s="17">
        <v>0.1</v>
      </c>
      <c r="F137" s="47"/>
      <c r="G137" s="47"/>
      <c r="I137" s="26">
        <v>8465</v>
      </c>
      <c r="J137" s="26" t="s">
        <v>196</v>
      </c>
      <c r="K137" s="26">
        <v>10</v>
      </c>
      <c r="L137" s="29">
        <v>0.1</v>
      </c>
      <c r="M137">
        <f t="shared" si="2"/>
        <v>0.1</v>
      </c>
      <c r="P137" s="15" t="s">
        <v>208</v>
      </c>
    </row>
    <row r="138" spans="2:16" ht="104.4" thickBot="1" x14ac:dyDescent="0.35">
      <c r="B138" s="16">
        <v>8470</v>
      </c>
      <c r="C138" s="16" t="s">
        <v>200</v>
      </c>
      <c r="D138" s="18" t="s">
        <v>46</v>
      </c>
      <c r="E138" s="19" t="s">
        <v>46</v>
      </c>
      <c r="F138" s="48"/>
      <c r="G138" s="48"/>
      <c r="I138" s="26">
        <v>8467</v>
      </c>
      <c r="J138" s="26" t="s">
        <v>197</v>
      </c>
      <c r="K138" s="26">
        <v>10</v>
      </c>
      <c r="L138" s="29">
        <v>0.1</v>
      </c>
      <c r="M138">
        <f t="shared" si="2"/>
        <v>0.1</v>
      </c>
      <c r="P138" s="15" t="s">
        <v>210</v>
      </c>
    </row>
    <row r="139" spans="2:16" ht="47.4" thickBot="1" x14ac:dyDescent="0.35">
      <c r="B139" s="16" t="s">
        <v>201</v>
      </c>
      <c r="C139" s="15" t="s">
        <v>202</v>
      </c>
      <c r="D139" s="16">
        <v>10</v>
      </c>
      <c r="E139" s="17">
        <v>0.1</v>
      </c>
      <c r="F139" s="47"/>
      <c r="G139" s="47"/>
      <c r="I139" s="26">
        <v>8468</v>
      </c>
      <c r="J139" s="26" t="s">
        <v>198</v>
      </c>
      <c r="K139" s="26">
        <v>10</v>
      </c>
      <c r="L139" s="29">
        <v>0.1</v>
      </c>
      <c r="M139">
        <f t="shared" si="2"/>
        <v>0.1</v>
      </c>
      <c r="P139" s="16" t="s">
        <v>212</v>
      </c>
    </row>
    <row r="140" spans="2:16" ht="195.6" thickBot="1" x14ac:dyDescent="0.35">
      <c r="B140" s="16" t="s">
        <v>203</v>
      </c>
      <c r="C140" s="15" t="s">
        <v>204</v>
      </c>
      <c r="D140" s="16">
        <v>10</v>
      </c>
      <c r="E140" s="17">
        <v>0.1</v>
      </c>
      <c r="F140" s="47"/>
      <c r="G140" s="47"/>
      <c r="I140" s="26">
        <v>8469</v>
      </c>
      <c r="J140" s="26" t="s">
        <v>199</v>
      </c>
      <c r="K140" s="26">
        <v>10</v>
      </c>
      <c r="L140" s="29">
        <v>0.1</v>
      </c>
      <c r="M140">
        <f t="shared" si="2"/>
        <v>0.1</v>
      </c>
      <c r="P140" s="16" t="s">
        <v>213</v>
      </c>
    </row>
    <row r="141" spans="2:16" ht="275.39999999999998" thickBot="1" x14ac:dyDescent="0.35">
      <c r="B141" s="16" t="s">
        <v>205</v>
      </c>
      <c r="C141" s="15" t="s">
        <v>206</v>
      </c>
      <c r="D141" s="16">
        <v>10</v>
      </c>
      <c r="E141" s="17">
        <v>0.1</v>
      </c>
      <c r="F141" s="47"/>
      <c r="G141" s="47"/>
      <c r="I141" s="26">
        <v>8470</v>
      </c>
      <c r="J141" s="26" t="s">
        <v>200</v>
      </c>
      <c r="K141" s="30" t="s">
        <v>46</v>
      </c>
      <c r="L141" s="31" t="s">
        <v>46</v>
      </c>
      <c r="M141" t="e">
        <f t="shared" si="2"/>
        <v>#VALUE!</v>
      </c>
      <c r="P141" s="16" t="s">
        <v>214</v>
      </c>
    </row>
    <row r="142" spans="2:16" ht="298.2" thickBot="1" x14ac:dyDescent="0.35">
      <c r="B142" s="16" t="s">
        <v>207</v>
      </c>
      <c r="C142" s="15" t="s">
        <v>208</v>
      </c>
      <c r="D142" s="16">
        <v>10</v>
      </c>
      <c r="E142" s="17">
        <v>0.1</v>
      </c>
      <c r="F142" s="47"/>
      <c r="G142" s="47"/>
      <c r="I142" s="26" t="s">
        <v>201</v>
      </c>
      <c r="J142" s="27" t="s">
        <v>202</v>
      </c>
      <c r="K142" s="26">
        <v>10</v>
      </c>
      <c r="L142" s="29">
        <v>0.1</v>
      </c>
      <c r="M142">
        <f t="shared" si="2"/>
        <v>0.1</v>
      </c>
      <c r="P142" s="16" t="s">
        <v>215</v>
      </c>
    </row>
    <row r="143" spans="2:16" ht="172.8" thickBot="1" x14ac:dyDescent="0.35">
      <c r="B143" s="16" t="s">
        <v>209</v>
      </c>
      <c r="C143" s="15" t="s">
        <v>210</v>
      </c>
      <c r="D143" s="16">
        <v>10</v>
      </c>
      <c r="E143" s="17">
        <v>0.1</v>
      </c>
      <c r="F143" s="47"/>
      <c r="G143" s="47"/>
      <c r="I143" s="26" t="s">
        <v>203</v>
      </c>
      <c r="J143" s="27" t="s">
        <v>204</v>
      </c>
      <c r="K143" s="26">
        <v>10</v>
      </c>
      <c r="L143" s="29">
        <v>0.1</v>
      </c>
      <c r="M143">
        <f t="shared" si="2"/>
        <v>0.1</v>
      </c>
      <c r="P143" s="16" t="s">
        <v>216</v>
      </c>
    </row>
    <row r="144" spans="2:16" ht="115.8" thickBot="1" x14ac:dyDescent="0.35">
      <c r="B144" s="16" t="s">
        <v>211</v>
      </c>
      <c r="C144" s="16" t="s">
        <v>212</v>
      </c>
      <c r="D144" s="16">
        <v>10</v>
      </c>
      <c r="E144" s="17">
        <v>0.1</v>
      </c>
      <c r="F144" s="47"/>
      <c r="G144" s="47"/>
      <c r="I144" s="26" t="s">
        <v>205</v>
      </c>
      <c r="J144" s="27" t="s">
        <v>206</v>
      </c>
      <c r="K144" s="26">
        <v>10</v>
      </c>
      <c r="L144" s="29">
        <v>0.1</v>
      </c>
      <c r="M144">
        <f t="shared" si="2"/>
        <v>0.1</v>
      </c>
      <c r="P144" s="16" t="s">
        <v>217</v>
      </c>
    </row>
    <row r="145" spans="2:16" ht="138.6" thickBot="1" x14ac:dyDescent="0.35">
      <c r="B145" s="16">
        <v>8471</v>
      </c>
      <c r="C145" s="16" t="s">
        <v>213</v>
      </c>
      <c r="D145" s="16">
        <v>5</v>
      </c>
      <c r="E145" s="17">
        <v>0.2</v>
      </c>
      <c r="F145" s="47"/>
      <c r="G145" s="47"/>
      <c r="I145" s="26" t="s">
        <v>207</v>
      </c>
      <c r="J145" s="27" t="s">
        <v>208</v>
      </c>
      <c r="K145" s="26">
        <v>10</v>
      </c>
      <c r="L145" s="29">
        <v>0.1</v>
      </c>
      <c r="M145">
        <f t="shared" si="2"/>
        <v>0.1</v>
      </c>
      <c r="P145" s="16" t="s">
        <v>218</v>
      </c>
    </row>
    <row r="146" spans="2:16" ht="115.8" thickBot="1" x14ac:dyDescent="0.35">
      <c r="B146" s="16">
        <v>8472</v>
      </c>
      <c r="C146" s="16" t="s">
        <v>214</v>
      </c>
      <c r="D146" s="16">
        <v>10</v>
      </c>
      <c r="E146" s="17">
        <v>0.1</v>
      </c>
      <c r="F146" s="47"/>
      <c r="G146" s="47"/>
      <c r="I146" s="26" t="s">
        <v>209</v>
      </c>
      <c r="J146" s="27" t="s">
        <v>210</v>
      </c>
      <c r="K146" s="26">
        <v>10</v>
      </c>
      <c r="L146" s="29">
        <v>0.1</v>
      </c>
      <c r="M146">
        <f t="shared" si="2"/>
        <v>0.1</v>
      </c>
      <c r="P146" s="16" t="s">
        <v>219</v>
      </c>
    </row>
    <row r="147" spans="2:16" ht="138.6" thickBot="1" x14ac:dyDescent="0.35">
      <c r="B147" s="16">
        <v>8474</v>
      </c>
      <c r="C147" s="16" t="s">
        <v>215</v>
      </c>
      <c r="D147" s="16">
        <v>5</v>
      </c>
      <c r="E147" s="17">
        <v>0.2</v>
      </c>
      <c r="F147" s="47"/>
      <c r="G147" s="47"/>
      <c r="I147" s="26" t="s">
        <v>211</v>
      </c>
      <c r="J147" s="26" t="s">
        <v>212</v>
      </c>
      <c r="K147" s="26">
        <v>10</v>
      </c>
      <c r="L147" s="29">
        <v>0.1</v>
      </c>
      <c r="M147">
        <f t="shared" si="2"/>
        <v>0.1</v>
      </c>
      <c r="P147" s="16" t="s">
        <v>220</v>
      </c>
    </row>
    <row r="148" spans="2:16" ht="104.4" thickBot="1" x14ac:dyDescent="0.35">
      <c r="B148" s="16">
        <v>8475</v>
      </c>
      <c r="C148" s="16" t="s">
        <v>216</v>
      </c>
      <c r="D148" s="16">
        <v>10</v>
      </c>
      <c r="E148" s="17">
        <v>0.1</v>
      </c>
      <c r="F148" s="47"/>
      <c r="G148" s="47"/>
      <c r="I148" s="26">
        <v>8471</v>
      </c>
      <c r="J148" s="26" t="s">
        <v>213</v>
      </c>
      <c r="K148" s="26">
        <v>5</v>
      </c>
      <c r="L148" s="29">
        <v>0.2</v>
      </c>
      <c r="M148" t="e">
        <f t="shared" si="2"/>
        <v>#VALUE!</v>
      </c>
      <c r="P148" s="15" t="s">
        <v>222</v>
      </c>
    </row>
    <row r="149" spans="2:16" ht="115.8" thickBot="1" x14ac:dyDescent="0.35">
      <c r="B149" s="16">
        <v>8476</v>
      </c>
      <c r="C149" s="16" t="s">
        <v>217</v>
      </c>
      <c r="D149" s="16">
        <v>10</v>
      </c>
      <c r="E149" s="17">
        <v>0.1</v>
      </c>
      <c r="F149" s="47"/>
      <c r="G149" s="47"/>
      <c r="I149" s="26">
        <v>8472</v>
      </c>
      <c r="J149" s="26" t="s">
        <v>214</v>
      </c>
      <c r="K149" s="26">
        <v>10</v>
      </c>
      <c r="L149" s="29">
        <v>0.1</v>
      </c>
      <c r="M149" t="e">
        <f t="shared" si="2"/>
        <v>#VALUE!</v>
      </c>
      <c r="P149" s="15" t="s">
        <v>224</v>
      </c>
    </row>
    <row r="150" spans="2:16" ht="138.6" thickBot="1" x14ac:dyDescent="0.35">
      <c r="B150" s="16">
        <v>8477</v>
      </c>
      <c r="C150" s="16" t="s">
        <v>218</v>
      </c>
      <c r="D150" s="16">
        <v>10</v>
      </c>
      <c r="E150" s="17">
        <v>0.1</v>
      </c>
      <c r="F150" s="47"/>
      <c r="G150" s="47"/>
      <c r="I150" s="26">
        <v>8474</v>
      </c>
      <c r="J150" s="26" t="s">
        <v>215</v>
      </c>
      <c r="K150" s="26">
        <v>5</v>
      </c>
      <c r="L150" s="29">
        <v>0.2</v>
      </c>
      <c r="M150" t="e">
        <f t="shared" si="2"/>
        <v>#VALUE!</v>
      </c>
      <c r="P150" s="15" t="s">
        <v>226</v>
      </c>
    </row>
    <row r="151" spans="2:16" ht="93" thickBot="1" x14ac:dyDescent="0.35">
      <c r="B151" s="16">
        <v>8478</v>
      </c>
      <c r="C151" s="16" t="s">
        <v>219</v>
      </c>
      <c r="D151" s="16">
        <v>10</v>
      </c>
      <c r="E151" s="17">
        <v>0.1</v>
      </c>
      <c r="F151" s="47"/>
      <c r="G151" s="47"/>
      <c r="I151" s="26">
        <v>8475</v>
      </c>
      <c r="J151" s="26" t="s">
        <v>216</v>
      </c>
      <c r="K151" s="26">
        <v>10</v>
      </c>
      <c r="L151" s="29">
        <v>0.1</v>
      </c>
      <c r="M151">
        <f t="shared" si="2"/>
        <v>0.1</v>
      </c>
      <c r="P151" s="15" t="s">
        <v>228</v>
      </c>
    </row>
    <row r="152" spans="2:16" ht="58.8" thickBot="1" x14ac:dyDescent="0.35">
      <c r="B152" s="16">
        <v>8479</v>
      </c>
      <c r="C152" s="16" t="s">
        <v>220</v>
      </c>
      <c r="D152" s="18" t="s">
        <v>46</v>
      </c>
      <c r="E152" s="19" t="s">
        <v>46</v>
      </c>
      <c r="F152" s="48"/>
      <c r="G152" s="48"/>
      <c r="I152" s="26">
        <v>8476</v>
      </c>
      <c r="J152" s="26" t="s">
        <v>217</v>
      </c>
      <c r="K152" s="26">
        <v>10</v>
      </c>
      <c r="L152" s="29">
        <v>0.1</v>
      </c>
      <c r="M152">
        <f t="shared" si="2"/>
        <v>0.1</v>
      </c>
      <c r="P152" s="15" t="s">
        <v>230</v>
      </c>
    </row>
    <row r="153" spans="2:16" ht="70.2" thickBot="1" x14ac:dyDescent="0.35">
      <c r="B153" s="16" t="s">
        <v>221</v>
      </c>
      <c r="C153" s="15" t="s">
        <v>222</v>
      </c>
      <c r="D153" s="16">
        <v>4</v>
      </c>
      <c r="E153" s="17">
        <v>0.25</v>
      </c>
      <c r="F153" s="47"/>
      <c r="G153" s="47"/>
      <c r="I153" s="26">
        <v>8477</v>
      </c>
      <c r="J153" s="26" t="s">
        <v>218</v>
      </c>
      <c r="K153" s="26">
        <v>10</v>
      </c>
      <c r="L153" s="29">
        <v>0.1</v>
      </c>
      <c r="M153">
        <f t="shared" si="2"/>
        <v>0.1</v>
      </c>
      <c r="P153" s="15" t="s">
        <v>232</v>
      </c>
    </row>
    <row r="154" spans="2:16" ht="58.8" thickBot="1" x14ac:dyDescent="0.35">
      <c r="B154" s="16" t="s">
        <v>223</v>
      </c>
      <c r="C154" s="15" t="s">
        <v>224</v>
      </c>
      <c r="D154" s="16">
        <v>10</v>
      </c>
      <c r="E154" s="17">
        <v>0.1</v>
      </c>
      <c r="F154" s="47"/>
      <c r="G154" s="47"/>
      <c r="I154" s="26">
        <v>8478</v>
      </c>
      <c r="J154" s="26" t="s">
        <v>219</v>
      </c>
      <c r="K154" s="26">
        <v>10</v>
      </c>
      <c r="L154" s="29">
        <v>0.1</v>
      </c>
      <c r="M154">
        <f t="shared" si="2"/>
        <v>0.1</v>
      </c>
      <c r="P154" s="15" t="s">
        <v>234</v>
      </c>
    </row>
    <row r="155" spans="2:16" ht="58.8" thickBot="1" x14ac:dyDescent="0.35">
      <c r="B155" s="16" t="s">
        <v>225</v>
      </c>
      <c r="C155" s="15" t="s">
        <v>226</v>
      </c>
      <c r="D155" s="16">
        <v>10</v>
      </c>
      <c r="E155" s="17">
        <v>0.1</v>
      </c>
      <c r="F155" s="47"/>
      <c r="G155" s="47"/>
      <c r="I155" s="26">
        <v>8479</v>
      </c>
      <c r="J155" s="26" t="s">
        <v>220</v>
      </c>
      <c r="K155" s="30" t="s">
        <v>46</v>
      </c>
      <c r="L155" s="31" t="s">
        <v>46</v>
      </c>
      <c r="M155" t="str">
        <f t="shared" si="2"/>
        <v> </v>
      </c>
      <c r="P155" s="15" t="s">
        <v>236</v>
      </c>
    </row>
    <row r="156" spans="2:16" ht="58.8" thickBot="1" x14ac:dyDescent="0.35">
      <c r="B156" s="16" t="s">
        <v>227</v>
      </c>
      <c r="C156" s="15" t="s">
        <v>228</v>
      </c>
      <c r="D156" s="16">
        <v>10</v>
      </c>
      <c r="E156" s="17">
        <v>0.1</v>
      </c>
      <c r="F156" s="47"/>
      <c r="G156" s="47"/>
      <c r="I156" s="26" t="s">
        <v>221</v>
      </c>
      <c r="J156" s="27" t="s">
        <v>222</v>
      </c>
      <c r="K156" s="26">
        <v>4</v>
      </c>
      <c r="L156" s="29">
        <v>0.25</v>
      </c>
      <c r="M156">
        <f t="shared" si="2"/>
        <v>0.25</v>
      </c>
      <c r="P156" s="15" t="s">
        <v>238</v>
      </c>
    </row>
    <row r="157" spans="2:16" ht="36" thickBot="1" x14ac:dyDescent="0.35">
      <c r="B157" s="16" t="s">
        <v>229</v>
      </c>
      <c r="C157" s="15" t="s">
        <v>230</v>
      </c>
      <c r="D157" s="16">
        <v>10</v>
      </c>
      <c r="E157" s="17">
        <v>0.1</v>
      </c>
      <c r="F157" s="47"/>
      <c r="G157" s="47"/>
      <c r="I157" s="26" t="s">
        <v>223</v>
      </c>
      <c r="J157" s="27" t="s">
        <v>224</v>
      </c>
      <c r="K157" s="26">
        <v>10</v>
      </c>
      <c r="L157" s="29">
        <v>0.1</v>
      </c>
      <c r="M157">
        <f t="shared" si="2"/>
        <v>0.1</v>
      </c>
      <c r="P157" s="15" t="s">
        <v>240</v>
      </c>
    </row>
    <row r="158" spans="2:16" ht="150" thickBot="1" x14ac:dyDescent="0.35">
      <c r="B158" s="16" t="s">
        <v>231</v>
      </c>
      <c r="C158" s="15" t="s">
        <v>232</v>
      </c>
      <c r="D158" s="16">
        <v>10</v>
      </c>
      <c r="E158" s="17">
        <v>0.1</v>
      </c>
      <c r="F158" s="47"/>
      <c r="G158" s="47"/>
      <c r="I158" s="26" t="s">
        <v>225</v>
      </c>
      <c r="J158" s="27" t="s">
        <v>226</v>
      </c>
      <c r="K158" s="26">
        <v>10</v>
      </c>
      <c r="L158" s="29">
        <v>0.1</v>
      </c>
      <c r="M158">
        <f t="shared" si="2"/>
        <v>0.1</v>
      </c>
      <c r="P158" s="16" t="s">
        <v>241</v>
      </c>
    </row>
    <row r="159" spans="2:16" ht="366.6" thickBot="1" x14ac:dyDescent="0.35">
      <c r="B159" s="16" t="s">
        <v>233</v>
      </c>
      <c r="C159" s="15" t="s">
        <v>234</v>
      </c>
      <c r="D159" s="18" t="s">
        <v>46</v>
      </c>
      <c r="E159" s="19" t="s">
        <v>46</v>
      </c>
      <c r="F159" s="48"/>
      <c r="G159" s="48"/>
      <c r="I159" s="26" t="s">
        <v>227</v>
      </c>
      <c r="J159" s="27" t="s">
        <v>228</v>
      </c>
      <c r="K159" s="26">
        <v>10</v>
      </c>
      <c r="L159" s="29">
        <v>0.1</v>
      </c>
      <c r="M159">
        <f t="shared" si="2"/>
        <v>0.1</v>
      </c>
      <c r="P159" s="16" t="s">
        <v>242</v>
      </c>
    </row>
    <row r="160" spans="2:16" ht="81.599999999999994" thickBot="1" x14ac:dyDescent="0.35">
      <c r="B160" s="16" t="s">
        <v>235</v>
      </c>
      <c r="C160" s="15" t="s">
        <v>236</v>
      </c>
      <c r="D160" s="16">
        <v>10</v>
      </c>
      <c r="E160" s="17">
        <v>0.1</v>
      </c>
      <c r="F160" s="47"/>
      <c r="G160" s="47"/>
      <c r="I160" s="26" t="s">
        <v>229</v>
      </c>
      <c r="J160" s="27" t="s">
        <v>230</v>
      </c>
      <c r="K160" s="26">
        <v>10</v>
      </c>
      <c r="L160" s="29">
        <v>0.1</v>
      </c>
      <c r="M160">
        <f t="shared" si="2"/>
        <v>0.1</v>
      </c>
      <c r="P160" s="16" t="s">
        <v>244</v>
      </c>
    </row>
    <row r="161" spans="2:16" ht="138.6" thickBot="1" x14ac:dyDescent="0.35">
      <c r="B161" s="16" t="s">
        <v>237</v>
      </c>
      <c r="C161" s="15" t="s">
        <v>238</v>
      </c>
      <c r="D161" s="16">
        <v>10</v>
      </c>
      <c r="E161" s="17">
        <v>0.1</v>
      </c>
      <c r="F161" s="47"/>
      <c r="G161" s="47"/>
      <c r="I161" s="26" t="s">
        <v>231</v>
      </c>
      <c r="J161" s="27" t="s">
        <v>232</v>
      </c>
      <c r="K161" s="26">
        <v>10</v>
      </c>
      <c r="L161" s="29">
        <v>0.1</v>
      </c>
      <c r="M161">
        <f t="shared" si="2"/>
        <v>0.1</v>
      </c>
      <c r="P161" s="16" t="s">
        <v>246</v>
      </c>
    </row>
    <row r="162" spans="2:16" ht="58.8" thickBot="1" x14ac:dyDescent="0.35">
      <c r="B162" s="16" t="s">
        <v>239</v>
      </c>
      <c r="C162" s="15" t="s">
        <v>240</v>
      </c>
      <c r="D162" s="16">
        <v>10</v>
      </c>
      <c r="E162" s="17">
        <v>0.1</v>
      </c>
      <c r="F162" s="47"/>
      <c r="G162" s="47"/>
      <c r="I162" s="26" t="s">
        <v>233</v>
      </c>
      <c r="J162" s="27" t="s">
        <v>234</v>
      </c>
      <c r="K162" s="30" t="s">
        <v>46</v>
      </c>
      <c r="L162" s="31" t="s">
        <v>46</v>
      </c>
      <c r="M162" t="str">
        <f t="shared" si="2"/>
        <v> </v>
      </c>
      <c r="P162" s="16" t="s">
        <v>247</v>
      </c>
    </row>
    <row r="163" spans="2:16" ht="70.2" thickBot="1" x14ac:dyDescent="0.35">
      <c r="B163" s="16">
        <v>8480</v>
      </c>
      <c r="C163" s="16" t="s">
        <v>241</v>
      </c>
      <c r="D163" s="16">
        <v>3</v>
      </c>
      <c r="E163" s="23">
        <v>0.33300000000000002</v>
      </c>
      <c r="F163" s="49"/>
      <c r="G163" s="49"/>
      <c r="I163" s="26" t="s">
        <v>235</v>
      </c>
      <c r="J163" s="27" t="s">
        <v>236</v>
      </c>
      <c r="K163" s="26">
        <v>10</v>
      </c>
      <c r="L163" s="29">
        <v>0.1</v>
      </c>
      <c r="M163">
        <f t="shared" si="2"/>
        <v>0.1</v>
      </c>
      <c r="P163" s="16" t="s">
        <v>248</v>
      </c>
    </row>
    <row r="164" spans="2:16" ht="172.8" thickBot="1" x14ac:dyDescent="0.35">
      <c r="B164" s="16">
        <v>8483</v>
      </c>
      <c r="C164" s="16" t="s">
        <v>242</v>
      </c>
      <c r="D164" s="18" t="s">
        <v>46</v>
      </c>
      <c r="E164" s="19" t="s">
        <v>46</v>
      </c>
      <c r="F164" s="48"/>
      <c r="G164" s="48"/>
      <c r="I164" s="26" t="s">
        <v>237</v>
      </c>
      <c r="J164" s="27" t="s">
        <v>238</v>
      </c>
      <c r="K164" s="26">
        <v>10</v>
      </c>
      <c r="L164" s="29">
        <v>0.1</v>
      </c>
      <c r="M164">
        <f t="shared" si="2"/>
        <v>0.1</v>
      </c>
      <c r="P164" s="16" t="s">
        <v>249</v>
      </c>
    </row>
    <row r="165" spans="2:16" ht="70.2" thickBot="1" x14ac:dyDescent="0.35">
      <c r="B165" s="16" t="s">
        <v>243</v>
      </c>
      <c r="C165" s="16" t="s">
        <v>244</v>
      </c>
      <c r="D165" s="16">
        <v>10</v>
      </c>
      <c r="E165" s="17">
        <v>0.1</v>
      </c>
      <c r="F165" s="47"/>
      <c r="G165" s="47"/>
      <c r="I165" s="26" t="s">
        <v>239</v>
      </c>
      <c r="J165" s="27" t="s">
        <v>240</v>
      </c>
      <c r="K165" s="26">
        <v>10</v>
      </c>
      <c r="L165" s="29">
        <v>0.1</v>
      </c>
      <c r="M165">
        <f t="shared" si="2"/>
        <v>0.1</v>
      </c>
      <c r="P165" s="16" t="s">
        <v>250</v>
      </c>
    </row>
    <row r="166" spans="2:16" ht="70.2" thickBot="1" x14ac:dyDescent="0.35">
      <c r="B166" s="16" t="s">
        <v>245</v>
      </c>
      <c r="C166" s="16" t="s">
        <v>246</v>
      </c>
      <c r="D166" s="18" t="s">
        <v>46</v>
      </c>
      <c r="E166" s="19" t="s">
        <v>46</v>
      </c>
      <c r="F166" s="48"/>
      <c r="G166" s="48"/>
      <c r="I166" s="26">
        <v>8480</v>
      </c>
      <c r="J166" s="26" t="s">
        <v>241</v>
      </c>
      <c r="K166" s="26">
        <v>3</v>
      </c>
      <c r="L166" s="34">
        <v>0.33300000000000002</v>
      </c>
      <c r="M166">
        <f t="shared" si="2"/>
        <v>0.33300000000000002</v>
      </c>
      <c r="P166" s="16" t="s">
        <v>251</v>
      </c>
    </row>
    <row r="167" spans="2:16" ht="195.6" thickBot="1" x14ac:dyDescent="0.35">
      <c r="B167" s="16">
        <v>8501</v>
      </c>
      <c r="C167" s="16" t="s">
        <v>247</v>
      </c>
      <c r="D167" s="16">
        <v>10</v>
      </c>
      <c r="E167" s="17">
        <v>0.1</v>
      </c>
      <c r="F167" s="47"/>
      <c r="G167" s="47"/>
      <c r="I167" s="26">
        <v>8483</v>
      </c>
      <c r="J167" s="26" t="s">
        <v>242</v>
      </c>
      <c r="K167" s="30" t="s">
        <v>46</v>
      </c>
      <c r="L167" s="31" t="s">
        <v>46</v>
      </c>
      <c r="M167" t="e">
        <f t="shared" si="2"/>
        <v>#VALUE!</v>
      </c>
      <c r="P167" s="16" t="s">
        <v>252</v>
      </c>
    </row>
    <row r="168" spans="2:16" ht="252.6" thickBot="1" x14ac:dyDescent="0.35">
      <c r="B168" s="16">
        <v>8502</v>
      </c>
      <c r="C168" s="16" t="s">
        <v>248</v>
      </c>
      <c r="D168" s="16">
        <v>10</v>
      </c>
      <c r="E168" s="17">
        <v>0.1</v>
      </c>
      <c r="F168" s="47"/>
      <c r="G168" s="47"/>
      <c r="I168" s="26" t="s">
        <v>243</v>
      </c>
      <c r="J168" s="26" t="s">
        <v>244</v>
      </c>
      <c r="K168" s="26">
        <v>10</v>
      </c>
      <c r="L168" s="29">
        <v>0.1</v>
      </c>
      <c r="M168">
        <f t="shared" si="2"/>
        <v>0.1</v>
      </c>
      <c r="P168" s="16" t="s">
        <v>253</v>
      </c>
    </row>
    <row r="169" spans="2:16" ht="70.2" thickBot="1" x14ac:dyDescent="0.35">
      <c r="B169" s="16">
        <v>8504</v>
      </c>
      <c r="C169" s="16" t="s">
        <v>249</v>
      </c>
      <c r="D169" s="16">
        <v>10</v>
      </c>
      <c r="E169" s="17">
        <v>0.1</v>
      </c>
      <c r="F169" s="47"/>
      <c r="G169" s="47"/>
      <c r="I169" s="26" t="s">
        <v>245</v>
      </c>
      <c r="J169" s="26" t="s">
        <v>246</v>
      </c>
      <c r="K169" s="30" t="s">
        <v>46</v>
      </c>
      <c r="L169" s="31" t="s">
        <v>46</v>
      </c>
      <c r="M169" t="str">
        <f t="shared" si="2"/>
        <v> </v>
      </c>
      <c r="P169" s="16" t="s">
        <v>254</v>
      </c>
    </row>
    <row r="170" spans="2:16" ht="207" thickBot="1" x14ac:dyDescent="0.35">
      <c r="B170" s="16">
        <v>8508</v>
      </c>
      <c r="C170" s="16" t="s">
        <v>250</v>
      </c>
      <c r="D170" s="16">
        <v>5</v>
      </c>
      <c r="E170" s="17">
        <v>0.2</v>
      </c>
      <c r="F170" s="47"/>
      <c r="G170" s="47"/>
      <c r="I170" s="26">
        <v>8501</v>
      </c>
      <c r="J170" s="26" t="s">
        <v>247</v>
      </c>
      <c r="K170" s="26">
        <v>10</v>
      </c>
      <c r="L170" s="29">
        <v>0.1</v>
      </c>
      <c r="M170">
        <f t="shared" si="2"/>
        <v>0.1</v>
      </c>
      <c r="P170" s="16" t="s">
        <v>255</v>
      </c>
    </row>
    <row r="171" spans="2:16" ht="24.6" thickBot="1" x14ac:dyDescent="0.35">
      <c r="B171" s="16">
        <v>8510</v>
      </c>
      <c r="C171" s="16" t="s">
        <v>251</v>
      </c>
      <c r="D171" s="16">
        <v>5</v>
      </c>
      <c r="E171" s="17">
        <v>0.2</v>
      </c>
      <c r="F171" s="47"/>
      <c r="G171" s="47"/>
      <c r="I171" s="26">
        <v>8502</v>
      </c>
      <c r="J171" s="26" t="s">
        <v>248</v>
      </c>
      <c r="K171" s="26">
        <v>10</v>
      </c>
      <c r="L171" s="29">
        <v>0.1</v>
      </c>
      <c r="M171">
        <f t="shared" si="2"/>
        <v>0.1</v>
      </c>
      <c r="P171" s="16" t="s">
        <v>256</v>
      </c>
    </row>
    <row r="172" spans="2:16" ht="104.4" thickBot="1" x14ac:dyDescent="0.35">
      <c r="B172" s="16">
        <v>8514</v>
      </c>
      <c r="C172" s="16" t="s">
        <v>252</v>
      </c>
      <c r="D172" s="16">
        <v>10</v>
      </c>
      <c r="E172" s="17">
        <v>0.1</v>
      </c>
      <c r="F172" s="47"/>
      <c r="G172" s="47"/>
      <c r="I172" s="26">
        <v>8504</v>
      </c>
      <c r="J172" s="26" t="s">
        <v>249</v>
      </c>
      <c r="K172" s="26">
        <v>10</v>
      </c>
      <c r="L172" s="29">
        <v>0.1</v>
      </c>
      <c r="M172">
        <f t="shared" si="2"/>
        <v>0.1</v>
      </c>
      <c r="P172" s="16" t="s">
        <v>257</v>
      </c>
    </row>
    <row r="173" spans="2:16" ht="115.8" thickBot="1" x14ac:dyDescent="0.35">
      <c r="B173" s="16">
        <v>8515</v>
      </c>
      <c r="C173" s="16" t="s">
        <v>253</v>
      </c>
      <c r="D173" s="16">
        <v>10</v>
      </c>
      <c r="E173" s="17">
        <v>0.1</v>
      </c>
      <c r="F173" s="47"/>
      <c r="G173" s="47"/>
      <c r="I173" s="26">
        <v>8508</v>
      </c>
      <c r="J173" s="26" t="s">
        <v>250</v>
      </c>
      <c r="K173" s="26">
        <v>5</v>
      </c>
      <c r="L173" s="29">
        <v>0.2</v>
      </c>
      <c r="M173">
        <f t="shared" si="2"/>
        <v>0.2</v>
      </c>
      <c r="P173" s="16" t="s">
        <v>259</v>
      </c>
    </row>
    <row r="174" spans="2:16" ht="58.8" thickBot="1" x14ac:dyDescent="0.35">
      <c r="B174" s="16">
        <v>8516</v>
      </c>
      <c r="C174" s="16" t="s">
        <v>254</v>
      </c>
      <c r="D174" s="16">
        <v>10</v>
      </c>
      <c r="E174" s="17">
        <v>0.1</v>
      </c>
      <c r="F174" s="47"/>
      <c r="G174" s="47"/>
      <c r="I174" s="26">
        <v>8510</v>
      </c>
      <c r="J174" s="26" t="s">
        <v>251</v>
      </c>
      <c r="K174" s="26">
        <v>5</v>
      </c>
      <c r="L174" s="29">
        <v>0.2</v>
      </c>
      <c r="M174">
        <f t="shared" si="2"/>
        <v>0.2</v>
      </c>
      <c r="P174" s="16" t="s">
        <v>261</v>
      </c>
    </row>
    <row r="175" spans="2:16" ht="104.4" thickBot="1" x14ac:dyDescent="0.35">
      <c r="B175" s="16">
        <v>8517</v>
      </c>
      <c r="C175" s="16" t="s">
        <v>255</v>
      </c>
      <c r="D175" s="16">
        <v>5</v>
      </c>
      <c r="E175" s="17">
        <v>0</v>
      </c>
      <c r="F175" s="47"/>
      <c r="G175" s="47"/>
      <c r="I175" s="26">
        <v>8514</v>
      </c>
      <c r="J175" s="26" t="s">
        <v>252</v>
      </c>
      <c r="K175" s="26">
        <v>10</v>
      </c>
      <c r="L175" s="29">
        <v>0.1</v>
      </c>
      <c r="M175">
        <f t="shared" si="2"/>
        <v>0.1</v>
      </c>
      <c r="P175" s="16" t="s">
        <v>262</v>
      </c>
    </row>
    <row r="176" spans="2:16" ht="115.8" thickBot="1" x14ac:dyDescent="0.35">
      <c r="B176" s="16">
        <v>8520</v>
      </c>
      <c r="C176" s="16" t="s">
        <v>256</v>
      </c>
      <c r="D176" s="16">
        <v>5</v>
      </c>
      <c r="E176" s="17">
        <v>0.2</v>
      </c>
      <c r="F176" s="47"/>
      <c r="G176" s="47"/>
      <c r="I176" s="26">
        <v>8515</v>
      </c>
      <c r="J176" s="26" t="s">
        <v>253</v>
      </c>
      <c r="K176" s="26">
        <v>10</v>
      </c>
      <c r="L176" s="29">
        <v>0.1</v>
      </c>
      <c r="M176" t="e">
        <f t="shared" si="2"/>
        <v>#VALUE!</v>
      </c>
      <c r="P176" s="15" t="s">
        <v>264</v>
      </c>
    </row>
    <row r="177" spans="2:16" ht="47.4" thickBot="1" x14ac:dyDescent="0.35">
      <c r="B177" s="16">
        <v>8521</v>
      </c>
      <c r="C177" s="16" t="s">
        <v>257</v>
      </c>
      <c r="D177" s="18" t="s">
        <v>46</v>
      </c>
      <c r="E177" s="19" t="s">
        <v>46</v>
      </c>
      <c r="F177" s="48"/>
      <c r="G177" s="48"/>
      <c r="I177" s="26">
        <v>8516</v>
      </c>
      <c r="J177" s="26" t="s">
        <v>254</v>
      </c>
      <c r="K177" s="26">
        <v>10</v>
      </c>
      <c r="L177" s="29">
        <v>0.1</v>
      </c>
      <c r="M177">
        <f t="shared" si="2"/>
        <v>0.1</v>
      </c>
      <c r="P177" s="15" t="s">
        <v>266</v>
      </c>
    </row>
    <row r="178" spans="2:16" ht="104.4" thickBot="1" x14ac:dyDescent="0.35">
      <c r="B178" s="16" t="s">
        <v>258</v>
      </c>
      <c r="C178" s="16" t="s">
        <v>259</v>
      </c>
      <c r="D178" s="16">
        <v>5</v>
      </c>
      <c r="E178" s="17">
        <v>0.2</v>
      </c>
      <c r="F178" s="47"/>
      <c r="G178" s="47"/>
      <c r="I178" s="35">
        <v>8517</v>
      </c>
      <c r="J178" s="35" t="s">
        <v>255</v>
      </c>
      <c r="K178" s="35">
        <v>5</v>
      </c>
      <c r="L178" s="36">
        <v>0</v>
      </c>
      <c r="M178">
        <f t="shared" si="2"/>
        <v>0</v>
      </c>
      <c r="P178" s="15" t="s">
        <v>268</v>
      </c>
    </row>
    <row r="179" spans="2:16" ht="115.8" thickBot="1" x14ac:dyDescent="0.35">
      <c r="B179" s="16" t="s">
        <v>260</v>
      </c>
      <c r="C179" s="16" t="s">
        <v>261</v>
      </c>
      <c r="D179" s="16">
        <v>5</v>
      </c>
      <c r="E179" s="17">
        <v>0.2</v>
      </c>
      <c r="F179" s="47"/>
      <c r="G179" s="47"/>
      <c r="I179" s="26">
        <v>8517</v>
      </c>
      <c r="J179" s="26" t="s">
        <v>374</v>
      </c>
      <c r="K179" s="26">
        <v>5</v>
      </c>
      <c r="L179" s="29">
        <v>0.2</v>
      </c>
      <c r="M179" t="e">
        <f t="shared" si="2"/>
        <v>#VALUE!</v>
      </c>
      <c r="P179" s="15" t="s">
        <v>270</v>
      </c>
    </row>
    <row r="180" spans="2:16" ht="218.4" thickBot="1" x14ac:dyDescent="0.35">
      <c r="B180" s="16">
        <v>8524</v>
      </c>
      <c r="C180" s="16" t="s">
        <v>262</v>
      </c>
      <c r="D180" s="18" t="s">
        <v>46</v>
      </c>
      <c r="E180" s="19" t="s">
        <v>46</v>
      </c>
      <c r="F180" s="48"/>
      <c r="G180" s="48"/>
      <c r="I180" s="26">
        <v>8520</v>
      </c>
      <c r="J180" s="26" t="s">
        <v>256</v>
      </c>
      <c r="K180" s="26">
        <v>5</v>
      </c>
      <c r="L180" s="29">
        <v>0.2</v>
      </c>
      <c r="M180">
        <f t="shared" si="2"/>
        <v>0.2</v>
      </c>
      <c r="P180" s="16" t="s">
        <v>271</v>
      </c>
    </row>
    <row r="181" spans="2:16" ht="115.8" thickBot="1" x14ac:dyDescent="0.35">
      <c r="B181" s="16" t="s">
        <v>263</v>
      </c>
      <c r="C181" s="15" t="s">
        <v>264</v>
      </c>
      <c r="D181" s="16">
        <v>3</v>
      </c>
      <c r="E181" s="23">
        <v>0.33300000000000002</v>
      </c>
      <c r="F181" s="49"/>
      <c r="G181" s="49"/>
      <c r="I181" s="26">
        <v>8521</v>
      </c>
      <c r="J181" s="26" t="s">
        <v>257</v>
      </c>
      <c r="K181" s="30" t="s">
        <v>46</v>
      </c>
      <c r="L181" s="31" t="s">
        <v>46</v>
      </c>
      <c r="M181" t="str">
        <f t="shared" si="2"/>
        <v> </v>
      </c>
      <c r="P181" s="16" t="s">
        <v>272</v>
      </c>
    </row>
    <row r="182" spans="2:16" ht="81.599999999999994" thickBot="1" x14ac:dyDescent="0.35">
      <c r="B182" s="16" t="s">
        <v>265</v>
      </c>
      <c r="C182" s="15" t="s">
        <v>266</v>
      </c>
      <c r="D182" s="16">
        <v>3</v>
      </c>
      <c r="E182" s="23">
        <v>0.33300000000000002</v>
      </c>
      <c r="F182" s="49"/>
      <c r="G182" s="49"/>
      <c r="I182" s="26" t="s">
        <v>258</v>
      </c>
      <c r="J182" s="26" t="s">
        <v>259</v>
      </c>
      <c r="K182" s="26">
        <v>5</v>
      </c>
      <c r="L182" s="29">
        <v>0.2</v>
      </c>
      <c r="M182">
        <f t="shared" si="2"/>
        <v>0.2</v>
      </c>
      <c r="P182" s="16" t="s">
        <v>273</v>
      </c>
    </row>
    <row r="183" spans="2:16" ht="172.8" thickBot="1" x14ac:dyDescent="0.35">
      <c r="B183" s="16" t="s">
        <v>267</v>
      </c>
      <c r="C183" s="15" t="s">
        <v>268</v>
      </c>
      <c r="D183" s="16">
        <v>3</v>
      </c>
      <c r="E183" s="23">
        <v>0.33300000000000002</v>
      </c>
      <c r="F183" s="49"/>
      <c r="G183" s="49"/>
      <c r="I183" s="26" t="s">
        <v>260</v>
      </c>
      <c r="J183" s="26" t="s">
        <v>261</v>
      </c>
      <c r="K183" s="26">
        <v>5</v>
      </c>
      <c r="L183" s="29">
        <v>0.2</v>
      </c>
      <c r="M183">
        <f t="shared" si="2"/>
        <v>0.2</v>
      </c>
      <c r="P183" s="16" t="s">
        <v>274</v>
      </c>
    </row>
    <row r="184" spans="2:16" ht="81.599999999999994" thickBot="1" x14ac:dyDescent="0.35">
      <c r="B184" s="16" t="s">
        <v>269</v>
      </c>
      <c r="C184" s="15" t="s">
        <v>270</v>
      </c>
      <c r="D184" s="16">
        <v>3</v>
      </c>
      <c r="E184" s="23">
        <v>0.33300000000000002</v>
      </c>
      <c r="F184" s="49"/>
      <c r="G184" s="49"/>
      <c r="I184" s="26">
        <v>8524</v>
      </c>
      <c r="J184" s="26" t="s">
        <v>262</v>
      </c>
      <c r="K184" s="30" t="s">
        <v>46</v>
      </c>
      <c r="L184" s="31" t="s">
        <v>46</v>
      </c>
      <c r="M184" t="str">
        <f t="shared" si="2"/>
        <v> </v>
      </c>
      <c r="P184" s="16" t="s">
        <v>276</v>
      </c>
    </row>
    <row r="185" spans="2:16" ht="115.8" thickBot="1" x14ac:dyDescent="0.35">
      <c r="B185" s="16">
        <v>8525</v>
      </c>
      <c r="C185" s="16" t="s">
        <v>271</v>
      </c>
      <c r="D185" s="16">
        <v>5</v>
      </c>
      <c r="E185" s="17">
        <v>0.2</v>
      </c>
      <c r="F185" s="47"/>
      <c r="G185" s="47"/>
      <c r="I185" s="26" t="s">
        <v>263</v>
      </c>
      <c r="J185" s="27" t="s">
        <v>264</v>
      </c>
      <c r="K185" s="26">
        <v>3</v>
      </c>
      <c r="L185" s="34">
        <v>0.33300000000000002</v>
      </c>
      <c r="M185">
        <f t="shared" si="2"/>
        <v>0.33300000000000002</v>
      </c>
      <c r="P185" s="16" t="s">
        <v>277</v>
      </c>
    </row>
    <row r="186" spans="2:16" ht="127.2" thickBot="1" x14ac:dyDescent="0.35">
      <c r="B186" s="16">
        <v>8526</v>
      </c>
      <c r="C186" s="16" t="s">
        <v>272</v>
      </c>
      <c r="D186" s="16">
        <v>5</v>
      </c>
      <c r="E186" s="17">
        <v>0.2</v>
      </c>
      <c r="F186" s="47"/>
      <c r="G186" s="47"/>
      <c r="I186" s="26" t="s">
        <v>265</v>
      </c>
      <c r="J186" s="27" t="s">
        <v>266</v>
      </c>
      <c r="K186" s="26">
        <v>3</v>
      </c>
      <c r="L186" s="34">
        <v>0.33300000000000002</v>
      </c>
      <c r="M186">
        <f t="shared" si="2"/>
        <v>0.33300000000000002</v>
      </c>
      <c r="P186" s="16" t="s">
        <v>279</v>
      </c>
    </row>
    <row r="187" spans="2:16" ht="70.2" thickBot="1" x14ac:dyDescent="0.35">
      <c r="B187" s="16">
        <v>8527</v>
      </c>
      <c r="C187" s="16" t="s">
        <v>273</v>
      </c>
      <c r="D187" s="16">
        <v>5</v>
      </c>
      <c r="E187" s="17">
        <v>0.2</v>
      </c>
      <c r="F187" s="47"/>
      <c r="G187" s="47"/>
      <c r="I187" s="26" t="s">
        <v>267</v>
      </c>
      <c r="J187" s="27" t="s">
        <v>268</v>
      </c>
      <c r="K187" s="26">
        <v>3</v>
      </c>
      <c r="L187" s="34">
        <v>0.33300000000000002</v>
      </c>
      <c r="M187">
        <f t="shared" si="2"/>
        <v>0.33300000000000002</v>
      </c>
      <c r="P187" s="16" t="s">
        <v>280</v>
      </c>
    </row>
    <row r="188" spans="2:16" ht="81.599999999999994" thickBot="1" x14ac:dyDescent="0.35">
      <c r="B188" s="16">
        <v>8531</v>
      </c>
      <c r="C188" s="16" t="s">
        <v>274</v>
      </c>
      <c r="D188" s="18" t="s">
        <v>46</v>
      </c>
      <c r="E188" s="19" t="s">
        <v>46</v>
      </c>
      <c r="F188" s="48"/>
      <c r="G188" s="48"/>
      <c r="I188" s="26" t="s">
        <v>269</v>
      </c>
      <c r="J188" s="27" t="s">
        <v>270</v>
      </c>
      <c r="K188" s="26">
        <v>3</v>
      </c>
      <c r="L188" s="34">
        <v>0.33300000000000002</v>
      </c>
      <c r="M188">
        <f t="shared" si="2"/>
        <v>0.33300000000000002</v>
      </c>
      <c r="P188" s="16" t="s">
        <v>281</v>
      </c>
    </row>
    <row r="189" spans="2:16" ht="115.8" thickBot="1" x14ac:dyDescent="0.35">
      <c r="B189" s="16" t="s">
        <v>275</v>
      </c>
      <c r="C189" s="16" t="s">
        <v>276</v>
      </c>
      <c r="D189" s="16">
        <v>5</v>
      </c>
      <c r="E189" s="17">
        <v>0.2</v>
      </c>
      <c r="F189" s="47"/>
      <c r="G189" s="47"/>
      <c r="I189" s="26">
        <v>8525</v>
      </c>
      <c r="J189" s="26" t="s">
        <v>271</v>
      </c>
      <c r="K189" s="26">
        <v>5</v>
      </c>
      <c r="L189" s="29">
        <v>0.2</v>
      </c>
      <c r="M189" t="e">
        <f t="shared" si="2"/>
        <v>#VALUE!</v>
      </c>
      <c r="P189" s="16" t="s">
        <v>282</v>
      </c>
    </row>
    <row r="190" spans="2:16" ht="195.6" thickBot="1" x14ac:dyDescent="0.35">
      <c r="B190" s="16">
        <v>8543</v>
      </c>
      <c r="C190" s="16" t="s">
        <v>277</v>
      </c>
      <c r="D190" s="16">
        <v>10</v>
      </c>
      <c r="E190" s="17">
        <v>0.1</v>
      </c>
      <c r="F190" s="47"/>
      <c r="G190" s="47"/>
      <c r="I190" s="26">
        <v>8526</v>
      </c>
      <c r="J190" s="26" t="s">
        <v>272</v>
      </c>
      <c r="K190" s="26">
        <v>5</v>
      </c>
      <c r="L190" s="29">
        <v>0.2</v>
      </c>
      <c r="M190">
        <f t="shared" si="2"/>
        <v>0.2</v>
      </c>
      <c r="P190" s="16" t="s">
        <v>283</v>
      </c>
    </row>
    <row r="191" spans="2:16" ht="127.2" thickBot="1" x14ac:dyDescent="0.35">
      <c r="B191" s="16" t="s">
        <v>278</v>
      </c>
      <c r="C191" s="16" t="s">
        <v>279</v>
      </c>
      <c r="D191" s="18" t="s">
        <v>46</v>
      </c>
      <c r="E191" s="19" t="s">
        <v>46</v>
      </c>
      <c r="F191" s="48"/>
      <c r="G191" s="48"/>
      <c r="I191" s="26">
        <v>8527</v>
      </c>
      <c r="J191" s="26" t="s">
        <v>273</v>
      </c>
      <c r="K191" s="26">
        <v>5</v>
      </c>
      <c r="L191" s="29">
        <v>0.2</v>
      </c>
      <c r="M191">
        <f t="shared" si="2"/>
        <v>0.2</v>
      </c>
      <c r="P191" s="16" t="s">
        <v>284</v>
      </c>
    </row>
    <row r="192" spans="2:16" ht="81.599999999999994" thickBot="1" x14ac:dyDescent="0.35">
      <c r="B192" s="16">
        <v>8601</v>
      </c>
      <c r="C192" s="16" t="s">
        <v>280</v>
      </c>
      <c r="D192" s="16">
        <v>10</v>
      </c>
      <c r="E192" s="17">
        <v>0.1</v>
      </c>
      <c r="F192" s="47"/>
      <c r="G192" s="47"/>
      <c r="I192" s="26">
        <v>8531</v>
      </c>
      <c r="J192" s="26" t="s">
        <v>274</v>
      </c>
      <c r="K192" s="30" t="s">
        <v>46</v>
      </c>
      <c r="L192" s="31" t="s">
        <v>46</v>
      </c>
      <c r="M192" t="str">
        <f t="shared" si="2"/>
        <v> </v>
      </c>
      <c r="P192" s="16" t="s">
        <v>285</v>
      </c>
    </row>
    <row r="193" spans="2:16" ht="207" thickBot="1" x14ac:dyDescent="0.35">
      <c r="B193" s="16">
        <v>8602</v>
      </c>
      <c r="C193" s="16" t="s">
        <v>281</v>
      </c>
      <c r="D193" s="16">
        <v>10</v>
      </c>
      <c r="E193" s="17">
        <v>0.1</v>
      </c>
      <c r="F193" s="47"/>
      <c r="G193" s="47"/>
      <c r="I193" s="26" t="s">
        <v>275</v>
      </c>
      <c r="J193" s="26" t="s">
        <v>276</v>
      </c>
      <c r="K193" s="26">
        <v>5</v>
      </c>
      <c r="L193" s="29">
        <v>0.2</v>
      </c>
      <c r="M193">
        <f t="shared" si="2"/>
        <v>0.2</v>
      </c>
      <c r="P193" s="16" t="s">
        <v>286</v>
      </c>
    </row>
    <row r="194" spans="2:16" ht="115.8" thickBot="1" x14ac:dyDescent="0.35">
      <c r="B194" s="16">
        <v>8603</v>
      </c>
      <c r="C194" s="16" t="s">
        <v>282</v>
      </c>
      <c r="D194" s="16">
        <v>10</v>
      </c>
      <c r="E194" s="17">
        <v>0.1</v>
      </c>
      <c r="F194" s="47"/>
      <c r="G194" s="47"/>
      <c r="I194" s="26">
        <v>8543</v>
      </c>
      <c r="J194" s="26" t="s">
        <v>277</v>
      </c>
      <c r="K194" s="26">
        <v>10</v>
      </c>
      <c r="L194" s="29">
        <v>0.1</v>
      </c>
      <c r="M194">
        <f t="shared" si="2"/>
        <v>0.1</v>
      </c>
      <c r="P194" s="16" t="s">
        <v>287</v>
      </c>
    </row>
    <row r="195" spans="2:16" ht="93" thickBot="1" x14ac:dyDescent="0.35">
      <c r="B195" s="16">
        <v>8604</v>
      </c>
      <c r="C195" s="16" t="s">
        <v>283</v>
      </c>
      <c r="D195" s="16">
        <v>10</v>
      </c>
      <c r="E195" s="17">
        <v>0.1</v>
      </c>
      <c r="F195" s="47"/>
      <c r="G195" s="47"/>
      <c r="I195" s="26" t="s">
        <v>278</v>
      </c>
      <c r="J195" s="26" t="s">
        <v>279</v>
      </c>
      <c r="K195" s="30" t="s">
        <v>46</v>
      </c>
      <c r="L195" s="31" t="s">
        <v>46</v>
      </c>
      <c r="M195" t="str">
        <f t="shared" si="2"/>
        <v> </v>
      </c>
      <c r="P195" s="16" t="s">
        <v>289</v>
      </c>
    </row>
    <row r="196" spans="2:16" ht="58.8" thickBot="1" x14ac:dyDescent="0.35">
      <c r="B196" s="16">
        <v>8605</v>
      </c>
      <c r="C196" s="16" t="s">
        <v>284</v>
      </c>
      <c r="D196" s="16">
        <v>10</v>
      </c>
      <c r="E196" s="17">
        <v>0.1</v>
      </c>
      <c r="F196" s="47"/>
      <c r="G196" s="47"/>
      <c r="I196" s="26">
        <v>8601</v>
      </c>
      <c r="J196" s="26" t="s">
        <v>280</v>
      </c>
      <c r="K196" s="26">
        <v>10</v>
      </c>
      <c r="L196" s="29">
        <v>0.1</v>
      </c>
      <c r="M196">
        <f t="shared" si="2"/>
        <v>0.1</v>
      </c>
      <c r="P196" s="16" t="s">
        <v>290</v>
      </c>
    </row>
    <row r="197" spans="2:16" ht="70.2" thickBot="1" x14ac:dyDescent="0.35">
      <c r="B197" s="16">
        <v>8606</v>
      </c>
      <c r="C197" s="16" t="s">
        <v>285</v>
      </c>
      <c r="D197" s="16">
        <v>10</v>
      </c>
      <c r="E197" s="17">
        <v>0.1</v>
      </c>
      <c r="F197" s="47"/>
      <c r="G197" s="47"/>
      <c r="I197" s="26">
        <v>8602</v>
      </c>
      <c r="J197" s="26" t="s">
        <v>281</v>
      </c>
      <c r="K197" s="26">
        <v>10</v>
      </c>
      <c r="L197" s="29">
        <v>0.1</v>
      </c>
      <c r="M197">
        <f t="shared" si="2"/>
        <v>0.1</v>
      </c>
      <c r="P197" s="16" t="s">
        <v>291</v>
      </c>
    </row>
    <row r="198" spans="2:16" ht="172.8" thickBot="1" x14ac:dyDescent="0.35">
      <c r="B198" s="16">
        <v>8608</v>
      </c>
      <c r="C198" s="16" t="s">
        <v>286</v>
      </c>
      <c r="D198" s="16">
        <v>10</v>
      </c>
      <c r="E198" s="17">
        <v>0.1</v>
      </c>
      <c r="F198" s="47"/>
      <c r="G198" s="47"/>
      <c r="I198" s="26">
        <v>8603</v>
      </c>
      <c r="J198" s="26" t="s">
        <v>282</v>
      </c>
      <c r="K198" s="26">
        <v>10</v>
      </c>
      <c r="L198" s="29">
        <v>0.1</v>
      </c>
      <c r="M198">
        <f t="shared" si="2"/>
        <v>0.1</v>
      </c>
      <c r="P198" s="16" t="s">
        <v>292</v>
      </c>
    </row>
    <row r="199" spans="2:16" ht="93" thickBot="1" x14ac:dyDescent="0.35">
      <c r="B199" s="16">
        <v>8609</v>
      </c>
      <c r="C199" s="16" t="s">
        <v>287</v>
      </c>
      <c r="D199" s="16">
        <v>10</v>
      </c>
      <c r="E199" s="17">
        <v>0.1</v>
      </c>
      <c r="F199" s="47"/>
      <c r="G199" s="47"/>
      <c r="I199" s="26">
        <v>8604</v>
      </c>
      <c r="J199" s="26" t="s">
        <v>283</v>
      </c>
      <c r="K199" s="26">
        <v>10</v>
      </c>
      <c r="L199" s="29">
        <v>0.1</v>
      </c>
      <c r="M199">
        <f t="shared" ref="M199:M262" si="3">VLOOKUP(J199,C:E,3,0)</f>
        <v>0.1</v>
      </c>
      <c r="P199" s="16" t="s">
        <v>293</v>
      </c>
    </row>
    <row r="200" spans="2:16" ht="264" thickBot="1" x14ac:dyDescent="0.35">
      <c r="B200" s="16" t="s">
        <v>288</v>
      </c>
      <c r="C200" s="16" t="s">
        <v>289</v>
      </c>
      <c r="D200" s="18" t="s">
        <v>46</v>
      </c>
      <c r="E200" s="19" t="s">
        <v>46</v>
      </c>
      <c r="F200" s="48"/>
      <c r="G200" s="48"/>
      <c r="I200" s="26">
        <v>8605</v>
      </c>
      <c r="J200" s="26" t="s">
        <v>284</v>
      </c>
      <c r="K200" s="26">
        <v>10</v>
      </c>
      <c r="L200" s="29">
        <v>0.1</v>
      </c>
      <c r="M200">
        <f t="shared" si="3"/>
        <v>0.1</v>
      </c>
      <c r="P200" s="16" t="s">
        <v>294</v>
      </c>
    </row>
    <row r="201" spans="2:16" ht="184.2" thickBot="1" x14ac:dyDescent="0.35">
      <c r="B201" s="16">
        <v>8701</v>
      </c>
      <c r="C201" s="16" t="s">
        <v>290</v>
      </c>
      <c r="D201" s="16">
        <v>4</v>
      </c>
      <c r="E201" s="17">
        <v>0.25</v>
      </c>
      <c r="F201" s="47"/>
      <c r="G201" s="47"/>
      <c r="I201" s="26">
        <v>8606</v>
      </c>
      <c r="J201" s="26" t="s">
        <v>285</v>
      </c>
      <c r="K201" s="26">
        <v>10</v>
      </c>
      <c r="L201" s="29">
        <v>0.1</v>
      </c>
      <c r="M201">
        <f t="shared" si="3"/>
        <v>0.1</v>
      </c>
      <c r="P201" s="16" t="s">
        <v>295</v>
      </c>
    </row>
    <row r="202" spans="2:16" ht="104.4" thickBot="1" x14ac:dyDescent="0.35">
      <c r="B202" s="16">
        <v>8702</v>
      </c>
      <c r="C202" s="16" t="s">
        <v>291</v>
      </c>
      <c r="D202" s="16">
        <v>4</v>
      </c>
      <c r="E202" s="17">
        <v>0.25</v>
      </c>
      <c r="F202" s="47"/>
      <c r="G202" s="47"/>
      <c r="I202" s="26">
        <v>8608</v>
      </c>
      <c r="J202" s="26" t="s">
        <v>286</v>
      </c>
      <c r="K202" s="26">
        <v>10</v>
      </c>
      <c r="L202" s="29">
        <v>0.1</v>
      </c>
      <c r="M202">
        <f t="shared" si="3"/>
        <v>0.1</v>
      </c>
      <c r="P202" s="16" t="s">
        <v>296</v>
      </c>
    </row>
    <row r="203" spans="2:16" ht="93" thickBot="1" x14ac:dyDescent="0.35">
      <c r="B203" s="16">
        <v>8703</v>
      </c>
      <c r="C203" s="16" t="s">
        <v>292</v>
      </c>
      <c r="D203" s="16">
        <v>5</v>
      </c>
      <c r="E203" s="17">
        <v>0.2</v>
      </c>
      <c r="F203" s="47"/>
      <c r="G203" s="47"/>
      <c r="I203" s="26">
        <v>8609</v>
      </c>
      <c r="J203" s="26" t="s">
        <v>287</v>
      </c>
      <c r="K203" s="26">
        <v>10</v>
      </c>
      <c r="L203" s="29">
        <v>0.1</v>
      </c>
      <c r="M203">
        <f t="shared" si="3"/>
        <v>0.1</v>
      </c>
      <c r="P203" s="16" t="s">
        <v>297</v>
      </c>
    </row>
    <row r="204" spans="2:16" ht="36" thickBot="1" x14ac:dyDescent="0.35">
      <c r="B204" s="16">
        <v>8704</v>
      </c>
      <c r="C204" s="16" t="s">
        <v>293</v>
      </c>
      <c r="D204" s="16">
        <v>4</v>
      </c>
      <c r="E204" s="17">
        <v>0.25</v>
      </c>
      <c r="F204" s="47"/>
      <c r="G204" s="47"/>
      <c r="I204" s="26" t="s">
        <v>288</v>
      </c>
      <c r="J204" s="26" t="s">
        <v>289</v>
      </c>
      <c r="K204" s="30" t="s">
        <v>46</v>
      </c>
      <c r="L204" s="31" t="s">
        <v>46</v>
      </c>
      <c r="M204" t="str">
        <f t="shared" si="3"/>
        <v> </v>
      </c>
      <c r="P204" s="16" t="s">
        <v>299</v>
      </c>
    </row>
    <row r="205" spans="2:16" ht="127.2" thickBot="1" x14ac:dyDescent="0.35">
      <c r="B205" s="16">
        <v>8705</v>
      </c>
      <c r="C205" s="16" t="s">
        <v>294</v>
      </c>
      <c r="D205" s="16">
        <v>4</v>
      </c>
      <c r="E205" s="17">
        <v>0.25</v>
      </c>
      <c r="F205" s="47"/>
      <c r="G205" s="47"/>
      <c r="I205" s="26">
        <v>8701</v>
      </c>
      <c r="J205" s="26" t="s">
        <v>290</v>
      </c>
      <c r="K205" s="26">
        <v>4</v>
      </c>
      <c r="L205" s="29">
        <v>0.25</v>
      </c>
      <c r="M205">
        <f t="shared" si="3"/>
        <v>0.25</v>
      </c>
      <c r="P205" s="16" t="s">
        <v>300</v>
      </c>
    </row>
    <row r="206" spans="2:16" ht="138.6" thickBot="1" x14ac:dyDescent="0.35">
      <c r="B206" s="16">
        <v>8709</v>
      </c>
      <c r="C206" s="16" t="s">
        <v>295</v>
      </c>
      <c r="D206" s="16">
        <v>10</v>
      </c>
      <c r="E206" s="17">
        <v>0.1</v>
      </c>
      <c r="F206" s="47"/>
      <c r="G206" s="47"/>
      <c r="I206" s="26">
        <v>8702</v>
      </c>
      <c r="J206" s="26" t="s">
        <v>291</v>
      </c>
      <c r="K206" s="26">
        <v>4</v>
      </c>
      <c r="L206" s="29">
        <v>0.25</v>
      </c>
      <c r="M206">
        <f t="shared" si="3"/>
        <v>0.25</v>
      </c>
      <c r="P206" s="16" t="s">
        <v>301</v>
      </c>
    </row>
    <row r="207" spans="2:16" ht="93" thickBot="1" x14ac:dyDescent="0.35">
      <c r="B207" s="16">
        <v>8711</v>
      </c>
      <c r="C207" s="16" t="s">
        <v>296</v>
      </c>
      <c r="D207" s="16">
        <v>4</v>
      </c>
      <c r="E207" s="17">
        <v>0.25</v>
      </c>
      <c r="F207" s="47"/>
      <c r="G207" s="47"/>
      <c r="I207" s="26">
        <v>8703</v>
      </c>
      <c r="J207" s="26" t="s">
        <v>292</v>
      </c>
      <c r="K207" s="26">
        <v>5</v>
      </c>
      <c r="L207" s="29">
        <v>0.2</v>
      </c>
      <c r="M207">
        <f t="shared" si="3"/>
        <v>0.2</v>
      </c>
      <c r="P207" s="16" t="s">
        <v>302</v>
      </c>
    </row>
    <row r="208" spans="2:16" ht="172.8" thickBot="1" x14ac:dyDescent="0.35">
      <c r="B208" s="16">
        <v>8716</v>
      </c>
      <c r="C208" s="16" t="s">
        <v>297</v>
      </c>
      <c r="D208" s="16">
        <v>5</v>
      </c>
      <c r="E208" s="17">
        <v>0.2</v>
      </c>
      <c r="F208" s="47"/>
      <c r="G208" s="47"/>
      <c r="I208" s="26">
        <v>8704</v>
      </c>
      <c r="J208" s="26" t="s">
        <v>293</v>
      </c>
      <c r="K208" s="26">
        <v>4</v>
      </c>
      <c r="L208" s="29">
        <v>0.25</v>
      </c>
      <c r="M208">
        <f t="shared" si="3"/>
        <v>0.25</v>
      </c>
      <c r="P208" s="16" t="s">
        <v>303</v>
      </c>
    </row>
    <row r="209" spans="2:16" ht="127.2" thickBot="1" x14ac:dyDescent="0.35">
      <c r="B209" s="16" t="s">
        <v>298</v>
      </c>
      <c r="C209" s="16" t="s">
        <v>299</v>
      </c>
      <c r="D209" s="18" t="s">
        <v>46</v>
      </c>
      <c r="E209" s="19" t="s">
        <v>46</v>
      </c>
      <c r="F209" s="48"/>
      <c r="G209" s="48"/>
      <c r="I209" s="26">
        <v>8705</v>
      </c>
      <c r="J209" s="26" t="s">
        <v>294</v>
      </c>
      <c r="K209" s="26">
        <v>4</v>
      </c>
      <c r="L209" s="29">
        <v>0.25</v>
      </c>
      <c r="M209" t="e">
        <f t="shared" si="3"/>
        <v>#VALUE!</v>
      </c>
      <c r="P209" s="16" t="s">
        <v>305</v>
      </c>
    </row>
    <row r="210" spans="2:16" ht="127.2" thickBot="1" x14ac:dyDescent="0.35">
      <c r="B210" s="16">
        <v>8801</v>
      </c>
      <c r="C210" s="16" t="s">
        <v>300</v>
      </c>
      <c r="D210" s="16">
        <v>10</v>
      </c>
      <c r="E210" s="17">
        <v>0.1</v>
      </c>
      <c r="F210" s="47"/>
      <c r="G210" s="47"/>
      <c r="I210" s="26">
        <v>8709</v>
      </c>
      <c r="J210" s="26" t="s">
        <v>295</v>
      </c>
      <c r="K210" s="26">
        <v>10</v>
      </c>
      <c r="L210" s="29">
        <v>0.1</v>
      </c>
      <c r="M210">
        <f t="shared" si="3"/>
        <v>0.1</v>
      </c>
      <c r="P210" s="16" t="s">
        <v>306</v>
      </c>
    </row>
    <row r="211" spans="2:16" ht="104.4" thickBot="1" x14ac:dyDescent="0.35">
      <c r="B211" s="16">
        <v>8802</v>
      </c>
      <c r="C211" s="16" t="s">
        <v>301</v>
      </c>
      <c r="D211" s="16">
        <v>10</v>
      </c>
      <c r="E211" s="17">
        <v>0.1</v>
      </c>
      <c r="F211" s="47"/>
      <c r="G211" s="47"/>
      <c r="I211" s="26">
        <v>8711</v>
      </c>
      <c r="J211" s="26" t="s">
        <v>296</v>
      </c>
      <c r="K211" s="26">
        <v>4</v>
      </c>
      <c r="L211" s="29">
        <v>0.25</v>
      </c>
      <c r="M211">
        <f t="shared" si="3"/>
        <v>0.25</v>
      </c>
      <c r="P211" s="16" t="s">
        <v>307</v>
      </c>
    </row>
    <row r="212" spans="2:16" ht="70.2" thickBot="1" x14ac:dyDescent="0.35">
      <c r="B212" s="16">
        <v>8804</v>
      </c>
      <c r="C212" s="16" t="s">
        <v>302</v>
      </c>
      <c r="D212" s="16">
        <v>10</v>
      </c>
      <c r="E212" s="17">
        <v>0.1</v>
      </c>
      <c r="F212" s="47"/>
      <c r="G212" s="47"/>
      <c r="I212" s="26">
        <v>8716</v>
      </c>
      <c r="J212" s="26" t="s">
        <v>297</v>
      </c>
      <c r="K212" s="26">
        <v>5</v>
      </c>
      <c r="L212" s="29">
        <v>0.2</v>
      </c>
      <c r="M212">
        <f t="shared" si="3"/>
        <v>0.2</v>
      </c>
      <c r="P212" s="16" t="s">
        <v>308</v>
      </c>
    </row>
    <row r="213" spans="2:16" ht="93" thickBot="1" x14ac:dyDescent="0.35">
      <c r="B213" s="16">
        <v>8805</v>
      </c>
      <c r="C213" s="16" t="s">
        <v>303</v>
      </c>
      <c r="D213" s="16">
        <v>10</v>
      </c>
      <c r="E213" s="17">
        <v>0.1</v>
      </c>
      <c r="F213" s="47"/>
      <c r="G213" s="47"/>
      <c r="I213" s="26" t="s">
        <v>298</v>
      </c>
      <c r="J213" s="26" t="s">
        <v>299</v>
      </c>
      <c r="K213" s="30" t="s">
        <v>46</v>
      </c>
      <c r="L213" s="31" t="s">
        <v>46</v>
      </c>
      <c r="M213" t="str">
        <f t="shared" si="3"/>
        <v> </v>
      </c>
      <c r="P213" s="15" t="s">
        <v>310</v>
      </c>
    </row>
    <row r="214" spans="2:16" ht="47.4" thickBot="1" x14ac:dyDescent="0.35">
      <c r="B214" s="16" t="s">
        <v>304</v>
      </c>
      <c r="C214" s="16" t="s">
        <v>305</v>
      </c>
      <c r="D214" s="18" t="s">
        <v>46</v>
      </c>
      <c r="E214" s="19" t="s">
        <v>46</v>
      </c>
      <c r="F214" s="48"/>
      <c r="G214" s="48"/>
      <c r="I214" s="26">
        <v>8801</v>
      </c>
      <c r="J214" s="26" t="s">
        <v>300</v>
      </c>
      <c r="K214" s="26">
        <v>10</v>
      </c>
      <c r="L214" s="29">
        <v>0.1</v>
      </c>
      <c r="M214">
        <f t="shared" si="3"/>
        <v>0.1</v>
      </c>
      <c r="P214" s="15" t="s">
        <v>312</v>
      </c>
    </row>
    <row r="215" spans="2:16" ht="58.8" thickBot="1" x14ac:dyDescent="0.35">
      <c r="B215" s="16">
        <v>8901</v>
      </c>
      <c r="C215" s="16" t="s">
        <v>306</v>
      </c>
      <c r="D215" s="16">
        <v>20</v>
      </c>
      <c r="E215" s="17">
        <v>0.05</v>
      </c>
      <c r="F215" s="47"/>
      <c r="G215" s="47"/>
      <c r="I215" s="26">
        <v>8802</v>
      </c>
      <c r="J215" s="26" t="s">
        <v>301</v>
      </c>
      <c r="K215" s="26">
        <v>10</v>
      </c>
      <c r="L215" s="29">
        <v>0.1</v>
      </c>
      <c r="M215">
        <f t="shared" si="3"/>
        <v>0.1</v>
      </c>
      <c r="P215" s="16" t="s">
        <v>313</v>
      </c>
    </row>
    <row r="216" spans="2:16" ht="195.6" thickBot="1" x14ac:dyDescent="0.35">
      <c r="B216" s="16">
        <v>8902</v>
      </c>
      <c r="C216" s="16" t="s">
        <v>307</v>
      </c>
      <c r="D216" s="16">
        <v>20</v>
      </c>
      <c r="E216" s="17">
        <v>0.05</v>
      </c>
      <c r="F216" s="47"/>
      <c r="G216" s="47"/>
      <c r="I216" s="26">
        <v>8804</v>
      </c>
      <c r="J216" s="26" t="s">
        <v>302</v>
      </c>
      <c r="K216" s="26">
        <v>10</v>
      </c>
      <c r="L216" s="29">
        <v>0.1</v>
      </c>
      <c r="M216">
        <f t="shared" si="3"/>
        <v>0.1</v>
      </c>
      <c r="P216" s="16" t="s">
        <v>314</v>
      </c>
    </row>
    <row r="217" spans="2:16" ht="93" thickBot="1" x14ac:dyDescent="0.35">
      <c r="B217" s="16">
        <v>8903</v>
      </c>
      <c r="C217" s="16" t="s">
        <v>308</v>
      </c>
      <c r="D217" s="18" t="s">
        <v>46</v>
      </c>
      <c r="E217" s="19" t="s">
        <v>46</v>
      </c>
      <c r="F217" s="48"/>
      <c r="G217" s="48"/>
      <c r="I217" s="26">
        <v>8805</v>
      </c>
      <c r="J217" s="26" t="s">
        <v>303</v>
      </c>
      <c r="K217" s="26">
        <v>10</v>
      </c>
      <c r="L217" s="29">
        <v>0.1</v>
      </c>
      <c r="M217">
        <f t="shared" si="3"/>
        <v>0.1</v>
      </c>
      <c r="P217" s="16" t="s">
        <v>316</v>
      </c>
    </row>
    <row r="218" spans="2:16" ht="104.4" thickBot="1" x14ac:dyDescent="0.35">
      <c r="B218" s="16" t="s">
        <v>309</v>
      </c>
      <c r="C218" s="15" t="s">
        <v>310</v>
      </c>
      <c r="D218" s="16">
        <v>5</v>
      </c>
      <c r="E218" s="17">
        <v>0.2</v>
      </c>
      <c r="F218" s="47"/>
      <c r="G218" s="47"/>
      <c r="I218" s="26" t="s">
        <v>304</v>
      </c>
      <c r="J218" s="26" t="s">
        <v>305</v>
      </c>
      <c r="K218" s="30" t="s">
        <v>46</v>
      </c>
      <c r="L218" s="31" t="s">
        <v>46</v>
      </c>
      <c r="M218" t="str">
        <f t="shared" si="3"/>
        <v> </v>
      </c>
      <c r="P218" s="16" t="s">
        <v>317</v>
      </c>
    </row>
    <row r="219" spans="2:16" ht="58.8" thickBot="1" x14ac:dyDescent="0.35">
      <c r="B219" s="16" t="s">
        <v>311</v>
      </c>
      <c r="C219" s="15" t="s">
        <v>312</v>
      </c>
      <c r="D219" s="16">
        <v>10</v>
      </c>
      <c r="E219" s="17">
        <v>0.1</v>
      </c>
      <c r="F219" s="47"/>
      <c r="G219" s="47"/>
      <c r="I219" s="26">
        <v>8901</v>
      </c>
      <c r="J219" s="26" t="s">
        <v>306</v>
      </c>
      <c r="K219" s="26">
        <v>20</v>
      </c>
      <c r="L219" s="29">
        <v>0.05</v>
      </c>
      <c r="M219">
        <f t="shared" si="3"/>
        <v>0.05</v>
      </c>
      <c r="P219" s="15" t="s">
        <v>319</v>
      </c>
    </row>
    <row r="220" spans="2:16" ht="47.4" thickBot="1" x14ac:dyDescent="0.35">
      <c r="B220" s="16">
        <v>8904</v>
      </c>
      <c r="C220" s="16" t="s">
        <v>313</v>
      </c>
      <c r="D220" s="16">
        <v>20</v>
      </c>
      <c r="E220" s="17">
        <v>0.05</v>
      </c>
      <c r="F220" s="47"/>
      <c r="G220" s="47"/>
      <c r="I220" s="26">
        <v>8902</v>
      </c>
      <c r="J220" s="26" t="s">
        <v>307</v>
      </c>
      <c r="K220" s="26">
        <v>20</v>
      </c>
      <c r="L220" s="29">
        <v>0.05</v>
      </c>
      <c r="M220">
        <f t="shared" si="3"/>
        <v>0.05</v>
      </c>
      <c r="P220" s="15" t="s">
        <v>321</v>
      </c>
    </row>
    <row r="221" spans="2:16" ht="115.8" thickBot="1" x14ac:dyDescent="0.35">
      <c r="B221" s="16">
        <v>8905</v>
      </c>
      <c r="C221" s="16" t="s">
        <v>314</v>
      </c>
      <c r="D221" s="16">
        <v>20</v>
      </c>
      <c r="E221" s="14" t="s">
        <v>315</v>
      </c>
      <c r="F221" s="44"/>
      <c r="G221" s="44"/>
      <c r="I221" s="26">
        <v>8903</v>
      </c>
      <c r="J221" s="26" t="s">
        <v>308</v>
      </c>
      <c r="K221" s="30" t="s">
        <v>46</v>
      </c>
      <c r="L221" s="31" t="s">
        <v>46</v>
      </c>
      <c r="M221" t="str">
        <f t="shared" si="3"/>
        <v> </v>
      </c>
      <c r="P221" s="16" t="s">
        <v>323</v>
      </c>
    </row>
    <row r="222" spans="2:16" ht="127.2" thickBot="1" x14ac:dyDescent="0.35">
      <c r="B222" s="16">
        <v>8906</v>
      </c>
      <c r="C222" s="16" t="s">
        <v>316</v>
      </c>
      <c r="D222" s="16">
        <v>20</v>
      </c>
      <c r="E222" s="17">
        <v>0.05</v>
      </c>
      <c r="F222" s="47"/>
      <c r="G222" s="47"/>
      <c r="I222" s="26" t="s">
        <v>309</v>
      </c>
      <c r="J222" s="27" t="s">
        <v>310</v>
      </c>
      <c r="K222" s="26">
        <v>5</v>
      </c>
      <c r="L222" s="29">
        <v>0.2</v>
      </c>
      <c r="M222">
        <f t="shared" si="3"/>
        <v>0.2</v>
      </c>
      <c r="P222" s="16" t="s">
        <v>324</v>
      </c>
    </row>
    <row r="223" spans="2:16" ht="104.4" thickBot="1" x14ac:dyDescent="0.35">
      <c r="B223" s="16">
        <v>8907</v>
      </c>
      <c r="C223" s="16" t="s">
        <v>317</v>
      </c>
      <c r="D223" s="18" t="s">
        <v>46</v>
      </c>
      <c r="E223" s="19" t="s">
        <v>46</v>
      </c>
      <c r="F223" s="48"/>
      <c r="G223" s="48"/>
      <c r="I223" s="26" t="s">
        <v>311</v>
      </c>
      <c r="J223" s="27" t="s">
        <v>312</v>
      </c>
      <c r="K223" s="26">
        <v>10</v>
      </c>
      <c r="L223" s="29">
        <v>0.1</v>
      </c>
      <c r="M223">
        <f t="shared" si="3"/>
        <v>0.1</v>
      </c>
      <c r="P223" s="16" t="s">
        <v>325</v>
      </c>
    </row>
    <row r="224" spans="2:16" ht="104.4" thickBot="1" x14ac:dyDescent="0.35">
      <c r="B224" s="16" t="s">
        <v>318</v>
      </c>
      <c r="C224" s="15" t="s">
        <v>319</v>
      </c>
      <c r="D224" s="16">
        <v>5</v>
      </c>
      <c r="E224" s="17">
        <v>0.2</v>
      </c>
      <c r="F224" s="47"/>
      <c r="G224" s="47"/>
      <c r="I224" s="26">
        <v>8904</v>
      </c>
      <c r="J224" s="26" t="s">
        <v>313</v>
      </c>
      <c r="K224" s="26">
        <v>20</v>
      </c>
      <c r="L224" s="29">
        <v>0.05</v>
      </c>
      <c r="M224">
        <f t="shared" si="3"/>
        <v>0.05</v>
      </c>
      <c r="P224" s="16" t="s">
        <v>326</v>
      </c>
    </row>
    <row r="225" spans="2:16" ht="93" thickBot="1" x14ac:dyDescent="0.35">
      <c r="B225" s="16" t="s">
        <v>320</v>
      </c>
      <c r="C225" s="15" t="s">
        <v>321</v>
      </c>
      <c r="D225" s="16">
        <v>20</v>
      </c>
      <c r="E225" s="17">
        <v>0.05</v>
      </c>
      <c r="F225" s="47"/>
      <c r="G225" s="47"/>
      <c r="I225" s="26">
        <v>8905</v>
      </c>
      <c r="J225" s="26" t="s">
        <v>314</v>
      </c>
      <c r="K225" s="26">
        <v>20</v>
      </c>
      <c r="L225" s="28" t="s">
        <v>315</v>
      </c>
      <c r="M225" t="str">
        <f t="shared" si="3"/>
        <v>%</v>
      </c>
      <c r="P225" s="16" t="s">
        <v>327</v>
      </c>
    </row>
    <row r="226" spans="2:16" ht="70.2" thickBot="1" x14ac:dyDescent="0.35">
      <c r="B226" s="16" t="s">
        <v>322</v>
      </c>
      <c r="C226" s="16" t="s">
        <v>323</v>
      </c>
      <c r="D226" s="18" t="s">
        <v>46</v>
      </c>
      <c r="E226" s="19" t="s">
        <v>46</v>
      </c>
      <c r="F226" s="48"/>
      <c r="G226" s="48"/>
      <c r="I226" s="26">
        <v>8906</v>
      </c>
      <c r="J226" s="26" t="s">
        <v>316</v>
      </c>
      <c r="K226" s="26">
        <v>20</v>
      </c>
      <c r="L226" s="29">
        <v>0.05</v>
      </c>
      <c r="M226">
        <f t="shared" si="3"/>
        <v>0.05</v>
      </c>
      <c r="P226" s="16" t="s">
        <v>328</v>
      </c>
    </row>
    <row r="227" spans="2:16" ht="207" thickBot="1" x14ac:dyDescent="0.35">
      <c r="B227" s="16">
        <v>9005</v>
      </c>
      <c r="C227" s="16" t="s">
        <v>324</v>
      </c>
      <c r="D227" s="16">
        <v>10</v>
      </c>
      <c r="E227" s="17">
        <v>0.1</v>
      </c>
      <c r="F227" s="47"/>
      <c r="G227" s="47"/>
      <c r="I227" s="26">
        <v>8907</v>
      </c>
      <c r="J227" s="26" t="s">
        <v>317</v>
      </c>
      <c r="K227" s="30" t="s">
        <v>46</v>
      </c>
      <c r="L227" s="31" t="s">
        <v>46</v>
      </c>
      <c r="M227" t="str">
        <f t="shared" si="3"/>
        <v> </v>
      </c>
      <c r="P227" s="16" t="s">
        <v>329</v>
      </c>
    </row>
    <row r="228" spans="2:16" ht="93" thickBot="1" x14ac:dyDescent="0.35">
      <c r="B228" s="16">
        <v>9006</v>
      </c>
      <c r="C228" s="16" t="s">
        <v>325</v>
      </c>
      <c r="D228" s="16">
        <v>10</v>
      </c>
      <c r="E228" s="17">
        <v>0.1</v>
      </c>
      <c r="F228" s="47"/>
      <c r="G228" s="47"/>
      <c r="I228" s="26" t="s">
        <v>318</v>
      </c>
      <c r="J228" s="27" t="s">
        <v>319</v>
      </c>
      <c r="K228" s="26">
        <v>5</v>
      </c>
      <c r="L228" s="29">
        <v>0.2</v>
      </c>
      <c r="M228">
        <f t="shared" si="3"/>
        <v>0.2</v>
      </c>
      <c r="P228" s="16" t="s">
        <v>330</v>
      </c>
    </row>
    <row r="229" spans="2:16" ht="47.4" thickBot="1" x14ac:dyDescent="0.35">
      <c r="B229" s="16">
        <v>9007</v>
      </c>
      <c r="C229" s="16" t="s">
        <v>326</v>
      </c>
      <c r="D229" s="16">
        <v>10</v>
      </c>
      <c r="E229" s="17">
        <v>0.1</v>
      </c>
      <c r="F229" s="47"/>
      <c r="G229" s="47"/>
      <c r="I229" s="26" t="s">
        <v>320</v>
      </c>
      <c r="J229" s="27" t="s">
        <v>321</v>
      </c>
      <c r="K229" s="26">
        <v>20</v>
      </c>
      <c r="L229" s="29">
        <v>0.05</v>
      </c>
      <c r="M229">
        <f t="shared" si="3"/>
        <v>0.05</v>
      </c>
      <c r="P229" s="16" t="s">
        <v>331</v>
      </c>
    </row>
    <row r="230" spans="2:16" ht="81.599999999999994" thickBot="1" x14ac:dyDescent="0.35">
      <c r="B230" s="16">
        <v>9008</v>
      </c>
      <c r="C230" s="16" t="s">
        <v>327</v>
      </c>
      <c r="D230" s="16">
        <v>10</v>
      </c>
      <c r="E230" s="17">
        <v>0.1</v>
      </c>
      <c r="F230" s="47"/>
      <c r="G230" s="47"/>
      <c r="I230" s="26" t="s">
        <v>322</v>
      </c>
      <c r="J230" s="26" t="s">
        <v>323</v>
      </c>
      <c r="K230" s="30" t="s">
        <v>46</v>
      </c>
      <c r="L230" s="31" t="s">
        <v>46</v>
      </c>
      <c r="M230" t="str">
        <f t="shared" si="3"/>
        <v> </v>
      </c>
      <c r="P230" s="16" t="s">
        <v>332</v>
      </c>
    </row>
    <row r="231" spans="2:16" ht="161.4" thickBot="1" x14ac:dyDescent="0.35">
      <c r="B231" s="16">
        <v>9009</v>
      </c>
      <c r="C231" s="16" t="s">
        <v>328</v>
      </c>
      <c r="D231" s="16">
        <v>10</v>
      </c>
      <c r="E231" s="17">
        <v>0.1</v>
      </c>
      <c r="F231" s="47"/>
      <c r="G231" s="47"/>
      <c r="I231" s="26">
        <v>9005</v>
      </c>
      <c r="J231" s="26" t="s">
        <v>324</v>
      </c>
      <c r="K231" s="26">
        <v>10</v>
      </c>
      <c r="L231" s="29">
        <v>0.1</v>
      </c>
      <c r="M231">
        <f t="shared" si="3"/>
        <v>0.1</v>
      </c>
      <c r="P231" s="16" t="s">
        <v>333</v>
      </c>
    </row>
    <row r="232" spans="2:16" ht="104.4" thickBot="1" x14ac:dyDescent="0.35">
      <c r="B232" s="16">
        <v>9010</v>
      </c>
      <c r="C232" s="16" t="s">
        <v>329</v>
      </c>
      <c r="D232" s="16">
        <v>10</v>
      </c>
      <c r="E232" s="17">
        <v>0.1</v>
      </c>
      <c r="F232" s="47"/>
      <c r="G232" s="47"/>
      <c r="I232" s="26">
        <v>9006</v>
      </c>
      <c r="J232" s="26" t="s">
        <v>325</v>
      </c>
      <c r="K232" s="26">
        <v>10</v>
      </c>
      <c r="L232" s="29">
        <v>0.1</v>
      </c>
      <c r="M232">
        <f t="shared" si="3"/>
        <v>0.1</v>
      </c>
      <c r="P232" s="16" t="s">
        <v>334</v>
      </c>
    </row>
    <row r="233" spans="2:16" ht="298.2" thickBot="1" x14ac:dyDescent="0.35">
      <c r="B233" s="16">
        <v>9011</v>
      </c>
      <c r="C233" s="16" t="s">
        <v>330</v>
      </c>
      <c r="D233" s="16">
        <v>10</v>
      </c>
      <c r="E233" s="17">
        <v>0.1</v>
      </c>
      <c r="F233" s="47"/>
      <c r="G233" s="47"/>
      <c r="I233" s="26">
        <v>9007</v>
      </c>
      <c r="J233" s="26" t="s">
        <v>326</v>
      </c>
      <c r="K233" s="26">
        <v>10</v>
      </c>
      <c r="L233" s="29">
        <v>0.1</v>
      </c>
      <c r="M233">
        <f t="shared" si="3"/>
        <v>0.1</v>
      </c>
      <c r="P233" s="16" t="s">
        <v>335</v>
      </c>
    </row>
    <row r="234" spans="2:16" ht="161.4" thickBot="1" x14ac:dyDescent="0.35">
      <c r="B234" s="16">
        <v>9012</v>
      </c>
      <c r="C234" s="16" t="s">
        <v>331</v>
      </c>
      <c r="D234" s="16">
        <v>10</v>
      </c>
      <c r="E234" s="17">
        <v>0.1</v>
      </c>
      <c r="F234" s="47"/>
      <c r="G234" s="47"/>
      <c r="I234" s="26">
        <v>9008</v>
      </c>
      <c r="J234" s="26" t="s">
        <v>327</v>
      </c>
      <c r="K234" s="26">
        <v>10</v>
      </c>
      <c r="L234" s="29">
        <v>0.1</v>
      </c>
      <c r="M234">
        <f t="shared" si="3"/>
        <v>0.1</v>
      </c>
      <c r="P234" s="16" t="s">
        <v>336</v>
      </c>
    </row>
    <row r="235" spans="2:16" ht="70.2" thickBot="1" x14ac:dyDescent="0.35">
      <c r="B235" s="16">
        <v>9014</v>
      </c>
      <c r="C235" s="16" t="s">
        <v>332</v>
      </c>
      <c r="D235" s="16">
        <v>10</v>
      </c>
      <c r="E235" s="17">
        <v>0.1</v>
      </c>
      <c r="F235" s="47"/>
      <c r="G235" s="47"/>
      <c r="I235" s="26">
        <v>9009</v>
      </c>
      <c r="J235" s="26" t="s">
        <v>328</v>
      </c>
      <c r="K235" s="26">
        <v>10</v>
      </c>
      <c r="L235" s="29">
        <v>0.1</v>
      </c>
      <c r="M235">
        <f t="shared" si="3"/>
        <v>0.1</v>
      </c>
      <c r="P235" s="15" t="s">
        <v>338</v>
      </c>
    </row>
    <row r="236" spans="2:16" ht="104.4" thickBot="1" x14ac:dyDescent="0.35">
      <c r="B236" s="16">
        <v>9015</v>
      </c>
      <c r="C236" s="16" t="s">
        <v>333</v>
      </c>
      <c r="D236" s="16">
        <v>10</v>
      </c>
      <c r="E236" s="17">
        <v>0.1</v>
      </c>
      <c r="F236" s="47"/>
      <c r="G236" s="47"/>
      <c r="I236" s="26">
        <v>9010</v>
      </c>
      <c r="J236" s="26" t="s">
        <v>329</v>
      </c>
      <c r="K236" s="26">
        <v>10</v>
      </c>
      <c r="L236" s="29">
        <v>0.1</v>
      </c>
      <c r="M236">
        <f t="shared" si="3"/>
        <v>0.1</v>
      </c>
      <c r="P236" s="15" t="s">
        <v>340</v>
      </c>
    </row>
    <row r="237" spans="2:16" ht="58.8" thickBot="1" x14ac:dyDescent="0.35">
      <c r="B237" s="16">
        <v>9016</v>
      </c>
      <c r="C237" s="16" t="s">
        <v>334</v>
      </c>
      <c r="D237" s="16">
        <v>10</v>
      </c>
      <c r="E237" s="17">
        <v>0.1</v>
      </c>
      <c r="F237" s="47"/>
      <c r="G237" s="47"/>
      <c r="I237" s="26">
        <v>9011</v>
      </c>
      <c r="J237" s="26" t="s">
        <v>330</v>
      </c>
      <c r="K237" s="26">
        <v>10</v>
      </c>
      <c r="L237" s="29">
        <v>0.1</v>
      </c>
      <c r="M237">
        <f t="shared" si="3"/>
        <v>0.1</v>
      </c>
      <c r="P237" s="15" t="s">
        <v>342</v>
      </c>
    </row>
    <row r="238" spans="2:16" ht="138.6" thickBot="1" x14ac:dyDescent="0.35">
      <c r="B238" s="16">
        <v>9017</v>
      </c>
      <c r="C238" s="16" t="s">
        <v>335</v>
      </c>
      <c r="D238" s="16">
        <v>10</v>
      </c>
      <c r="E238" s="17">
        <v>0.1</v>
      </c>
      <c r="F238" s="47"/>
      <c r="G238" s="47"/>
      <c r="I238" s="26">
        <v>9012</v>
      </c>
      <c r="J238" s="26" t="s">
        <v>331</v>
      </c>
      <c r="K238" s="26">
        <v>10</v>
      </c>
      <c r="L238" s="29">
        <v>0.1</v>
      </c>
      <c r="M238">
        <f t="shared" si="3"/>
        <v>0.1</v>
      </c>
      <c r="P238" s="15" t="s">
        <v>344</v>
      </c>
    </row>
    <row r="239" spans="2:16" ht="81.599999999999994" thickBot="1" x14ac:dyDescent="0.35">
      <c r="B239" s="16">
        <v>9018</v>
      </c>
      <c r="C239" s="16" t="s">
        <v>336</v>
      </c>
      <c r="D239" s="18" t="s">
        <v>46</v>
      </c>
      <c r="E239" s="19" t="s">
        <v>46</v>
      </c>
      <c r="F239" s="48"/>
      <c r="G239" s="48"/>
      <c r="I239" s="26">
        <v>9014</v>
      </c>
      <c r="J239" s="26" t="s">
        <v>332</v>
      </c>
      <c r="K239" s="26">
        <v>10</v>
      </c>
      <c r="L239" s="29">
        <v>0.1</v>
      </c>
      <c r="M239">
        <f t="shared" si="3"/>
        <v>0.1</v>
      </c>
      <c r="P239" s="15" t="s">
        <v>346</v>
      </c>
    </row>
    <row r="240" spans="2:16" ht="81.599999999999994" thickBot="1" x14ac:dyDescent="0.35">
      <c r="B240" s="16" t="s">
        <v>337</v>
      </c>
      <c r="C240" s="15" t="s">
        <v>338</v>
      </c>
      <c r="D240" s="16">
        <v>10</v>
      </c>
      <c r="E240" s="17">
        <v>0.1</v>
      </c>
      <c r="F240" s="47"/>
      <c r="G240" s="47"/>
      <c r="I240" s="26">
        <v>9015</v>
      </c>
      <c r="J240" s="26" t="s">
        <v>333</v>
      </c>
      <c r="K240" s="26">
        <v>10</v>
      </c>
      <c r="L240" s="29">
        <v>0.1</v>
      </c>
      <c r="M240">
        <f t="shared" si="3"/>
        <v>0.1</v>
      </c>
      <c r="P240" s="15" t="s">
        <v>348</v>
      </c>
    </row>
    <row r="241" spans="2:16" ht="24.6" thickBot="1" x14ac:dyDescent="0.35">
      <c r="B241" s="16" t="s">
        <v>339</v>
      </c>
      <c r="C241" s="15" t="s">
        <v>340</v>
      </c>
      <c r="D241" s="16">
        <v>10</v>
      </c>
      <c r="E241" s="17">
        <v>0.1</v>
      </c>
      <c r="F241" s="47"/>
      <c r="G241" s="47"/>
      <c r="I241" s="26">
        <v>9016</v>
      </c>
      <c r="J241" s="26" t="s">
        <v>334</v>
      </c>
      <c r="K241" s="26">
        <v>10</v>
      </c>
      <c r="L241" s="29">
        <v>0.1</v>
      </c>
      <c r="M241">
        <f t="shared" si="3"/>
        <v>0.1</v>
      </c>
      <c r="P241" s="15" t="s">
        <v>350</v>
      </c>
    </row>
    <row r="242" spans="2:16" ht="207" thickBot="1" x14ac:dyDescent="0.35">
      <c r="B242" s="16" t="s">
        <v>341</v>
      </c>
      <c r="C242" s="15" t="s">
        <v>342</v>
      </c>
      <c r="D242" s="18" t="s">
        <v>46</v>
      </c>
      <c r="E242" s="19" t="s">
        <v>46</v>
      </c>
      <c r="F242" s="48"/>
      <c r="G242" s="48"/>
      <c r="I242" s="26">
        <v>9017</v>
      </c>
      <c r="J242" s="26" t="s">
        <v>335</v>
      </c>
      <c r="K242" s="26">
        <v>10</v>
      </c>
      <c r="L242" s="29">
        <v>0.1</v>
      </c>
      <c r="M242" t="e">
        <f t="shared" si="3"/>
        <v>#VALUE!</v>
      </c>
      <c r="P242" s="16" t="s">
        <v>351</v>
      </c>
    </row>
    <row r="243" spans="2:16" ht="127.2" thickBot="1" x14ac:dyDescent="0.35">
      <c r="B243" s="16" t="s">
        <v>343</v>
      </c>
      <c r="C243" s="15" t="s">
        <v>344</v>
      </c>
      <c r="D243" s="16">
        <v>10</v>
      </c>
      <c r="E243" s="17">
        <v>0.1</v>
      </c>
      <c r="F243" s="47"/>
      <c r="G243" s="47"/>
      <c r="I243" s="26">
        <v>9018</v>
      </c>
      <c r="J243" s="26" t="s">
        <v>336</v>
      </c>
      <c r="K243" s="30" t="s">
        <v>46</v>
      </c>
      <c r="L243" s="31" t="s">
        <v>46</v>
      </c>
      <c r="M243" t="str">
        <f t="shared" si="3"/>
        <v> </v>
      </c>
      <c r="P243" s="16" t="s">
        <v>352</v>
      </c>
    </row>
    <row r="244" spans="2:16" ht="343.8" thickBot="1" x14ac:dyDescent="0.35">
      <c r="B244" s="16" t="s">
        <v>345</v>
      </c>
      <c r="C244" s="15" t="s">
        <v>346</v>
      </c>
      <c r="D244" s="16">
        <v>10</v>
      </c>
      <c r="E244" s="17">
        <v>0.1</v>
      </c>
      <c r="F244" s="47"/>
      <c r="G244" s="47"/>
      <c r="I244" s="26" t="s">
        <v>337</v>
      </c>
      <c r="J244" s="27" t="s">
        <v>338</v>
      </c>
      <c r="K244" s="26">
        <v>10</v>
      </c>
      <c r="L244" s="29">
        <v>0.1</v>
      </c>
      <c r="M244">
        <f t="shared" si="3"/>
        <v>0.1</v>
      </c>
      <c r="P244" s="16" t="s">
        <v>353</v>
      </c>
    </row>
    <row r="245" spans="2:16" ht="150" thickBot="1" x14ac:dyDescent="0.35">
      <c r="B245" s="16" t="s">
        <v>347</v>
      </c>
      <c r="C245" s="15" t="s">
        <v>348</v>
      </c>
      <c r="D245" s="16">
        <v>10</v>
      </c>
      <c r="E245" s="17">
        <v>0.1</v>
      </c>
      <c r="F245" s="47"/>
      <c r="G245" s="47"/>
      <c r="I245" s="26" t="s">
        <v>339</v>
      </c>
      <c r="J245" s="27" t="s">
        <v>340</v>
      </c>
      <c r="K245" s="26">
        <v>10</v>
      </c>
      <c r="L245" s="29">
        <v>0.1</v>
      </c>
      <c r="M245">
        <f t="shared" si="3"/>
        <v>0.1</v>
      </c>
      <c r="P245" s="16" t="s">
        <v>354</v>
      </c>
    </row>
    <row r="246" spans="2:16" ht="172.8" thickBot="1" x14ac:dyDescent="0.35">
      <c r="B246" s="16" t="s">
        <v>349</v>
      </c>
      <c r="C246" s="15" t="s">
        <v>350</v>
      </c>
      <c r="D246" s="16">
        <v>10</v>
      </c>
      <c r="E246" s="17">
        <v>0.1</v>
      </c>
      <c r="F246" s="47"/>
      <c r="G246" s="47"/>
      <c r="I246" s="26" t="s">
        <v>341</v>
      </c>
      <c r="J246" s="27" t="s">
        <v>342</v>
      </c>
      <c r="K246" s="30" t="s">
        <v>46</v>
      </c>
      <c r="L246" s="31" t="s">
        <v>46</v>
      </c>
      <c r="M246" t="str">
        <f t="shared" si="3"/>
        <v> </v>
      </c>
      <c r="P246" s="16" t="s">
        <v>355</v>
      </c>
    </row>
    <row r="247" spans="2:16" ht="252.6" thickBot="1" x14ac:dyDescent="0.35">
      <c r="B247" s="16">
        <v>9019</v>
      </c>
      <c r="C247" s="16" t="s">
        <v>351</v>
      </c>
      <c r="D247" s="16">
        <v>10</v>
      </c>
      <c r="E247" s="17">
        <v>0.1</v>
      </c>
      <c r="F247" s="47"/>
      <c r="G247" s="47"/>
      <c r="I247" s="26" t="s">
        <v>343</v>
      </c>
      <c r="J247" s="27" t="s">
        <v>344</v>
      </c>
      <c r="K247" s="26">
        <v>10</v>
      </c>
      <c r="L247" s="29">
        <v>0.1</v>
      </c>
      <c r="M247">
        <f t="shared" si="3"/>
        <v>0.1</v>
      </c>
      <c r="P247" s="16" t="s">
        <v>356</v>
      </c>
    </row>
    <row r="248" spans="2:16" ht="321" thickBot="1" x14ac:dyDescent="0.35">
      <c r="B248" s="16">
        <v>9020</v>
      </c>
      <c r="C248" s="16" t="s">
        <v>352</v>
      </c>
      <c r="D248" s="16">
        <v>10</v>
      </c>
      <c r="E248" s="17">
        <v>0.1</v>
      </c>
      <c r="F248" s="47"/>
      <c r="G248" s="47"/>
      <c r="I248" s="26" t="s">
        <v>345</v>
      </c>
      <c r="J248" s="27" t="s">
        <v>346</v>
      </c>
      <c r="K248" s="26">
        <v>10</v>
      </c>
      <c r="L248" s="29">
        <v>0.1</v>
      </c>
      <c r="M248">
        <f t="shared" si="3"/>
        <v>0.1</v>
      </c>
      <c r="P248" s="16" t="s">
        <v>357</v>
      </c>
    </row>
    <row r="249" spans="2:16" ht="150" thickBot="1" x14ac:dyDescent="0.35">
      <c r="B249" s="16">
        <v>9022</v>
      </c>
      <c r="C249" s="16" t="s">
        <v>353</v>
      </c>
      <c r="D249" s="16">
        <v>10</v>
      </c>
      <c r="E249" s="17">
        <v>0.1</v>
      </c>
      <c r="F249" s="47"/>
      <c r="G249" s="47"/>
      <c r="I249" s="26" t="s">
        <v>347</v>
      </c>
      <c r="J249" s="27" t="s">
        <v>348</v>
      </c>
      <c r="K249" s="26">
        <v>10</v>
      </c>
      <c r="L249" s="29">
        <v>0.1</v>
      </c>
      <c r="M249">
        <f t="shared" si="3"/>
        <v>0.1</v>
      </c>
      <c r="P249" s="16" t="s">
        <v>358</v>
      </c>
    </row>
    <row r="250" spans="2:16" ht="218.4" thickBot="1" x14ac:dyDescent="0.35">
      <c r="B250" s="16">
        <v>9024</v>
      </c>
      <c r="C250" s="16" t="s">
        <v>354</v>
      </c>
      <c r="D250" s="16">
        <v>10</v>
      </c>
      <c r="E250" s="17">
        <v>0.1</v>
      </c>
      <c r="F250" s="47"/>
      <c r="G250" s="47"/>
      <c r="I250" s="26" t="s">
        <v>349</v>
      </c>
      <c r="J250" s="27" t="s">
        <v>350</v>
      </c>
      <c r="K250" s="26">
        <v>10</v>
      </c>
      <c r="L250" s="29">
        <v>0.1</v>
      </c>
      <c r="M250">
        <f t="shared" si="3"/>
        <v>0.1</v>
      </c>
      <c r="P250" s="16" t="s">
        <v>359</v>
      </c>
    </row>
    <row r="251" spans="2:16" ht="218.4" thickBot="1" x14ac:dyDescent="0.35">
      <c r="B251" s="16">
        <v>9025</v>
      </c>
      <c r="C251" s="16" t="s">
        <v>355</v>
      </c>
      <c r="D251" s="16">
        <v>10</v>
      </c>
      <c r="E251" s="17">
        <v>0.1</v>
      </c>
      <c r="F251" s="47"/>
      <c r="G251" s="47"/>
      <c r="I251" s="26">
        <v>9019</v>
      </c>
      <c r="J251" s="26" t="s">
        <v>351</v>
      </c>
      <c r="K251" s="26">
        <v>10</v>
      </c>
      <c r="L251" s="29">
        <v>0.1</v>
      </c>
      <c r="M251">
        <f t="shared" si="3"/>
        <v>0.1</v>
      </c>
      <c r="P251" s="16" t="s">
        <v>360</v>
      </c>
    </row>
    <row r="252" spans="2:16" ht="138.6" thickBot="1" x14ac:dyDescent="0.35">
      <c r="B252" s="16">
        <v>9026</v>
      </c>
      <c r="C252" s="16" t="s">
        <v>356</v>
      </c>
      <c r="D252" s="16">
        <v>10</v>
      </c>
      <c r="E252" s="17">
        <v>0.1</v>
      </c>
      <c r="F252" s="47"/>
      <c r="G252" s="47"/>
      <c r="I252" s="26">
        <v>9020</v>
      </c>
      <c r="J252" s="26" t="s">
        <v>352</v>
      </c>
      <c r="K252" s="26">
        <v>10</v>
      </c>
      <c r="L252" s="29">
        <v>0.1</v>
      </c>
      <c r="M252">
        <f t="shared" si="3"/>
        <v>0.1</v>
      </c>
      <c r="P252" s="16" t="s">
        <v>361</v>
      </c>
    </row>
    <row r="253" spans="2:16" ht="150" thickBot="1" x14ac:dyDescent="0.35">
      <c r="B253" s="16">
        <v>9027</v>
      </c>
      <c r="C253" s="16" t="s">
        <v>357</v>
      </c>
      <c r="D253" s="16">
        <v>10</v>
      </c>
      <c r="E253" s="17">
        <v>0.1</v>
      </c>
      <c r="F253" s="47"/>
      <c r="G253" s="47"/>
      <c r="I253" s="26">
        <v>9022</v>
      </c>
      <c r="J253" s="26" t="s">
        <v>353</v>
      </c>
      <c r="K253" s="26">
        <v>10</v>
      </c>
      <c r="L253" s="29">
        <v>0.1</v>
      </c>
      <c r="M253" t="e">
        <f t="shared" si="3"/>
        <v>#VALUE!</v>
      </c>
      <c r="P253" s="16" t="s">
        <v>362</v>
      </c>
    </row>
    <row r="254" spans="2:16" ht="70.2" thickBot="1" x14ac:dyDescent="0.35">
      <c r="B254" s="16">
        <v>9028</v>
      </c>
      <c r="C254" s="16" t="s">
        <v>358</v>
      </c>
      <c r="D254" s="16">
        <v>10</v>
      </c>
      <c r="E254" s="17">
        <v>0.1</v>
      </c>
      <c r="F254" s="47"/>
      <c r="G254" s="47"/>
      <c r="I254" s="26">
        <v>9024</v>
      </c>
      <c r="J254" s="26" t="s">
        <v>354</v>
      </c>
      <c r="K254" s="26">
        <v>10</v>
      </c>
      <c r="L254" s="29">
        <v>0.1</v>
      </c>
      <c r="M254">
        <f t="shared" si="3"/>
        <v>0.1</v>
      </c>
      <c r="P254" s="16" t="s">
        <v>364</v>
      </c>
    </row>
    <row r="255" spans="2:16" ht="229.8" thickBot="1" x14ac:dyDescent="0.35">
      <c r="B255" s="16">
        <v>9029</v>
      </c>
      <c r="C255" s="16" t="s">
        <v>359</v>
      </c>
      <c r="D255" s="16">
        <v>10</v>
      </c>
      <c r="E255" s="17">
        <v>0.1</v>
      </c>
      <c r="F255" s="47"/>
      <c r="G255" s="47"/>
      <c r="I255" s="26">
        <v>9025</v>
      </c>
      <c r="J255" s="26" t="s">
        <v>355</v>
      </c>
      <c r="K255" s="26">
        <v>10</v>
      </c>
      <c r="L255" s="29">
        <v>0.1</v>
      </c>
      <c r="M255">
        <f t="shared" si="3"/>
        <v>0.1</v>
      </c>
      <c r="P255" s="16" t="s">
        <v>365</v>
      </c>
    </row>
    <row r="256" spans="2:16" ht="115.8" thickBot="1" x14ac:dyDescent="0.35">
      <c r="B256" s="16">
        <v>9030</v>
      </c>
      <c r="C256" s="16" t="s">
        <v>360</v>
      </c>
      <c r="D256" s="16">
        <v>10</v>
      </c>
      <c r="E256" s="17">
        <v>0.1</v>
      </c>
      <c r="F256" s="47"/>
      <c r="G256" s="47"/>
      <c r="I256" s="26">
        <v>9026</v>
      </c>
      <c r="J256" s="26" t="s">
        <v>356</v>
      </c>
      <c r="K256" s="26">
        <v>10</v>
      </c>
      <c r="L256" s="29">
        <v>0.1</v>
      </c>
      <c r="M256" t="e">
        <f t="shared" si="3"/>
        <v>#VALUE!</v>
      </c>
      <c r="P256" s="16" t="s">
        <v>366</v>
      </c>
    </row>
    <row r="257" spans="2:16" ht="150" thickBot="1" x14ac:dyDescent="0.35">
      <c r="B257" s="16">
        <v>9031</v>
      </c>
      <c r="C257" s="16" t="s">
        <v>361</v>
      </c>
      <c r="D257" s="16">
        <v>10</v>
      </c>
      <c r="E257" s="17">
        <v>0.1</v>
      </c>
      <c r="F257" s="47"/>
      <c r="G257" s="47"/>
      <c r="I257" s="26">
        <v>9027</v>
      </c>
      <c r="J257" s="26" t="s">
        <v>357</v>
      </c>
      <c r="K257" s="26">
        <v>10</v>
      </c>
      <c r="L257" s="29">
        <v>0.1</v>
      </c>
      <c r="M257" t="e">
        <f t="shared" si="3"/>
        <v>#VALUE!</v>
      </c>
      <c r="P257" s="16" t="s">
        <v>367</v>
      </c>
    </row>
    <row r="258" spans="2:16" ht="36" thickBot="1" x14ac:dyDescent="0.35">
      <c r="B258" s="16">
        <v>9032</v>
      </c>
      <c r="C258" s="16" t="s">
        <v>362</v>
      </c>
      <c r="D258" s="16">
        <v>10</v>
      </c>
      <c r="E258" s="17">
        <v>0.1</v>
      </c>
      <c r="F258" s="47"/>
      <c r="G258" s="47"/>
      <c r="I258" s="26">
        <v>9028</v>
      </c>
      <c r="J258" s="26" t="s">
        <v>358</v>
      </c>
      <c r="K258" s="26">
        <v>10</v>
      </c>
      <c r="L258" s="29">
        <v>0.1</v>
      </c>
      <c r="M258">
        <f t="shared" si="3"/>
        <v>0.1</v>
      </c>
      <c r="P258" s="16" t="s">
        <v>369</v>
      </c>
    </row>
    <row r="259" spans="2:16" ht="104.4" thickBot="1" x14ac:dyDescent="0.35">
      <c r="B259" s="16" t="s">
        <v>363</v>
      </c>
      <c r="C259" s="16" t="s">
        <v>364</v>
      </c>
      <c r="D259" s="18" t="s">
        <v>46</v>
      </c>
      <c r="E259" s="19" t="s">
        <v>46</v>
      </c>
      <c r="F259" s="48"/>
      <c r="G259" s="48"/>
      <c r="I259" s="26">
        <v>9029</v>
      </c>
      <c r="J259" s="26" t="s">
        <v>359</v>
      </c>
      <c r="K259" s="26">
        <v>10</v>
      </c>
      <c r="L259" s="29">
        <v>0.1</v>
      </c>
      <c r="M259">
        <f t="shared" si="3"/>
        <v>0.1</v>
      </c>
      <c r="P259" s="16" t="s">
        <v>370</v>
      </c>
    </row>
    <row r="260" spans="2:16" ht="115.8" thickBot="1" x14ac:dyDescent="0.35">
      <c r="B260" s="16">
        <v>9402</v>
      </c>
      <c r="C260" s="16" t="s">
        <v>365</v>
      </c>
      <c r="D260" s="16">
        <v>10</v>
      </c>
      <c r="E260" s="17">
        <v>0.1</v>
      </c>
      <c r="F260" s="47"/>
      <c r="G260" s="47"/>
      <c r="I260" s="26">
        <v>9030</v>
      </c>
      <c r="J260" s="26" t="s">
        <v>360</v>
      </c>
      <c r="K260" s="26">
        <v>10</v>
      </c>
      <c r="L260" s="29">
        <v>0.1</v>
      </c>
      <c r="M260">
        <f t="shared" si="3"/>
        <v>0.1</v>
      </c>
      <c r="P260" s="16" t="s">
        <v>371</v>
      </c>
    </row>
    <row r="261" spans="2:16" ht="127.2" thickBot="1" x14ac:dyDescent="0.35">
      <c r="B261" s="16">
        <v>9403</v>
      </c>
      <c r="C261" s="16" t="s">
        <v>366</v>
      </c>
      <c r="D261" s="16">
        <v>10</v>
      </c>
      <c r="E261" s="17">
        <v>0.1</v>
      </c>
      <c r="F261" s="47"/>
      <c r="G261" s="47"/>
      <c r="I261" s="26">
        <v>9031</v>
      </c>
      <c r="J261" s="26" t="s">
        <v>361</v>
      </c>
      <c r="K261" s="26">
        <v>10</v>
      </c>
      <c r="L261" s="29">
        <v>0.1</v>
      </c>
      <c r="M261">
        <f t="shared" si="3"/>
        <v>0.1</v>
      </c>
      <c r="P261" s="26" t="s">
        <v>373</v>
      </c>
    </row>
    <row r="262" spans="2:16" ht="36" thickBot="1" x14ac:dyDescent="0.35">
      <c r="B262" s="16">
        <v>9406</v>
      </c>
      <c r="C262" s="16" t="s">
        <v>367</v>
      </c>
      <c r="D262" s="16">
        <v>25</v>
      </c>
      <c r="E262" s="17">
        <v>0.04</v>
      </c>
      <c r="F262" s="47"/>
      <c r="G262" s="47"/>
      <c r="I262" s="26">
        <v>9032</v>
      </c>
      <c r="J262" s="26" t="s">
        <v>362</v>
      </c>
      <c r="K262" s="26">
        <v>10</v>
      </c>
      <c r="L262" s="29">
        <v>0.1</v>
      </c>
      <c r="M262">
        <f t="shared" si="3"/>
        <v>0.1</v>
      </c>
      <c r="P262" s="30" t="s">
        <v>46</v>
      </c>
    </row>
    <row r="263" spans="2:16" ht="229.8" thickBot="1" x14ac:dyDescent="0.35">
      <c r="B263" s="16" t="s">
        <v>368</v>
      </c>
      <c r="C263" s="16" t="s">
        <v>369</v>
      </c>
      <c r="D263" s="18" t="s">
        <v>46</v>
      </c>
      <c r="E263" s="19" t="s">
        <v>46</v>
      </c>
      <c r="F263" s="48"/>
      <c r="G263" s="48"/>
      <c r="I263" s="26" t="s">
        <v>363</v>
      </c>
      <c r="J263" s="26" t="s">
        <v>364</v>
      </c>
      <c r="K263" s="30" t="s">
        <v>46</v>
      </c>
      <c r="L263" s="31" t="s">
        <v>46</v>
      </c>
      <c r="M263" t="str">
        <f t="shared" ref="M263:M269" si="4">VLOOKUP(J263,C:E,3,0)</f>
        <v> </v>
      </c>
      <c r="P263" s="26" t="s">
        <v>374</v>
      </c>
    </row>
    <row r="264" spans="2:16" ht="104.4" thickBot="1" x14ac:dyDescent="0.35">
      <c r="B264" s="16">
        <v>9506</v>
      </c>
      <c r="C264" s="16" t="s">
        <v>370</v>
      </c>
      <c r="D264" s="16">
        <v>10</v>
      </c>
      <c r="E264" s="17">
        <v>0.1</v>
      </c>
      <c r="F264" s="47"/>
      <c r="G264" s="47"/>
      <c r="I264" s="26">
        <v>9402</v>
      </c>
      <c r="J264" s="26" t="s">
        <v>365</v>
      </c>
      <c r="K264" s="26">
        <v>10</v>
      </c>
      <c r="L264" s="29">
        <v>0.1</v>
      </c>
      <c r="M264" t="e">
        <f t="shared" si="4"/>
        <v>#VALUE!</v>
      </c>
    </row>
    <row r="265" spans="2:16" ht="58.8" thickBot="1" x14ac:dyDescent="0.35">
      <c r="B265" s="16">
        <v>9508</v>
      </c>
      <c r="C265" s="16" t="s">
        <v>371</v>
      </c>
      <c r="D265" s="16">
        <v>10</v>
      </c>
      <c r="E265" s="17">
        <v>0.1</v>
      </c>
      <c r="F265" s="47"/>
      <c r="G265" s="47"/>
      <c r="I265" s="26">
        <v>9403</v>
      </c>
      <c r="J265" s="26" t="s">
        <v>366</v>
      </c>
      <c r="K265" s="26">
        <v>10</v>
      </c>
      <c r="L265" s="29">
        <v>0.1</v>
      </c>
      <c r="M265">
        <f t="shared" si="4"/>
        <v>0.1</v>
      </c>
    </row>
    <row r="266" spans="2:16" ht="15" thickBot="1" x14ac:dyDescent="0.35">
      <c r="B266" s="27" t="s">
        <v>41</v>
      </c>
      <c r="C266" s="26" t="s">
        <v>42</v>
      </c>
      <c r="D266" s="9"/>
      <c r="E266" s="9"/>
      <c r="F266" s="26">
        <v>10</v>
      </c>
      <c r="G266" s="29">
        <v>0.1</v>
      </c>
      <c r="I266" s="26">
        <v>9406</v>
      </c>
      <c r="J266" s="26" t="s">
        <v>367</v>
      </c>
      <c r="K266" s="26">
        <v>25</v>
      </c>
      <c r="L266" s="29">
        <v>0.04</v>
      </c>
      <c r="M266">
        <f t="shared" si="4"/>
        <v>0.04</v>
      </c>
    </row>
    <row r="267" spans="2:16" ht="24.6" thickBot="1" x14ac:dyDescent="0.35">
      <c r="B267" s="27" t="s">
        <v>41</v>
      </c>
      <c r="C267" s="26" t="s">
        <v>43</v>
      </c>
      <c r="F267" s="26">
        <v>25</v>
      </c>
      <c r="G267" s="29">
        <v>0.04</v>
      </c>
      <c r="I267" s="26" t="s">
        <v>368</v>
      </c>
      <c r="J267" s="26" t="s">
        <v>369</v>
      </c>
      <c r="K267" s="30" t="s">
        <v>46</v>
      </c>
      <c r="L267" s="31" t="s">
        <v>46</v>
      </c>
      <c r="M267" t="str">
        <f t="shared" si="4"/>
        <v> </v>
      </c>
    </row>
    <row r="268" spans="2:16" ht="24.6" thickBot="1" x14ac:dyDescent="0.35">
      <c r="B268" s="26" t="s">
        <v>44</v>
      </c>
      <c r="C268" s="26" t="s">
        <v>45</v>
      </c>
      <c r="F268" s="30" t="s">
        <v>46</v>
      </c>
      <c r="G268" s="31" t="s">
        <v>46</v>
      </c>
      <c r="I268" s="26">
        <v>9506</v>
      </c>
      <c r="J268" s="26" t="s">
        <v>370</v>
      </c>
      <c r="K268" s="26">
        <v>10</v>
      </c>
      <c r="L268" s="29">
        <v>0.1</v>
      </c>
      <c r="M268">
        <f t="shared" si="4"/>
        <v>0.1</v>
      </c>
    </row>
    <row r="269" spans="2:16" ht="58.8" thickBot="1" x14ac:dyDescent="0.35">
      <c r="B269" s="26">
        <v>101</v>
      </c>
      <c r="C269" s="26" t="s">
        <v>47</v>
      </c>
      <c r="F269" s="26">
        <v>5</v>
      </c>
      <c r="G269" s="29">
        <v>0.2</v>
      </c>
      <c r="I269" s="26">
        <v>9508</v>
      </c>
      <c r="J269" s="26" t="s">
        <v>371</v>
      </c>
      <c r="K269" s="26">
        <v>10</v>
      </c>
      <c r="L269" s="29">
        <v>0.1</v>
      </c>
      <c r="M269">
        <f t="shared" si="4"/>
        <v>0.1</v>
      </c>
    </row>
    <row r="270" spans="2:16" ht="15" thickBot="1" x14ac:dyDescent="0.35">
      <c r="B270" s="26">
        <v>102</v>
      </c>
      <c r="C270" s="26" t="s">
        <v>48</v>
      </c>
      <c r="F270" s="26">
        <v>5</v>
      </c>
      <c r="G270" s="29">
        <v>0.2</v>
      </c>
    </row>
    <row r="271" spans="2:16" ht="15" thickBot="1" x14ac:dyDescent="0.35">
      <c r="B271" s="26">
        <v>103</v>
      </c>
      <c r="C271" s="26" t="s">
        <v>49</v>
      </c>
      <c r="F271" s="26">
        <v>5</v>
      </c>
      <c r="G271" s="29">
        <v>0.2</v>
      </c>
    </row>
    <row r="272" spans="2:16" ht="24.6" thickBot="1" x14ac:dyDescent="0.35">
      <c r="B272" s="26">
        <v>104</v>
      </c>
      <c r="C272" s="26" t="s">
        <v>50</v>
      </c>
      <c r="F272" s="26">
        <v>5</v>
      </c>
      <c r="G272" s="29">
        <v>0.2</v>
      </c>
    </row>
    <row r="273" spans="2:7" ht="47.4" thickBot="1" x14ac:dyDescent="0.35">
      <c r="B273" s="26">
        <v>105</v>
      </c>
      <c r="C273" s="26" t="s">
        <v>51</v>
      </c>
      <c r="F273" s="26">
        <v>2</v>
      </c>
      <c r="G273" s="29">
        <v>0.5</v>
      </c>
    </row>
    <row r="274" spans="2:7" ht="15" thickBot="1" x14ac:dyDescent="0.35">
      <c r="B274" s="26" t="s">
        <v>52</v>
      </c>
      <c r="C274" s="26" t="s">
        <v>53</v>
      </c>
      <c r="F274" s="30" t="s">
        <v>46</v>
      </c>
      <c r="G274" s="31" t="s">
        <v>46</v>
      </c>
    </row>
    <row r="275" spans="2:7" ht="24.6" thickBot="1" x14ac:dyDescent="0.35">
      <c r="B275" s="26">
        <v>3923</v>
      </c>
      <c r="C275" s="26" t="s">
        <v>54</v>
      </c>
      <c r="F275" s="30" t="s">
        <v>46</v>
      </c>
      <c r="G275" s="31" t="s">
        <v>46</v>
      </c>
    </row>
    <row r="276" spans="2:7" ht="24.6" thickBot="1" x14ac:dyDescent="0.35">
      <c r="B276" s="26" t="s">
        <v>55</v>
      </c>
      <c r="C276" s="27" t="s">
        <v>56</v>
      </c>
      <c r="F276" s="26">
        <v>5</v>
      </c>
      <c r="G276" s="29">
        <v>0.2</v>
      </c>
    </row>
    <row r="277" spans="2:7" ht="24.6" thickBot="1" x14ac:dyDescent="0.35">
      <c r="B277" s="26" t="s">
        <v>57</v>
      </c>
      <c r="C277" s="27" t="s">
        <v>58</v>
      </c>
      <c r="F277" s="26">
        <v>5</v>
      </c>
      <c r="G277" s="29">
        <v>0.2</v>
      </c>
    </row>
    <row r="278" spans="2:7" ht="15" thickBot="1" x14ac:dyDescent="0.35">
      <c r="B278" s="26" t="s">
        <v>59</v>
      </c>
      <c r="C278" s="27" t="s">
        <v>60</v>
      </c>
      <c r="F278" s="26">
        <v>5</v>
      </c>
      <c r="G278" s="29">
        <v>0.2</v>
      </c>
    </row>
    <row r="279" spans="2:7" ht="36" thickBot="1" x14ac:dyDescent="0.35">
      <c r="B279" s="26">
        <v>3926</v>
      </c>
      <c r="C279" s="26" t="s">
        <v>61</v>
      </c>
      <c r="F279" s="30" t="s">
        <v>46</v>
      </c>
      <c r="G279" s="31" t="s">
        <v>46</v>
      </c>
    </row>
    <row r="280" spans="2:7" ht="24.6" thickBot="1" x14ac:dyDescent="0.35">
      <c r="B280" s="26" t="s">
        <v>62</v>
      </c>
      <c r="C280" s="26" t="s">
        <v>63</v>
      </c>
      <c r="F280" s="26">
        <v>2</v>
      </c>
      <c r="G280" s="29">
        <v>0.5</v>
      </c>
    </row>
    <row r="281" spans="2:7" ht="15" thickBot="1" x14ac:dyDescent="0.35">
      <c r="B281" s="26" t="s">
        <v>62</v>
      </c>
      <c r="C281" s="26" t="s">
        <v>64</v>
      </c>
      <c r="F281" s="26">
        <v>5</v>
      </c>
      <c r="G281" s="29">
        <v>0.2</v>
      </c>
    </row>
    <row r="282" spans="2:7" ht="15" thickBot="1" x14ac:dyDescent="0.35">
      <c r="B282" s="26" t="s">
        <v>65</v>
      </c>
      <c r="C282" s="26" t="s">
        <v>66</v>
      </c>
      <c r="F282" s="30" t="s">
        <v>46</v>
      </c>
      <c r="G282" s="31" t="s">
        <v>46</v>
      </c>
    </row>
    <row r="283" spans="2:7" ht="36" thickBot="1" x14ac:dyDescent="0.35">
      <c r="B283" s="26">
        <v>4010</v>
      </c>
      <c r="C283" s="26" t="s">
        <v>67</v>
      </c>
      <c r="F283" s="26">
        <v>2</v>
      </c>
      <c r="G283" s="29">
        <v>0.5</v>
      </c>
    </row>
    <row r="284" spans="2:7" ht="15" thickBot="1" x14ac:dyDescent="0.35">
      <c r="B284" s="26" t="s">
        <v>68</v>
      </c>
      <c r="C284" s="26" t="s">
        <v>69</v>
      </c>
      <c r="F284" s="30" t="s">
        <v>46</v>
      </c>
      <c r="G284" s="31" t="s">
        <v>46</v>
      </c>
    </row>
    <row r="285" spans="2:7" ht="24.6" thickBot="1" x14ac:dyDescent="0.35">
      <c r="B285" s="26">
        <v>4204</v>
      </c>
      <c r="C285" s="26" t="s">
        <v>70</v>
      </c>
      <c r="F285" s="26">
        <v>2</v>
      </c>
      <c r="G285" s="29">
        <v>0.5</v>
      </c>
    </row>
    <row r="286" spans="2:7" ht="15" thickBot="1" x14ac:dyDescent="0.35">
      <c r="B286" s="26" t="s">
        <v>71</v>
      </c>
      <c r="C286" s="26" t="s">
        <v>72</v>
      </c>
      <c r="F286" s="30" t="s">
        <v>46</v>
      </c>
      <c r="G286" s="31" t="s">
        <v>46</v>
      </c>
    </row>
    <row r="287" spans="2:7" ht="81.599999999999994" thickBot="1" x14ac:dyDescent="0.35">
      <c r="B287" s="26">
        <v>4415</v>
      </c>
      <c r="C287" s="26" t="s">
        <v>73</v>
      </c>
      <c r="F287" s="26">
        <v>5</v>
      </c>
      <c r="G287" s="29">
        <v>0.2</v>
      </c>
    </row>
    <row r="288" spans="2:7" ht="24.6" thickBot="1" x14ac:dyDescent="0.35">
      <c r="B288" s="26">
        <v>4416</v>
      </c>
      <c r="C288" s="26" t="s">
        <v>74</v>
      </c>
      <c r="F288" s="26">
        <v>5</v>
      </c>
      <c r="G288" s="29">
        <v>0.2</v>
      </c>
    </row>
    <row r="289" spans="2:7" ht="24.6" thickBot="1" x14ac:dyDescent="0.35">
      <c r="B289" s="26" t="s">
        <v>75</v>
      </c>
      <c r="C289" s="26" t="s">
        <v>76</v>
      </c>
      <c r="F289" s="26">
        <v>5</v>
      </c>
      <c r="G289" s="29">
        <v>0.2</v>
      </c>
    </row>
    <row r="290" spans="2:7" ht="47.4" thickBot="1" x14ac:dyDescent="0.35">
      <c r="B290" s="26" t="s">
        <v>77</v>
      </c>
      <c r="C290" s="26" t="s">
        <v>78</v>
      </c>
      <c r="F290" s="30" t="s">
        <v>46</v>
      </c>
      <c r="G290" s="31" t="s">
        <v>46</v>
      </c>
    </row>
    <row r="291" spans="2:7" ht="81.599999999999994" thickBot="1" x14ac:dyDescent="0.35">
      <c r="B291" s="26" t="s">
        <v>79</v>
      </c>
      <c r="C291" s="26" t="s">
        <v>80</v>
      </c>
      <c r="F291" s="26">
        <v>2</v>
      </c>
      <c r="G291" s="29">
        <v>0.5</v>
      </c>
    </row>
    <row r="292" spans="2:7" ht="24.6" thickBot="1" x14ac:dyDescent="0.35">
      <c r="B292" s="26" t="s">
        <v>81</v>
      </c>
      <c r="C292" s="26" t="s">
        <v>82</v>
      </c>
      <c r="F292" s="30" t="s">
        <v>46</v>
      </c>
      <c r="G292" s="31" t="s">
        <v>46</v>
      </c>
    </row>
    <row r="293" spans="2:7" ht="47.4" thickBot="1" x14ac:dyDescent="0.35">
      <c r="B293" s="26">
        <v>6303</v>
      </c>
      <c r="C293" s="26" t="s">
        <v>83</v>
      </c>
      <c r="F293" s="26">
        <v>5</v>
      </c>
      <c r="G293" s="29">
        <v>0.2</v>
      </c>
    </row>
    <row r="294" spans="2:7" ht="24.6" thickBot="1" x14ac:dyDescent="0.35">
      <c r="B294" s="26">
        <v>6305</v>
      </c>
      <c r="C294" s="26" t="s">
        <v>84</v>
      </c>
      <c r="F294" s="26">
        <v>5</v>
      </c>
      <c r="G294" s="29">
        <v>0.2</v>
      </c>
    </row>
    <row r="295" spans="2:7" ht="47.4" thickBot="1" x14ac:dyDescent="0.35">
      <c r="B295" s="26">
        <v>6306</v>
      </c>
      <c r="C295" s="26" t="s">
        <v>85</v>
      </c>
      <c r="F295" s="26">
        <v>4</v>
      </c>
      <c r="G295" s="29">
        <v>0.25</v>
      </c>
    </row>
    <row r="296" spans="2:7" ht="15" thickBot="1" x14ac:dyDescent="0.35">
      <c r="B296" s="26" t="s">
        <v>86</v>
      </c>
      <c r="C296" s="26" t="s">
        <v>87</v>
      </c>
      <c r="F296" s="30" t="s">
        <v>46</v>
      </c>
      <c r="G296" s="31" t="s">
        <v>46</v>
      </c>
    </row>
    <row r="297" spans="2:7" ht="93" thickBot="1" x14ac:dyDescent="0.35">
      <c r="B297" s="26">
        <v>6909</v>
      </c>
      <c r="C297" s="26" t="s">
        <v>88</v>
      </c>
      <c r="F297" s="26">
        <v>5</v>
      </c>
      <c r="G297" s="29">
        <v>0.2</v>
      </c>
    </row>
    <row r="298" spans="2:7" ht="15" thickBot="1" x14ac:dyDescent="0.35">
      <c r="B298" s="26" t="s">
        <v>89</v>
      </c>
      <c r="C298" s="26" t="s">
        <v>90</v>
      </c>
      <c r="F298" s="30" t="s">
        <v>46</v>
      </c>
      <c r="G298" s="31" t="s">
        <v>46</v>
      </c>
    </row>
    <row r="299" spans="2:7" ht="70.2" thickBot="1" x14ac:dyDescent="0.35">
      <c r="B299" s="26">
        <v>7010</v>
      </c>
      <c r="C299" s="26" t="s">
        <v>91</v>
      </c>
      <c r="F299" s="26">
        <v>5</v>
      </c>
      <c r="G299" s="29">
        <v>0.2</v>
      </c>
    </row>
    <row r="300" spans="2:7" ht="24.6" thickBot="1" x14ac:dyDescent="0.35">
      <c r="B300" s="26" t="s">
        <v>92</v>
      </c>
      <c r="C300" s="26" t="s">
        <v>93</v>
      </c>
      <c r="F300" s="30" t="s">
        <v>46</v>
      </c>
      <c r="G300" s="31" t="s">
        <v>46</v>
      </c>
    </row>
    <row r="301" spans="2:7" ht="47.4" thickBot="1" x14ac:dyDescent="0.35">
      <c r="B301" s="26">
        <v>7308</v>
      </c>
      <c r="C301" s="26" t="s">
        <v>94</v>
      </c>
      <c r="F301" s="30" t="s">
        <v>46</v>
      </c>
      <c r="G301" s="31" t="s">
        <v>46</v>
      </c>
    </row>
    <row r="302" spans="2:7" ht="15" thickBot="1" x14ac:dyDescent="0.35">
      <c r="B302" s="26" t="s">
        <v>95</v>
      </c>
      <c r="C302" s="27" t="s">
        <v>96</v>
      </c>
      <c r="F302" s="26">
        <v>25</v>
      </c>
      <c r="G302" s="29">
        <v>0.04</v>
      </c>
    </row>
    <row r="303" spans="2:7" ht="15" thickBot="1" x14ac:dyDescent="0.35">
      <c r="B303" s="26" t="s">
        <v>97</v>
      </c>
      <c r="C303" s="27" t="s">
        <v>98</v>
      </c>
      <c r="F303" s="26">
        <v>25</v>
      </c>
      <c r="G303" s="29">
        <v>0.04</v>
      </c>
    </row>
    <row r="304" spans="2:7" ht="104.4" thickBot="1" x14ac:dyDescent="0.35">
      <c r="B304" s="26">
        <v>7309</v>
      </c>
      <c r="C304" s="26" t="s">
        <v>99</v>
      </c>
      <c r="F304" s="26">
        <v>10</v>
      </c>
      <c r="G304" s="29">
        <v>0.1</v>
      </c>
    </row>
    <row r="305" spans="2:7" ht="36" thickBot="1" x14ac:dyDescent="0.35">
      <c r="B305" s="26">
        <v>7311</v>
      </c>
      <c r="C305" s="26" t="s">
        <v>100</v>
      </c>
      <c r="F305" s="26">
        <v>5</v>
      </c>
      <c r="G305" s="29">
        <v>0.2</v>
      </c>
    </row>
    <row r="306" spans="2:7" ht="127.2" thickBot="1" x14ac:dyDescent="0.35">
      <c r="B306" s="26">
        <v>7321</v>
      </c>
      <c r="C306" s="26" t="s">
        <v>101</v>
      </c>
      <c r="F306" s="26">
        <v>10</v>
      </c>
      <c r="G306" s="29">
        <v>0.1</v>
      </c>
    </row>
    <row r="307" spans="2:7" ht="127.2" thickBot="1" x14ac:dyDescent="0.35">
      <c r="B307" s="26">
        <v>7322</v>
      </c>
      <c r="C307" s="26" t="s">
        <v>102</v>
      </c>
      <c r="F307" s="26">
        <v>10</v>
      </c>
      <c r="G307" s="29">
        <v>0.1</v>
      </c>
    </row>
    <row r="308" spans="2:7" ht="15" thickBot="1" x14ac:dyDescent="0.35">
      <c r="B308" s="26" t="s">
        <v>103</v>
      </c>
      <c r="C308" s="26" t="s">
        <v>104</v>
      </c>
      <c r="F308" s="30" t="s">
        <v>46</v>
      </c>
      <c r="G308" s="31" t="s">
        <v>46</v>
      </c>
    </row>
    <row r="309" spans="2:7" ht="15" thickBot="1" x14ac:dyDescent="0.35">
      <c r="B309" s="26">
        <v>7610</v>
      </c>
      <c r="C309" s="26" t="s">
        <v>105</v>
      </c>
      <c r="F309" s="26">
        <v>25</v>
      </c>
      <c r="G309" s="29">
        <v>0.04</v>
      </c>
    </row>
    <row r="310" spans="2:7" ht="104.4" thickBot="1" x14ac:dyDescent="0.35">
      <c r="B310" s="26">
        <v>7611</v>
      </c>
      <c r="C310" s="26" t="s">
        <v>106</v>
      </c>
      <c r="F310" s="26">
        <v>10</v>
      </c>
      <c r="G310" s="29">
        <v>0.1</v>
      </c>
    </row>
    <row r="311" spans="2:7" ht="24.6" thickBot="1" x14ac:dyDescent="0.35">
      <c r="B311" s="26">
        <v>7613</v>
      </c>
      <c r="C311" s="26" t="s">
        <v>107</v>
      </c>
      <c r="F311" s="26">
        <v>5</v>
      </c>
      <c r="G311" s="29">
        <v>0.2</v>
      </c>
    </row>
    <row r="312" spans="2:7" ht="15" thickBot="1" x14ac:dyDescent="0.35">
      <c r="B312" s="26" t="s">
        <v>108</v>
      </c>
      <c r="C312" s="26" t="s">
        <v>109</v>
      </c>
      <c r="F312" s="30" t="s">
        <v>46</v>
      </c>
      <c r="G312" s="31" t="s">
        <v>46</v>
      </c>
    </row>
    <row r="313" spans="2:7" ht="58.2" x14ac:dyDescent="0.3">
      <c r="B313" s="32">
        <v>8201</v>
      </c>
      <c r="C313" s="32" t="s">
        <v>373</v>
      </c>
      <c r="F313" s="32">
        <v>5</v>
      </c>
      <c r="G313" s="33">
        <v>0.2</v>
      </c>
    </row>
    <row r="314" spans="2:7" x14ac:dyDescent="0.3">
      <c r="B314" s="41"/>
      <c r="C314" s="42" t="s">
        <v>46</v>
      </c>
      <c r="F314" s="41"/>
      <c r="G314" s="43"/>
    </row>
    <row r="315" spans="2:7" x14ac:dyDescent="0.3">
      <c r="B315" s="41"/>
      <c r="C315" s="42" t="s">
        <v>46</v>
      </c>
      <c r="F315" s="41"/>
      <c r="G315" s="43"/>
    </row>
    <row r="316" spans="2:7" x14ac:dyDescent="0.3">
      <c r="B316" s="41"/>
      <c r="C316" s="42" t="s">
        <v>46</v>
      </c>
      <c r="F316" s="41"/>
      <c r="G316" s="43"/>
    </row>
    <row r="317" spans="2:7" ht="81.599999999999994" thickBot="1" x14ac:dyDescent="0.35">
      <c r="B317" s="39"/>
      <c r="C317" s="26" t="s">
        <v>111</v>
      </c>
      <c r="F317" s="39"/>
      <c r="G317" s="40"/>
    </row>
    <row r="318" spans="2:7" ht="47.4" thickBot="1" x14ac:dyDescent="0.35">
      <c r="B318" s="26">
        <v>8202</v>
      </c>
      <c r="C318" s="26" t="s">
        <v>112</v>
      </c>
      <c r="F318" s="26">
        <v>5</v>
      </c>
      <c r="G318" s="29">
        <v>0.2</v>
      </c>
    </row>
    <row r="319" spans="2:7" ht="58.8" thickBot="1" x14ac:dyDescent="0.35">
      <c r="B319" s="26">
        <v>8203</v>
      </c>
      <c r="C319" s="26" t="s">
        <v>113</v>
      </c>
      <c r="F319" s="30" t="s">
        <v>46</v>
      </c>
      <c r="G319" s="31" t="s">
        <v>46</v>
      </c>
    </row>
    <row r="320" spans="2:7" ht="24.6" thickBot="1" x14ac:dyDescent="0.35">
      <c r="B320" s="26" t="s">
        <v>114</v>
      </c>
      <c r="C320" s="27" t="s">
        <v>115</v>
      </c>
      <c r="F320" s="26">
        <v>5</v>
      </c>
      <c r="G320" s="29">
        <v>0.2</v>
      </c>
    </row>
    <row r="321" spans="2:7" ht="24.6" thickBot="1" x14ac:dyDescent="0.35">
      <c r="B321" s="26" t="s">
        <v>116</v>
      </c>
      <c r="C321" s="27" t="s">
        <v>117</v>
      </c>
      <c r="F321" s="26">
        <v>5</v>
      </c>
      <c r="G321" s="29">
        <v>0.2</v>
      </c>
    </row>
    <row r="322" spans="2:7" ht="24.6" thickBot="1" x14ac:dyDescent="0.35">
      <c r="B322" s="26" t="s">
        <v>118</v>
      </c>
      <c r="C322" s="27" t="s">
        <v>119</v>
      </c>
      <c r="F322" s="26">
        <v>5</v>
      </c>
      <c r="G322" s="29">
        <v>0.2</v>
      </c>
    </row>
    <row r="323" spans="2:7" ht="47.4" thickBot="1" x14ac:dyDescent="0.35">
      <c r="B323" s="26">
        <v>8204</v>
      </c>
      <c r="C323" s="26" t="s">
        <v>120</v>
      </c>
      <c r="F323" s="26">
        <v>5</v>
      </c>
      <c r="G323" s="29">
        <v>0.2</v>
      </c>
    </row>
    <row r="324" spans="2:7" ht="127.2" thickBot="1" x14ac:dyDescent="0.35">
      <c r="B324" s="26">
        <v>8205</v>
      </c>
      <c r="C324" s="26" t="s">
        <v>121</v>
      </c>
      <c r="F324" s="26">
        <v>5</v>
      </c>
      <c r="G324" s="29">
        <v>0.2</v>
      </c>
    </row>
    <row r="325" spans="2:7" ht="24.6" thickBot="1" x14ac:dyDescent="0.35">
      <c r="B325" s="26">
        <v>8206</v>
      </c>
      <c r="C325" s="26" t="s">
        <v>122</v>
      </c>
      <c r="F325" s="26">
        <v>5</v>
      </c>
      <c r="G325" s="29">
        <v>0.2</v>
      </c>
    </row>
    <row r="326" spans="2:7" ht="127.2" thickBot="1" x14ac:dyDescent="0.35">
      <c r="B326" s="26">
        <v>8207</v>
      </c>
      <c r="C326" s="26" t="s">
        <v>123</v>
      </c>
      <c r="F326" s="30" t="s">
        <v>46</v>
      </c>
      <c r="G326" s="31" t="s">
        <v>46</v>
      </c>
    </row>
    <row r="327" spans="2:7" ht="24.6" thickBot="1" x14ac:dyDescent="0.35">
      <c r="B327" s="26" t="s">
        <v>124</v>
      </c>
      <c r="C327" s="27" t="s">
        <v>125</v>
      </c>
      <c r="F327" s="26">
        <v>5</v>
      </c>
      <c r="G327" s="29">
        <v>0.2</v>
      </c>
    </row>
    <row r="328" spans="2:7" ht="58.8" thickBot="1" x14ac:dyDescent="0.35">
      <c r="B328" s="26">
        <v>8210</v>
      </c>
      <c r="C328" s="26" t="s">
        <v>126</v>
      </c>
      <c r="F328" s="26">
        <v>10</v>
      </c>
      <c r="G328" s="29">
        <v>0.1</v>
      </c>
    </row>
    <row r="329" spans="2:7" ht="15" thickBot="1" x14ac:dyDescent="0.35">
      <c r="B329" s="26">
        <v>8214</v>
      </c>
      <c r="C329" s="26" t="s">
        <v>127</v>
      </c>
      <c r="F329" s="26">
        <v>5</v>
      </c>
      <c r="G329" s="29">
        <v>0.2</v>
      </c>
    </row>
    <row r="330" spans="2:7" ht="15" thickBot="1" x14ac:dyDescent="0.35">
      <c r="B330" s="26" t="s">
        <v>128</v>
      </c>
      <c r="C330" s="26" t="s">
        <v>129</v>
      </c>
      <c r="F330" s="30" t="s">
        <v>46</v>
      </c>
      <c r="G330" s="31" t="s">
        <v>46</v>
      </c>
    </row>
    <row r="331" spans="2:7" ht="58.8" thickBot="1" x14ac:dyDescent="0.35">
      <c r="B331" s="26">
        <v>8303</v>
      </c>
      <c r="C331" s="26" t="s">
        <v>130</v>
      </c>
      <c r="F331" s="26">
        <v>10</v>
      </c>
      <c r="G331" s="29">
        <v>0.1</v>
      </c>
    </row>
    <row r="332" spans="2:7" ht="81.599999999999994" thickBot="1" x14ac:dyDescent="0.35">
      <c r="B332" s="26">
        <v>8304</v>
      </c>
      <c r="C332" s="26" t="s">
        <v>131</v>
      </c>
      <c r="F332" s="26">
        <v>10</v>
      </c>
      <c r="G332" s="29">
        <v>0.1</v>
      </c>
    </row>
    <row r="333" spans="2:7" ht="36" thickBot="1" x14ac:dyDescent="0.35">
      <c r="B333" s="26" t="s">
        <v>132</v>
      </c>
      <c r="C333" s="26" t="s">
        <v>133</v>
      </c>
      <c r="F333" s="30" t="s">
        <v>46</v>
      </c>
      <c r="G333" s="31" t="s">
        <v>46</v>
      </c>
    </row>
    <row r="334" spans="2:7" ht="58.8" thickBot="1" x14ac:dyDescent="0.35">
      <c r="B334" s="26">
        <v>8401</v>
      </c>
      <c r="C334" s="26" t="s">
        <v>134</v>
      </c>
      <c r="F334" s="26">
        <v>10</v>
      </c>
      <c r="G334" s="29">
        <v>0.1</v>
      </c>
    </row>
    <row r="335" spans="2:7" ht="81.599999999999994" thickBot="1" x14ac:dyDescent="0.35">
      <c r="B335" s="26">
        <v>8402</v>
      </c>
      <c r="C335" s="26" t="s">
        <v>135</v>
      </c>
      <c r="F335" s="26">
        <v>10</v>
      </c>
      <c r="G335" s="29">
        <v>0.1</v>
      </c>
    </row>
    <row r="336" spans="2:7" ht="24.6" thickBot="1" x14ac:dyDescent="0.35">
      <c r="B336" s="26">
        <v>8403</v>
      </c>
      <c r="C336" s="26" t="s">
        <v>136</v>
      </c>
      <c r="F336" s="26">
        <v>10</v>
      </c>
      <c r="G336" s="29">
        <v>0.1</v>
      </c>
    </row>
    <row r="337" spans="2:7" ht="93" thickBot="1" x14ac:dyDescent="0.35">
      <c r="B337" s="26">
        <v>8404</v>
      </c>
      <c r="C337" s="26" t="s">
        <v>137</v>
      </c>
      <c r="F337" s="26">
        <v>10</v>
      </c>
      <c r="G337" s="29">
        <v>0.1</v>
      </c>
    </row>
    <row r="338" spans="2:7" ht="70.2" thickBot="1" x14ac:dyDescent="0.35">
      <c r="B338" s="26">
        <v>8405</v>
      </c>
      <c r="C338" s="26" t="s">
        <v>138</v>
      </c>
      <c r="F338" s="26">
        <v>10</v>
      </c>
      <c r="G338" s="29">
        <v>0.1</v>
      </c>
    </row>
    <row r="339" spans="2:7" ht="15" thickBot="1" x14ac:dyDescent="0.35">
      <c r="B339" s="26">
        <v>8406</v>
      </c>
      <c r="C339" s="26" t="s">
        <v>139</v>
      </c>
      <c r="F339" s="26">
        <v>10</v>
      </c>
      <c r="G339" s="29">
        <v>0.1</v>
      </c>
    </row>
    <row r="340" spans="2:7" ht="36" thickBot="1" x14ac:dyDescent="0.35">
      <c r="B340" s="26">
        <v>8407</v>
      </c>
      <c r="C340" s="26" t="s">
        <v>140</v>
      </c>
      <c r="F340" s="26">
        <v>10</v>
      </c>
      <c r="G340" s="29">
        <v>0.1</v>
      </c>
    </row>
    <row r="341" spans="2:7" ht="36" thickBot="1" x14ac:dyDescent="0.35">
      <c r="B341" s="26">
        <v>8408</v>
      </c>
      <c r="C341" s="26" t="s">
        <v>141</v>
      </c>
      <c r="F341" s="26">
        <v>10</v>
      </c>
      <c r="G341" s="29">
        <v>0.1</v>
      </c>
    </row>
    <row r="342" spans="2:7" ht="24.6" thickBot="1" x14ac:dyDescent="0.35">
      <c r="B342" s="26">
        <v>8410</v>
      </c>
      <c r="C342" s="26" t="s">
        <v>142</v>
      </c>
      <c r="F342" s="26">
        <v>10</v>
      </c>
      <c r="G342" s="29">
        <v>0.1</v>
      </c>
    </row>
    <row r="343" spans="2:7" ht="36" thickBot="1" x14ac:dyDescent="0.35">
      <c r="B343" s="26">
        <v>8411</v>
      </c>
      <c r="C343" s="26" t="s">
        <v>143</v>
      </c>
      <c r="F343" s="26">
        <v>10</v>
      </c>
      <c r="G343" s="29">
        <v>0.1</v>
      </c>
    </row>
    <row r="344" spans="2:7" ht="24.6" thickBot="1" x14ac:dyDescent="0.35">
      <c r="B344" s="26">
        <v>8412</v>
      </c>
      <c r="C344" s="26" t="s">
        <v>144</v>
      </c>
      <c r="F344" s="26">
        <v>10</v>
      </c>
      <c r="G344" s="29">
        <v>0.1</v>
      </c>
    </row>
    <row r="345" spans="2:7" ht="36" thickBot="1" x14ac:dyDescent="0.35">
      <c r="B345" s="26">
        <v>8413</v>
      </c>
      <c r="C345" s="26" t="s">
        <v>145</v>
      </c>
      <c r="F345" s="26">
        <v>10</v>
      </c>
      <c r="G345" s="29">
        <v>0.1</v>
      </c>
    </row>
    <row r="346" spans="2:7" ht="81.599999999999994" thickBot="1" x14ac:dyDescent="0.35">
      <c r="B346" s="26">
        <v>8414</v>
      </c>
      <c r="C346" s="26" t="s">
        <v>146</v>
      </c>
      <c r="F346" s="26">
        <v>10</v>
      </c>
      <c r="G346" s="29">
        <v>0.1</v>
      </c>
    </row>
    <row r="347" spans="2:7" ht="93" thickBot="1" x14ac:dyDescent="0.35">
      <c r="B347" s="26">
        <v>8415</v>
      </c>
      <c r="C347" s="26" t="s">
        <v>147</v>
      </c>
      <c r="F347" s="26">
        <v>10</v>
      </c>
      <c r="G347" s="29">
        <v>0.1</v>
      </c>
    </row>
    <row r="348" spans="2:7" ht="93" thickBot="1" x14ac:dyDescent="0.35">
      <c r="B348" s="26">
        <v>8416</v>
      </c>
      <c r="C348" s="26" t="s">
        <v>148</v>
      </c>
      <c r="F348" s="26">
        <v>10</v>
      </c>
      <c r="G348" s="29">
        <v>0.1</v>
      </c>
    </row>
    <row r="349" spans="2:7" ht="47.4" thickBot="1" x14ac:dyDescent="0.35">
      <c r="B349" s="26">
        <v>8417</v>
      </c>
      <c r="C349" s="26" t="s">
        <v>149</v>
      </c>
      <c r="F349" s="26">
        <v>10</v>
      </c>
      <c r="G349" s="29">
        <v>0.1</v>
      </c>
    </row>
    <row r="350" spans="2:7" ht="93" thickBot="1" x14ac:dyDescent="0.35">
      <c r="B350" s="26">
        <v>8418</v>
      </c>
      <c r="C350" s="26" t="s">
        <v>150</v>
      </c>
      <c r="F350" s="26">
        <v>10</v>
      </c>
      <c r="G350" s="29">
        <v>0.1</v>
      </c>
    </row>
    <row r="351" spans="2:7" ht="172.8" thickBot="1" x14ac:dyDescent="0.35">
      <c r="B351" s="26">
        <v>8419</v>
      </c>
      <c r="C351" s="26" t="s">
        <v>151</v>
      </c>
      <c r="F351" s="26">
        <v>10</v>
      </c>
      <c r="G351" s="29">
        <v>0.1</v>
      </c>
    </row>
    <row r="352" spans="2:7" ht="36" thickBot="1" x14ac:dyDescent="0.35">
      <c r="B352" s="26">
        <v>8420</v>
      </c>
      <c r="C352" s="26" t="s">
        <v>152</v>
      </c>
      <c r="F352" s="26">
        <v>10</v>
      </c>
      <c r="G352" s="29">
        <v>0.1</v>
      </c>
    </row>
    <row r="353" spans="2:7" ht="47.4" thickBot="1" x14ac:dyDescent="0.35">
      <c r="B353" s="26">
        <v>8421</v>
      </c>
      <c r="C353" s="26" t="s">
        <v>153</v>
      </c>
      <c r="F353" s="26">
        <v>10</v>
      </c>
      <c r="G353" s="29">
        <v>0.1</v>
      </c>
    </row>
    <row r="354" spans="2:7" ht="172.8" thickBot="1" x14ac:dyDescent="0.35">
      <c r="B354" s="26">
        <v>8422</v>
      </c>
      <c r="C354" s="26" t="s">
        <v>154</v>
      </c>
      <c r="F354" s="26">
        <v>10</v>
      </c>
      <c r="G354" s="29">
        <v>0.1</v>
      </c>
    </row>
    <row r="355" spans="2:7" ht="81.599999999999994" thickBot="1" x14ac:dyDescent="0.35">
      <c r="B355" s="26">
        <v>8423</v>
      </c>
      <c r="C355" s="26" t="s">
        <v>155</v>
      </c>
      <c r="F355" s="26">
        <v>10</v>
      </c>
      <c r="G355" s="29">
        <v>0.1</v>
      </c>
    </row>
    <row r="356" spans="2:7" ht="93" thickBot="1" x14ac:dyDescent="0.35">
      <c r="B356" s="26">
        <v>8424</v>
      </c>
      <c r="C356" s="26" t="s">
        <v>156</v>
      </c>
      <c r="F356" s="26">
        <v>10</v>
      </c>
      <c r="G356" s="29">
        <v>0.1</v>
      </c>
    </row>
    <row r="357" spans="2:7" ht="24.6" thickBot="1" x14ac:dyDescent="0.35">
      <c r="B357" s="26">
        <v>8425</v>
      </c>
      <c r="C357" s="26" t="s">
        <v>157</v>
      </c>
      <c r="F357" s="26">
        <v>10</v>
      </c>
      <c r="G357" s="29">
        <v>0.1</v>
      </c>
    </row>
    <row r="358" spans="2:7" ht="58.8" thickBot="1" x14ac:dyDescent="0.35">
      <c r="B358" s="26">
        <v>8426</v>
      </c>
      <c r="C358" s="26" t="s">
        <v>158</v>
      </c>
      <c r="F358" s="26">
        <v>10</v>
      </c>
      <c r="G358" s="29">
        <v>0.1</v>
      </c>
    </row>
    <row r="359" spans="2:7" ht="47.4" thickBot="1" x14ac:dyDescent="0.35">
      <c r="B359" s="26">
        <v>8427</v>
      </c>
      <c r="C359" s="26" t="s">
        <v>159</v>
      </c>
      <c r="F359" s="26">
        <v>10</v>
      </c>
      <c r="G359" s="29">
        <v>0.1</v>
      </c>
    </row>
    <row r="360" spans="2:7" ht="70.2" thickBot="1" x14ac:dyDescent="0.35">
      <c r="B360" s="26">
        <v>8428</v>
      </c>
      <c r="C360" s="26" t="s">
        <v>160</v>
      </c>
      <c r="F360" s="26">
        <v>10</v>
      </c>
      <c r="G360" s="29">
        <v>0.1</v>
      </c>
    </row>
    <row r="361" spans="2:7" ht="93" thickBot="1" x14ac:dyDescent="0.35">
      <c r="B361" s="26">
        <v>8429</v>
      </c>
      <c r="C361" s="26" t="s">
        <v>161</v>
      </c>
      <c r="F361" s="26">
        <v>4</v>
      </c>
      <c r="G361" s="29">
        <v>0.25</v>
      </c>
    </row>
    <row r="362" spans="2:7" ht="81.599999999999994" thickBot="1" x14ac:dyDescent="0.35">
      <c r="B362" s="26">
        <v>8430</v>
      </c>
      <c r="C362" s="26" t="s">
        <v>162</v>
      </c>
      <c r="F362" s="26">
        <v>10</v>
      </c>
      <c r="G362" s="29">
        <v>0.1</v>
      </c>
    </row>
    <row r="363" spans="2:7" ht="70.2" thickBot="1" x14ac:dyDescent="0.35">
      <c r="B363" s="26">
        <v>8432</v>
      </c>
      <c r="C363" s="26" t="s">
        <v>163</v>
      </c>
      <c r="F363" s="26">
        <v>10</v>
      </c>
      <c r="G363" s="29">
        <v>0.1</v>
      </c>
    </row>
    <row r="364" spans="2:7" ht="93" thickBot="1" x14ac:dyDescent="0.35">
      <c r="B364" s="26">
        <v>8433</v>
      </c>
      <c r="C364" s="26" t="s">
        <v>164</v>
      </c>
      <c r="F364" s="26">
        <v>10</v>
      </c>
      <c r="G364" s="29">
        <v>0.1</v>
      </c>
    </row>
    <row r="365" spans="2:7" ht="36" thickBot="1" x14ac:dyDescent="0.35">
      <c r="B365" s="26">
        <v>8434</v>
      </c>
      <c r="C365" s="26" t="s">
        <v>165</v>
      </c>
      <c r="F365" s="26">
        <v>10</v>
      </c>
      <c r="G365" s="29">
        <v>0.1</v>
      </c>
    </row>
    <row r="366" spans="2:7" ht="47.4" thickBot="1" x14ac:dyDescent="0.35">
      <c r="B366" s="26">
        <v>8435</v>
      </c>
      <c r="C366" s="26" t="s">
        <v>166</v>
      </c>
      <c r="F366" s="26">
        <v>10</v>
      </c>
      <c r="G366" s="29">
        <v>0.1</v>
      </c>
    </row>
    <row r="367" spans="2:7" ht="93" thickBot="1" x14ac:dyDescent="0.35">
      <c r="B367" s="26">
        <v>8436</v>
      </c>
      <c r="C367" s="26" t="s">
        <v>167</v>
      </c>
      <c r="F367" s="26">
        <v>10</v>
      </c>
      <c r="G367" s="29">
        <v>0.1</v>
      </c>
    </row>
    <row r="368" spans="2:7" ht="93" thickBot="1" x14ac:dyDescent="0.35">
      <c r="B368" s="26">
        <v>8437</v>
      </c>
      <c r="C368" s="26" t="s">
        <v>168</v>
      </c>
      <c r="F368" s="26">
        <v>10</v>
      </c>
      <c r="G368" s="29">
        <v>0.1</v>
      </c>
    </row>
    <row r="369" spans="2:7" ht="115.8" thickBot="1" x14ac:dyDescent="0.35">
      <c r="B369" s="26">
        <v>8438</v>
      </c>
      <c r="C369" s="26" t="s">
        <v>169</v>
      </c>
      <c r="F369" s="26">
        <v>10</v>
      </c>
      <c r="G369" s="29">
        <v>0.1</v>
      </c>
    </row>
    <row r="370" spans="2:7" ht="58.8" thickBot="1" x14ac:dyDescent="0.35">
      <c r="B370" s="26">
        <v>8439</v>
      </c>
      <c r="C370" s="26" t="s">
        <v>170</v>
      </c>
      <c r="F370" s="26">
        <v>10</v>
      </c>
      <c r="G370" s="29">
        <v>0.1</v>
      </c>
    </row>
    <row r="371" spans="2:7" ht="47.4" thickBot="1" x14ac:dyDescent="0.35">
      <c r="B371" s="26">
        <v>8440</v>
      </c>
      <c r="C371" s="26" t="s">
        <v>171</v>
      </c>
      <c r="F371" s="26">
        <v>10</v>
      </c>
      <c r="G371" s="29">
        <v>0.1</v>
      </c>
    </row>
    <row r="372" spans="2:7" ht="47.4" thickBot="1" x14ac:dyDescent="0.35">
      <c r="B372" s="26">
        <v>8441</v>
      </c>
      <c r="C372" s="26" t="s">
        <v>172</v>
      </c>
      <c r="F372" s="26">
        <v>10</v>
      </c>
      <c r="G372" s="29">
        <v>0.1</v>
      </c>
    </row>
    <row r="373" spans="2:7" ht="172.8" thickBot="1" x14ac:dyDescent="0.35">
      <c r="B373" s="26">
        <v>8442</v>
      </c>
      <c r="C373" s="26" t="s">
        <v>173</v>
      </c>
      <c r="F373" s="26">
        <v>10</v>
      </c>
      <c r="G373" s="29">
        <v>0.1</v>
      </c>
    </row>
    <row r="374" spans="2:7" ht="58.8" thickBot="1" x14ac:dyDescent="0.35">
      <c r="B374" s="26">
        <v>8443</v>
      </c>
      <c r="C374" s="26" t="s">
        <v>174</v>
      </c>
      <c r="F374" s="26">
        <v>10</v>
      </c>
      <c r="G374" s="29">
        <v>0.1</v>
      </c>
    </row>
    <row r="375" spans="2:7" ht="36" thickBot="1" x14ac:dyDescent="0.35">
      <c r="B375" s="26">
        <v>8444</v>
      </c>
      <c r="C375" s="26" t="s">
        <v>175</v>
      </c>
      <c r="F375" s="26">
        <v>10</v>
      </c>
      <c r="G375" s="29">
        <v>0.1</v>
      </c>
    </row>
    <row r="376" spans="2:7" ht="127.2" thickBot="1" x14ac:dyDescent="0.35">
      <c r="B376" s="26">
        <v>8445</v>
      </c>
      <c r="C376" s="26" t="s">
        <v>176</v>
      </c>
      <c r="F376" s="26">
        <v>10</v>
      </c>
      <c r="G376" s="29">
        <v>0.1</v>
      </c>
    </row>
    <row r="377" spans="2:7" ht="15" thickBot="1" x14ac:dyDescent="0.35">
      <c r="B377" s="26">
        <v>8446</v>
      </c>
      <c r="C377" s="26" t="s">
        <v>177</v>
      </c>
      <c r="F377" s="26">
        <v>10</v>
      </c>
      <c r="G377" s="29">
        <v>0.1</v>
      </c>
    </row>
    <row r="378" spans="2:7" ht="81.599999999999994" thickBot="1" x14ac:dyDescent="0.35">
      <c r="B378" s="26">
        <v>8447</v>
      </c>
      <c r="C378" s="26" t="s">
        <v>178</v>
      </c>
      <c r="F378" s="26">
        <v>10</v>
      </c>
      <c r="G378" s="29">
        <v>0.1</v>
      </c>
    </row>
    <row r="379" spans="2:7" ht="70.2" thickBot="1" x14ac:dyDescent="0.35">
      <c r="B379" s="26">
        <v>8448</v>
      </c>
      <c r="C379" s="26" t="s">
        <v>179</v>
      </c>
      <c r="F379" s="26">
        <v>10</v>
      </c>
      <c r="G379" s="29">
        <v>0.1</v>
      </c>
    </row>
    <row r="380" spans="2:7" ht="93" thickBot="1" x14ac:dyDescent="0.35">
      <c r="B380" s="26">
        <v>8449</v>
      </c>
      <c r="C380" s="26" t="s">
        <v>180</v>
      </c>
      <c r="F380" s="26">
        <v>10</v>
      </c>
      <c r="G380" s="29">
        <v>0.1</v>
      </c>
    </row>
    <row r="381" spans="2:7" ht="24.6" thickBot="1" x14ac:dyDescent="0.35">
      <c r="B381" s="26">
        <v>8450</v>
      </c>
      <c r="C381" s="26" t="s">
        <v>181</v>
      </c>
      <c r="F381" s="26">
        <v>10</v>
      </c>
      <c r="G381" s="29">
        <v>0.1</v>
      </c>
    </row>
    <row r="382" spans="2:7" ht="172.8" thickBot="1" x14ac:dyDescent="0.35">
      <c r="B382" s="26">
        <v>8451</v>
      </c>
      <c r="C382" s="26" t="s">
        <v>182</v>
      </c>
      <c r="F382" s="26">
        <v>10</v>
      </c>
      <c r="G382" s="29">
        <v>0.1</v>
      </c>
    </row>
    <row r="383" spans="2:7" ht="58.8" thickBot="1" x14ac:dyDescent="0.35">
      <c r="B383" s="26">
        <v>8452</v>
      </c>
      <c r="C383" s="26" t="s">
        <v>183</v>
      </c>
      <c r="F383" s="26">
        <v>10</v>
      </c>
      <c r="G383" s="29">
        <v>0.1</v>
      </c>
    </row>
    <row r="384" spans="2:7" ht="70.2" thickBot="1" x14ac:dyDescent="0.35">
      <c r="B384" s="26">
        <v>8453</v>
      </c>
      <c r="C384" s="26" t="s">
        <v>184</v>
      </c>
      <c r="F384" s="26">
        <v>10</v>
      </c>
      <c r="G384" s="29">
        <v>0.1</v>
      </c>
    </row>
    <row r="385" spans="2:7" ht="47.4" thickBot="1" x14ac:dyDescent="0.35">
      <c r="B385" s="26">
        <v>8454</v>
      </c>
      <c r="C385" s="26" t="s">
        <v>185</v>
      </c>
      <c r="F385" s="26">
        <v>10</v>
      </c>
      <c r="G385" s="29">
        <v>0.1</v>
      </c>
    </row>
    <row r="386" spans="2:7" ht="24.6" thickBot="1" x14ac:dyDescent="0.35">
      <c r="B386" s="26">
        <v>8455</v>
      </c>
      <c r="C386" s="26" t="s">
        <v>186</v>
      </c>
      <c r="F386" s="26">
        <v>10</v>
      </c>
      <c r="G386" s="29">
        <v>0.1</v>
      </c>
    </row>
    <row r="387" spans="2:7" ht="104.4" thickBot="1" x14ac:dyDescent="0.35">
      <c r="B387" s="26">
        <v>8456</v>
      </c>
      <c r="C387" s="26" t="s">
        <v>187</v>
      </c>
      <c r="F387" s="26">
        <v>10</v>
      </c>
      <c r="G387" s="29">
        <v>0.1</v>
      </c>
    </row>
    <row r="388" spans="2:7" ht="58.8" thickBot="1" x14ac:dyDescent="0.35">
      <c r="B388" s="26">
        <v>8457</v>
      </c>
      <c r="C388" s="26" t="s">
        <v>188</v>
      </c>
      <c r="F388" s="26">
        <v>10</v>
      </c>
      <c r="G388" s="29">
        <v>0.1</v>
      </c>
    </row>
    <row r="389" spans="2:7" ht="24.6" thickBot="1" x14ac:dyDescent="0.35">
      <c r="B389" s="26">
        <v>8458</v>
      </c>
      <c r="C389" s="26" t="s">
        <v>189</v>
      </c>
      <c r="F389" s="26">
        <v>10</v>
      </c>
      <c r="G389" s="29">
        <v>0.1</v>
      </c>
    </row>
    <row r="390" spans="2:7" ht="93" thickBot="1" x14ac:dyDescent="0.35">
      <c r="B390" s="26">
        <v>8459</v>
      </c>
      <c r="C390" s="26" t="s">
        <v>190</v>
      </c>
      <c r="F390" s="26">
        <v>10</v>
      </c>
      <c r="G390" s="29">
        <v>0.1</v>
      </c>
    </row>
    <row r="391" spans="2:7" ht="104.4" thickBot="1" x14ac:dyDescent="0.35">
      <c r="B391" s="26">
        <v>8460</v>
      </c>
      <c r="C391" s="26" t="s">
        <v>191</v>
      </c>
      <c r="F391" s="26">
        <v>10</v>
      </c>
      <c r="G391" s="29">
        <v>0.1</v>
      </c>
    </row>
    <row r="392" spans="2:7" ht="115.8" thickBot="1" x14ac:dyDescent="0.35">
      <c r="B392" s="26">
        <v>8461</v>
      </c>
      <c r="C392" s="26" t="s">
        <v>192</v>
      </c>
      <c r="F392" s="26">
        <v>10</v>
      </c>
      <c r="G392" s="29">
        <v>0.1</v>
      </c>
    </row>
    <row r="393" spans="2:7" ht="127.2" thickBot="1" x14ac:dyDescent="0.35">
      <c r="B393" s="26">
        <v>8462</v>
      </c>
      <c r="C393" s="26" t="s">
        <v>193</v>
      </c>
      <c r="F393" s="26">
        <v>10</v>
      </c>
      <c r="G393" s="29">
        <v>0.1</v>
      </c>
    </row>
    <row r="394" spans="2:7" ht="47.4" thickBot="1" x14ac:dyDescent="0.35">
      <c r="B394" s="26">
        <v>8463</v>
      </c>
      <c r="C394" s="26" t="s">
        <v>194</v>
      </c>
      <c r="F394" s="26">
        <v>10</v>
      </c>
      <c r="G394" s="29">
        <v>0.1</v>
      </c>
    </row>
    <row r="395" spans="2:7" ht="70.2" thickBot="1" x14ac:dyDescent="0.35">
      <c r="B395" s="26">
        <v>8464</v>
      </c>
      <c r="C395" s="26" t="s">
        <v>195</v>
      </c>
      <c r="F395" s="26">
        <v>10</v>
      </c>
      <c r="G395" s="29">
        <v>0.1</v>
      </c>
    </row>
    <row r="396" spans="2:7" ht="81.599999999999994" thickBot="1" x14ac:dyDescent="0.35">
      <c r="B396" s="26">
        <v>8465</v>
      </c>
      <c r="C396" s="26" t="s">
        <v>196</v>
      </c>
      <c r="F396" s="26">
        <v>10</v>
      </c>
      <c r="G396" s="29">
        <v>0.1</v>
      </c>
    </row>
    <row r="397" spans="2:7" ht="47.4" thickBot="1" x14ac:dyDescent="0.35">
      <c r="B397" s="26">
        <v>8467</v>
      </c>
      <c r="C397" s="26" t="s">
        <v>197</v>
      </c>
      <c r="F397" s="26">
        <v>10</v>
      </c>
      <c r="G397" s="29">
        <v>0.1</v>
      </c>
    </row>
    <row r="398" spans="2:7" ht="47.4" thickBot="1" x14ac:dyDescent="0.35">
      <c r="B398" s="26">
        <v>8468</v>
      </c>
      <c r="C398" s="26" t="s">
        <v>198</v>
      </c>
      <c r="F398" s="26">
        <v>10</v>
      </c>
      <c r="G398" s="29">
        <v>0.1</v>
      </c>
    </row>
    <row r="399" spans="2:7" ht="36" thickBot="1" x14ac:dyDescent="0.35">
      <c r="B399" s="26">
        <v>8469</v>
      </c>
      <c r="C399" s="26" t="s">
        <v>199</v>
      </c>
      <c r="F399" s="26">
        <v>10</v>
      </c>
      <c r="G399" s="29">
        <v>0.1</v>
      </c>
    </row>
    <row r="400" spans="2:7" ht="104.4" thickBot="1" x14ac:dyDescent="0.35">
      <c r="B400" s="26">
        <v>8470</v>
      </c>
      <c r="C400" s="26" t="s">
        <v>200</v>
      </c>
      <c r="F400" s="30" t="s">
        <v>46</v>
      </c>
      <c r="G400" s="31" t="s">
        <v>46</v>
      </c>
    </row>
    <row r="401" spans="2:7" ht="24.6" thickBot="1" x14ac:dyDescent="0.35">
      <c r="B401" s="26" t="s">
        <v>201</v>
      </c>
      <c r="C401" s="27" t="s">
        <v>202</v>
      </c>
      <c r="F401" s="26">
        <v>10</v>
      </c>
      <c r="G401" s="29">
        <v>0.1</v>
      </c>
    </row>
    <row r="402" spans="2:7" ht="24.6" thickBot="1" x14ac:dyDescent="0.35">
      <c r="B402" s="26" t="s">
        <v>203</v>
      </c>
      <c r="C402" s="27" t="s">
        <v>204</v>
      </c>
      <c r="F402" s="26">
        <v>10</v>
      </c>
      <c r="G402" s="29">
        <v>0.1</v>
      </c>
    </row>
    <row r="403" spans="2:7" ht="15" thickBot="1" x14ac:dyDescent="0.35">
      <c r="B403" s="26" t="s">
        <v>205</v>
      </c>
      <c r="C403" s="27" t="s">
        <v>206</v>
      </c>
      <c r="F403" s="26">
        <v>10</v>
      </c>
      <c r="G403" s="29">
        <v>0.1</v>
      </c>
    </row>
    <row r="404" spans="2:7" ht="15" thickBot="1" x14ac:dyDescent="0.35">
      <c r="B404" s="26" t="s">
        <v>207</v>
      </c>
      <c r="C404" s="27" t="s">
        <v>208</v>
      </c>
      <c r="F404" s="26">
        <v>10</v>
      </c>
      <c r="G404" s="29">
        <v>0.1</v>
      </c>
    </row>
    <row r="405" spans="2:7" ht="15" thickBot="1" x14ac:dyDescent="0.35">
      <c r="B405" s="26" t="s">
        <v>209</v>
      </c>
      <c r="C405" s="27" t="s">
        <v>210</v>
      </c>
      <c r="F405" s="26">
        <v>10</v>
      </c>
      <c r="G405" s="29">
        <v>0.1</v>
      </c>
    </row>
    <row r="406" spans="2:7" ht="15" thickBot="1" x14ac:dyDescent="0.35">
      <c r="B406" s="26" t="s">
        <v>211</v>
      </c>
      <c r="C406" s="26" t="s">
        <v>212</v>
      </c>
      <c r="F406" s="26">
        <v>10</v>
      </c>
      <c r="G406" s="29">
        <v>0.1</v>
      </c>
    </row>
    <row r="407" spans="2:7" ht="104.4" thickBot="1" x14ac:dyDescent="0.35">
      <c r="B407" s="26">
        <v>8471</v>
      </c>
      <c r="C407" s="26" t="s">
        <v>213</v>
      </c>
      <c r="F407" s="26">
        <v>5</v>
      </c>
      <c r="G407" s="29">
        <v>0.2</v>
      </c>
    </row>
    <row r="408" spans="2:7" ht="127.2" thickBot="1" x14ac:dyDescent="0.35">
      <c r="B408" s="26">
        <v>8472</v>
      </c>
      <c r="C408" s="26" t="s">
        <v>214</v>
      </c>
      <c r="F408" s="26">
        <v>10</v>
      </c>
      <c r="G408" s="29">
        <v>0.1</v>
      </c>
    </row>
    <row r="409" spans="2:7" ht="138.6" thickBot="1" x14ac:dyDescent="0.35">
      <c r="B409" s="26">
        <v>8474</v>
      </c>
      <c r="C409" s="26" t="s">
        <v>215</v>
      </c>
      <c r="F409" s="26">
        <v>5</v>
      </c>
      <c r="G409" s="29">
        <v>0.2</v>
      </c>
    </row>
    <row r="410" spans="2:7" ht="93" thickBot="1" x14ac:dyDescent="0.35">
      <c r="B410" s="26">
        <v>8475</v>
      </c>
      <c r="C410" s="26" t="s">
        <v>216</v>
      </c>
      <c r="F410" s="26">
        <v>10</v>
      </c>
      <c r="G410" s="29">
        <v>0.1</v>
      </c>
    </row>
    <row r="411" spans="2:7" ht="58.8" thickBot="1" x14ac:dyDescent="0.35">
      <c r="B411" s="26">
        <v>8476</v>
      </c>
      <c r="C411" s="26" t="s">
        <v>217</v>
      </c>
      <c r="F411" s="26">
        <v>10</v>
      </c>
      <c r="G411" s="29">
        <v>0.1</v>
      </c>
    </row>
    <row r="412" spans="2:7" ht="70.2" thickBot="1" x14ac:dyDescent="0.35">
      <c r="B412" s="26">
        <v>8477</v>
      </c>
      <c r="C412" s="26" t="s">
        <v>218</v>
      </c>
      <c r="F412" s="26">
        <v>10</v>
      </c>
      <c r="G412" s="29">
        <v>0.1</v>
      </c>
    </row>
    <row r="413" spans="2:7" ht="58.8" thickBot="1" x14ac:dyDescent="0.35">
      <c r="B413" s="26">
        <v>8478</v>
      </c>
      <c r="C413" s="26" t="s">
        <v>219</v>
      </c>
      <c r="F413" s="26">
        <v>10</v>
      </c>
      <c r="G413" s="29">
        <v>0.1</v>
      </c>
    </row>
    <row r="414" spans="2:7" ht="47.4" thickBot="1" x14ac:dyDescent="0.35">
      <c r="B414" s="26">
        <v>8479</v>
      </c>
      <c r="C414" s="26" t="s">
        <v>220</v>
      </c>
      <c r="F414" s="30" t="s">
        <v>46</v>
      </c>
      <c r="G414" s="31" t="s">
        <v>46</v>
      </c>
    </row>
    <row r="415" spans="2:7" ht="24.6" thickBot="1" x14ac:dyDescent="0.35">
      <c r="B415" s="26" t="s">
        <v>221</v>
      </c>
      <c r="C415" s="27" t="s">
        <v>222</v>
      </c>
      <c r="F415" s="26">
        <v>4</v>
      </c>
      <c r="G415" s="29">
        <v>0.25</v>
      </c>
    </row>
    <row r="416" spans="2:7" ht="36" thickBot="1" x14ac:dyDescent="0.35">
      <c r="B416" s="26" t="s">
        <v>223</v>
      </c>
      <c r="C416" s="27" t="s">
        <v>224</v>
      </c>
      <c r="F416" s="26">
        <v>10</v>
      </c>
      <c r="G416" s="29">
        <v>0.1</v>
      </c>
    </row>
    <row r="417" spans="2:7" ht="58.8" thickBot="1" x14ac:dyDescent="0.35">
      <c r="B417" s="26" t="s">
        <v>225</v>
      </c>
      <c r="C417" s="27" t="s">
        <v>226</v>
      </c>
      <c r="F417" s="26">
        <v>10</v>
      </c>
      <c r="G417" s="29">
        <v>0.1</v>
      </c>
    </row>
    <row r="418" spans="2:7" ht="15" thickBot="1" x14ac:dyDescent="0.35">
      <c r="B418" s="26" t="s">
        <v>227</v>
      </c>
      <c r="C418" s="27" t="s">
        <v>228</v>
      </c>
      <c r="F418" s="26">
        <v>10</v>
      </c>
      <c r="G418" s="29">
        <v>0.1</v>
      </c>
    </row>
    <row r="419" spans="2:7" ht="24.6" thickBot="1" x14ac:dyDescent="0.35">
      <c r="B419" s="26" t="s">
        <v>229</v>
      </c>
      <c r="C419" s="27" t="s">
        <v>230</v>
      </c>
      <c r="F419" s="26">
        <v>10</v>
      </c>
      <c r="G419" s="29">
        <v>0.1</v>
      </c>
    </row>
    <row r="420" spans="2:7" ht="24.6" thickBot="1" x14ac:dyDescent="0.35">
      <c r="B420" s="26" t="s">
        <v>231</v>
      </c>
      <c r="C420" s="27" t="s">
        <v>232</v>
      </c>
      <c r="F420" s="26">
        <v>10</v>
      </c>
      <c r="G420" s="29">
        <v>0.1</v>
      </c>
    </row>
    <row r="421" spans="2:7" ht="15" thickBot="1" x14ac:dyDescent="0.35">
      <c r="B421" s="26" t="s">
        <v>233</v>
      </c>
      <c r="C421" s="27" t="s">
        <v>234</v>
      </c>
      <c r="F421" s="30" t="s">
        <v>46</v>
      </c>
      <c r="G421" s="31" t="s">
        <v>46</v>
      </c>
    </row>
    <row r="422" spans="2:7" ht="24.6" thickBot="1" x14ac:dyDescent="0.35">
      <c r="B422" s="26" t="s">
        <v>235</v>
      </c>
      <c r="C422" s="27" t="s">
        <v>236</v>
      </c>
      <c r="F422" s="26">
        <v>10</v>
      </c>
      <c r="G422" s="29">
        <v>0.1</v>
      </c>
    </row>
    <row r="423" spans="2:7" ht="36" thickBot="1" x14ac:dyDescent="0.35">
      <c r="B423" s="26" t="s">
        <v>237</v>
      </c>
      <c r="C423" s="27" t="s">
        <v>238</v>
      </c>
      <c r="F423" s="26">
        <v>10</v>
      </c>
      <c r="G423" s="29">
        <v>0.1</v>
      </c>
    </row>
    <row r="424" spans="2:7" ht="15" thickBot="1" x14ac:dyDescent="0.35">
      <c r="B424" s="26" t="s">
        <v>239</v>
      </c>
      <c r="C424" s="27" t="s">
        <v>240</v>
      </c>
      <c r="F424" s="26">
        <v>10</v>
      </c>
      <c r="G424" s="29">
        <v>0.1</v>
      </c>
    </row>
    <row r="425" spans="2:7" ht="70.2" thickBot="1" x14ac:dyDescent="0.35">
      <c r="B425" s="26">
        <v>8480</v>
      </c>
      <c r="C425" s="26" t="s">
        <v>241</v>
      </c>
      <c r="F425" s="26">
        <v>3</v>
      </c>
      <c r="G425" s="34">
        <v>0.33300000000000002</v>
      </c>
    </row>
    <row r="426" spans="2:7" ht="172.8" thickBot="1" x14ac:dyDescent="0.35">
      <c r="B426" s="26">
        <v>8483</v>
      </c>
      <c r="C426" s="26" t="s">
        <v>242</v>
      </c>
      <c r="F426" s="30" t="s">
        <v>46</v>
      </c>
      <c r="G426" s="31" t="s">
        <v>46</v>
      </c>
    </row>
    <row r="427" spans="2:7" ht="36" thickBot="1" x14ac:dyDescent="0.35">
      <c r="B427" s="26" t="s">
        <v>243</v>
      </c>
      <c r="C427" s="26" t="s">
        <v>244</v>
      </c>
      <c r="F427" s="26">
        <v>10</v>
      </c>
      <c r="G427" s="29">
        <v>0.1</v>
      </c>
    </row>
    <row r="428" spans="2:7" ht="70.2" thickBot="1" x14ac:dyDescent="0.35">
      <c r="B428" s="26" t="s">
        <v>245</v>
      </c>
      <c r="C428" s="26" t="s">
        <v>246</v>
      </c>
      <c r="F428" s="30" t="s">
        <v>46</v>
      </c>
      <c r="G428" s="31" t="s">
        <v>46</v>
      </c>
    </row>
    <row r="429" spans="2:7" ht="24.6" thickBot="1" x14ac:dyDescent="0.35">
      <c r="B429" s="26">
        <v>8501</v>
      </c>
      <c r="C429" s="26" t="s">
        <v>247</v>
      </c>
      <c r="F429" s="26">
        <v>10</v>
      </c>
      <c r="G429" s="29">
        <v>0.1</v>
      </c>
    </row>
    <row r="430" spans="2:7" ht="24.6" thickBot="1" x14ac:dyDescent="0.35">
      <c r="B430" s="26">
        <v>8502</v>
      </c>
      <c r="C430" s="26" t="s">
        <v>248</v>
      </c>
      <c r="F430" s="26">
        <v>10</v>
      </c>
      <c r="G430" s="29">
        <v>0.1</v>
      </c>
    </row>
    <row r="431" spans="2:7" ht="58.8" thickBot="1" x14ac:dyDescent="0.35">
      <c r="B431" s="26">
        <v>8504</v>
      </c>
      <c r="C431" s="26" t="s">
        <v>249</v>
      </c>
      <c r="F431" s="26">
        <v>10</v>
      </c>
      <c r="G431" s="29">
        <v>0.1</v>
      </c>
    </row>
    <row r="432" spans="2:7" ht="36" thickBot="1" x14ac:dyDescent="0.35">
      <c r="B432" s="26">
        <v>8508</v>
      </c>
      <c r="C432" s="26" t="s">
        <v>250</v>
      </c>
      <c r="F432" s="26">
        <v>5</v>
      </c>
      <c r="G432" s="29">
        <v>0.2</v>
      </c>
    </row>
    <row r="433" spans="2:7" ht="24.6" thickBot="1" x14ac:dyDescent="0.35">
      <c r="B433" s="26">
        <v>8510</v>
      </c>
      <c r="C433" s="26" t="s">
        <v>251</v>
      </c>
      <c r="F433" s="26">
        <v>5</v>
      </c>
      <c r="G433" s="29">
        <v>0.2</v>
      </c>
    </row>
    <row r="434" spans="2:7" ht="93" thickBot="1" x14ac:dyDescent="0.35">
      <c r="B434" s="26">
        <v>8514</v>
      </c>
      <c r="C434" s="26" t="s">
        <v>252</v>
      </c>
      <c r="F434" s="26">
        <v>10</v>
      </c>
      <c r="G434" s="29">
        <v>0.1</v>
      </c>
    </row>
    <row r="435" spans="2:7" ht="115.8" thickBot="1" x14ac:dyDescent="0.35">
      <c r="B435" s="26">
        <v>8515</v>
      </c>
      <c r="C435" s="26" t="s">
        <v>253</v>
      </c>
      <c r="F435" s="26">
        <v>10</v>
      </c>
      <c r="G435" s="29">
        <v>0.1</v>
      </c>
    </row>
    <row r="436" spans="2:7" ht="36" thickBot="1" x14ac:dyDescent="0.35">
      <c r="B436" s="26">
        <v>8516</v>
      </c>
      <c r="C436" s="26" t="s">
        <v>254</v>
      </c>
      <c r="F436" s="26">
        <v>10</v>
      </c>
      <c r="G436" s="29">
        <v>0.1</v>
      </c>
    </row>
    <row r="437" spans="2:7" ht="104.4" thickBot="1" x14ac:dyDescent="0.35">
      <c r="B437" s="35">
        <v>8517</v>
      </c>
      <c r="C437" s="35" t="s">
        <v>255</v>
      </c>
      <c r="F437" s="35">
        <v>5</v>
      </c>
      <c r="G437" s="36">
        <v>0</v>
      </c>
    </row>
    <row r="438" spans="2:7" ht="115.8" thickBot="1" x14ac:dyDescent="0.35">
      <c r="B438" s="26">
        <v>8517</v>
      </c>
      <c r="C438" s="26" t="s">
        <v>374</v>
      </c>
      <c r="F438" s="26">
        <v>5</v>
      </c>
      <c r="G438" s="29">
        <v>0.2</v>
      </c>
    </row>
    <row r="439" spans="2:7" ht="15" thickBot="1" x14ac:dyDescent="0.35">
      <c r="B439" s="26">
        <v>8520</v>
      </c>
      <c r="C439" s="26" t="s">
        <v>256</v>
      </c>
      <c r="F439" s="26">
        <v>5</v>
      </c>
      <c r="G439" s="29">
        <v>0.2</v>
      </c>
    </row>
    <row r="440" spans="2:7" ht="47.4" thickBot="1" x14ac:dyDescent="0.35">
      <c r="B440" s="26">
        <v>8521</v>
      </c>
      <c r="C440" s="26" t="s">
        <v>257</v>
      </c>
      <c r="F440" s="30" t="s">
        <v>46</v>
      </c>
      <c r="G440" s="31" t="s">
        <v>46</v>
      </c>
    </row>
    <row r="441" spans="2:7" ht="24.6" thickBot="1" x14ac:dyDescent="0.35">
      <c r="B441" s="26" t="s">
        <v>258</v>
      </c>
      <c r="C441" s="26" t="s">
        <v>259</v>
      </c>
      <c r="F441" s="26">
        <v>5</v>
      </c>
      <c r="G441" s="29">
        <v>0.2</v>
      </c>
    </row>
    <row r="442" spans="2:7" ht="36" thickBot="1" x14ac:dyDescent="0.35">
      <c r="B442" s="26" t="s">
        <v>260</v>
      </c>
      <c r="C442" s="26" t="s">
        <v>261</v>
      </c>
      <c r="F442" s="26">
        <v>5</v>
      </c>
      <c r="G442" s="29">
        <v>0.2</v>
      </c>
    </row>
    <row r="443" spans="2:7" ht="36" thickBot="1" x14ac:dyDescent="0.35">
      <c r="B443" s="26">
        <v>8524</v>
      </c>
      <c r="C443" s="26" t="s">
        <v>262</v>
      </c>
      <c r="F443" s="30" t="s">
        <v>46</v>
      </c>
      <c r="G443" s="31" t="s">
        <v>46</v>
      </c>
    </row>
    <row r="444" spans="2:7" ht="24.6" thickBot="1" x14ac:dyDescent="0.35">
      <c r="B444" s="26" t="s">
        <v>263</v>
      </c>
      <c r="C444" s="27" t="s">
        <v>264</v>
      </c>
      <c r="F444" s="26">
        <v>3</v>
      </c>
      <c r="G444" s="34">
        <v>0.33300000000000002</v>
      </c>
    </row>
    <row r="445" spans="2:7" ht="24.6" thickBot="1" x14ac:dyDescent="0.35">
      <c r="B445" s="26" t="s">
        <v>265</v>
      </c>
      <c r="C445" s="27" t="s">
        <v>266</v>
      </c>
      <c r="F445" s="26">
        <v>3</v>
      </c>
      <c r="G445" s="34">
        <v>0.33300000000000002</v>
      </c>
    </row>
    <row r="446" spans="2:7" ht="15" thickBot="1" x14ac:dyDescent="0.35">
      <c r="B446" s="26" t="s">
        <v>267</v>
      </c>
      <c r="C446" s="27" t="s">
        <v>268</v>
      </c>
      <c r="F446" s="26">
        <v>3</v>
      </c>
      <c r="G446" s="34">
        <v>0.33300000000000002</v>
      </c>
    </row>
    <row r="447" spans="2:7" ht="15" thickBot="1" x14ac:dyDescent="0.35">
      <c r="B447" s="26" t="s">
        <v>269</v>
      </c>
      <c r="C447" s="27" t="s">
        <v>270</v>
      </c>
      <c r="F447" s="26">
        <v>3</v>
      </c>
      <c r="G447" s="34">
        <v>0.33300000000000002</v>
      </c>
    </row>
    <row r="448" spans="2:7" ht="115.8" thickBot="1" x14ac:dyDescent="0.35">
      <c r="B448" s="26">
        <v>8525</v>
      </c>
      <c r="C448" s="26" t="s">
        <v>271</v>
      </c>
      <c r="F448" s="26">
        <v>5</v>
      </c>
      <c r="G448" s="29">
        <v>0.2</v>
      </c>
    </row>
    <row r="449" spans="2:7" ht="47.4" thickBot="1" x14ac:dyDescent="0.35">
      <c r="B449" s="26">
        <v>8526</v>
      </c>
      <c r="C449" s="26" t="s">
        <v>272</v>
      </c>
      <c r="F449" s="26">
        <v>5</v>
      </c>
      <c r="G449" s="29">
        <v>0.2</v>
      </c>
    </row>
    <row r="450" spans="2:7" ht="47.4" thickBot="1" x14ac:dyDescent="0.35">
      <c r="B450" s="26">
        <v>8527</v>
      </c>
      <c r="C450" s="26" t="s">
        <v>273</v>
      </c>
      <c r="F450" s="26">
        <v>5</v>
      </c>
      <c r="G450" s="29">
        <v>0.2</v>
      </c>
    </row>
    <row r="451" spans="2:7" ht="81.599999999999994" thickBot="1" x14ac:dyDescent="0.35">
      <c r="B451" s="26">
        <v>8531</v>
      </c>
      <c r="C451" s="26" t="s">
        <v>274</v>
      </c>
      <c r="F451" s="30" t="s">
        <v>46</v>
      </c>
      <c r="G451" s="31" t="s">
        <v>46</v>
      </c>
    </row>
    <row r="452" spans="2:7" ht="47.4" thickBot="1" x14ac:dyDescent="0.35">
      <c r="B452" s="26" t="s">
        <v>275</v>
      </c>
      <c r="C452" s="26" t="s">
        <v>276</v>
      </c>
      <c r="F452" s="26">
        <v>5</v>
      </c>
      <c r="G452" s="29">
        <v>0.2</v>
      </c>
    </row>
    <row r="453" spans="2:7" ht="47.4" thickBot="1" x14ac:dyDescent="0.35">
      <c r="B453" s="26">
        <v>8543</v>
      </c>
      <c r="C453" s="26" t="s">
        <v>277</v>
      </c>
      <c r="F453" s="26">
        <v>10</v>
      </c>
      <c r="G453" s="29">
        <v>0.1</v>
      </c>
    </row>
    <row r="454" spans="2:7" ht="58.8" thickBot="1" x14ac:dyDescent="0.35">
      <c r="B454" s="26" t="s">
        <v>278</v>
      </c>
      <c r="C454" s="26" t="s">
        <v>279</v>
      </c>
      <c r="F454" s="30" t="s">
        <v>46</v>
      </c>
      <c r="G454" s="31" t="s">
        <v>46</v>
      </c>
    </row>
    <row r="455" spans="2:7" ht="36" thickBot="1" x14ac:dyDescent="0.35">
      <c r="B455" s="26">
        <v>8601</v>
      </c>
      <c r="C455" s="26" t="s">
        <v>280</v>
      </c>
      <c r="F455" s="26">
        <v>10</v>
      </c>
      <c r="G455" s="29">
        <v>0.1</v>
      </c>
    </row>
    <row r="456" spans="2:7" ht="24.6" thickBot="1" x14ac:dyDescent="0.35">
      <c r="B456" s="26">
        <v>8602</v>
      </c>
      <c r="C456" s="26" t="s">
        <v>281</v>
      </c>
      <c r="F456" s="26">
        <v>10</v>
      </c>
      <c r="G456" s="29">
        <v>0.1</v>
      </c>
    </row>
    <row r="457" spans="2:7" ht="36" thickBot="1" x14ac:dyDescent="0.35">
      <c r="B457" s="26">
        <v>8603</v>
      </c>
      <c r="C457" s="26" t="s">
        <v>282</v>
      </c>
      <c r="F457" s="26">
        <v>10</v>
      </c>
      <c r="G457" s="29">
        <v>0.1</v>
      </c>
    </row>
    <row r="458" spans="2:7" ht="93" thickBot="1" x14ac:dyDescent="0.35">
      <c r="B458" s="26">
        <v>8604</v>
      </c>
      <c r="C458" s="26" t="s">
        <v>283</v>
      </c>
      <c r="F458" s="26">
        <v>10</v>
      </c>
      <c r="G458" s="29">
        <v>0.1</v>
      </c>
    </row>
    <row r="459" spans="2:7" ht="58.8" thickBot="1" x14ac:dyDescent="0.35">
      <c r="B459" s="26">
        <v>8605</v>
      </c>
      <c r="C459" s="26" t="s">
        <v>284</v>
      </c>
      <c r="F459" s="26">
        <v>10</v>
      </c>
      <c r="G459" s="29">
        <v>0.1</v>
      </c>
    </row>
    <row r="460" spans="2:7" ht="24.6" thickBot="1" x14ac:dyDescent="0.35">
      <c r="B460" s="26">
        <v>8606</v>
      </c>
      <c r="C460" s="26" t="s">
        <v>285</v>
      </c>
      <c r="F460" s="26">
        <v>10</v>
      </c>
      <c r="G460" s="29">
        <v>0.1</v>
      </c>
    </row>
    <row r="461" spans="2:7" ht="93" thickBot="1" x14ac:dyDescent="0.35">
      <c r="B461" s="26">
        <v>8608</v>
      </c>
      <c r="C461" s="26" t="s">
        <v>286</v>
      </c>
      <c r="F461" s="26">
        <v>10</v>
      </c>
      <c r="G461" s="29">
        <v>0.1</v>
      </c>
    </row>
    <row r="462" spans="2:7" ht="58.8" thickBot="1" x14ac:dyDescent="0.35">
      <c r="B462" s="26">
        <v>8609</v>
      </c>
      <c r="C462" s="26" t="s">
        <v>287</v>
      </c>
      <c r="F462" s="26">
        <v>10</v>
      </c>
      <c r="G462" s="29">
        <v>0.1</v>
      </c>
    </row>
    <row r="463" spans="2:7" ht="36" thickBot="1" x14ac:dyDescent="0.35">
      <c r="B463" s="26" t="s">
        <v>288</v>
      </c>
      <c r="C463" s="26" t="s">
        <v>289</v>
      </c>
      <c r="F463" s="30" t="s">
        <v>46</v>
      </c>
      <c r="G463" s="31" t="s">
        <v>46</v>
      </c>
    </row>
    <row r="464" spans="2:7" ht="24.6" thickBot="1" x14ac:dyDescent="0.35">
      <c r="B464" s="26">
        <v>8701</v>
      </c>
      <c r="C464" s="26" t="s">
        <v>290</v>
      </c>
      <c r="F464" s="26">
        <v>4</v>
      </c>
      <c r="G464" s="29">
        <v>0.25</v>
      </c>
    </row>
    <row r="465" spans="2:7" ht="36" thickBot="1" x14ac:dyDescent="0.35">
      <c r="B465" s="26">
        <v>8702</v>
      </c>
      <c r="C465" s="26" t="s">
        <v>291</v>
      </c>
      <c r="F465" s="26">
        <v>4</v>
      </c>
      <c r="G465" s="29">
        <v>0.25</v>
      </c>
    </row>
    <row r="466" spans="2:7" ht="93" thickBot="1" x14ac:dyDescent="0.35">
      <c r="B466" s="26">
        <v>8703</v>
      </c>
      <c r="C466" s="26" t="s">
        <v>292</v>
      </c>
      <c r="F466" s="26">
        <v>5</v>
      </c>
      <c r="G466" s="29">
        <v>0.2</v>
      </c>
    </row>
    <row r="467" spans="2:7" ht="24.6" thickBot="1" x14ac:dyDescent="0.35">
      <c r="B467" s="26">
        <v>8704</v>
      </c>
      <c r="C467" s="26" t="s">
        <v>293</v>
      </c>
      <c r="F467" s="26">
        <v>4</v>
      </c>
      <c r="G467" s="29">
        <v>0.25</v>
      </c>
    </row>
    <row r="468" spans="2:7" ht="127.2" thickBot="1" x14ac:dyDescent="0.35">
      <c r="B468" s="26">
        <v>8705</v>
      </c>
      <c r="C468" s="26" t="s">
        <v>294</v>
      </c>
      <c r="F468" s="26">
        <v>4</v>
      </c>
      <c r="G468" s="29">
        <v>0.25</v>
      </c>
    </row>
    <row r="469" spans="2:7" ht="93" thickBot="1" x14ac:dyDescent="0.35">
      <c r="B469" s="26">
        <v>8709</v>
      </c>
      <c r="C469" s="26" t="s">
        <v>295</v>
      </c>
      <c r="F469" s="26">
        <v>10</v>
      </c>
      <c r="G469" s="29">
        <v>0.1</v>
      </c>
    </row>
    <row r="470" spans="2:7" ht="58.8" thickBot="1" x14ac:dyDescent="0.35">
      <c r="B470" s="26">
        <v>8711</v>
      </c>
      <c r="C470" s="26" t="s">
        <v>296</v>
      </c>
      <c r="F470" s="26">
        <v>4</v>
      </c>
      <c r="G470" s="29">
        <v>0.25</v>
      </c>
    </row>
    <row r="471" spans="2:7" ht="36" thickBot="1" x14ac:dyDescent="0.35">
      <c r="B471" s="26">
        <v>8716</v>
      </c>
      <c r="C471" s="26" t="s">
        <v>297</v>
      </c>
      <c r="F471" s="26">
        <v>5</v>
      </c>
      <c r="G471" s="29">
        <v>0.2</v>
      </c>
    </row>
    <row r="472" spans="2:7" ht="15" thickBot="1" x14ac:dyDescent="0.35">
      <c r="B472" s="26" t="s">
        <v>298</v>
      </c>
      <c r="C472" s="26" t="s">
        <v>299</v>
      </c>
      <c r="F472" s="30" t="s">
        <v>46</v>
      </c>
      <c r="G472" s="31" t="s">
        <v>46</v>
      </c>
    </row>
    <row r="473" spans="2:7" ht="47.4" thickBot="1" x14ac:dyDescent="0.35">
      <c r="B473" s="26">
        <v>8801</v>
      </c>
      <c r="C473" s="26" t="s">
        <v>300</v>
      </c>
      <c r="F473" s="26">
        <v>10</v>
      </c>
      <c r="G473" s="29">
        <v>0.1</v>
      </c>
    </row>
    <row r="474" spans="2:7" ht="58.8" thickBot="1" x14ac:dyDescent="0.35">
      <c r="B474" s="26">
        <v>8802</v>
      </c>
      <c r="C474" s="26" t="s">
        <v>301</v>
      </c>
      <c r="F474" s="26">
        <v>10</v>
      </c>
      <c r="G474" s="29">
        <v>0.1</v>
      </c>
    </row>
    <row r="475" spans="2:7" ht="36" thickBot="1" x14ac:dyDescent="0.35">
      <c r="B475" s="26">
        <v>8804</v>
      </c>
      <c r="C475" s="26" t="s">
        <v>302</v>
      </c>
      <c r="F475" s="26">
        <v>10</v>
      </c>
      <c r="G475" s="29">
        <v>0.1</v>
      </c>
    </row>
    <row r="476" spans="2:7" ht="93" thickBot="1" x14ac:dyDescent="0.35">
      <c r="B476" s="26">
        <v>8805</v>
      </c>
      <c r="C476" s="26" t="s">
        <v>303</v>
      </c>
      <c r="F476" s="26">
        <v>10</v>
      </c>
      <c r="G476" s="29">
        <v>0.1</v>
      </c>
    </row>
    <row r="477" spans="2:7" ht="24.6" thickBot="1" x14ac:dyDescent="0.35">
      <c r="B477" s="26" t="s">
        <v>304</v>
      </c>
      <c r="C477" s="26" t="s">
        <v>305</v>
      </c>
      <c r="F477" s="30" t="s">
        <v>46</v>
      </c>
      <c r="G477" s="31" t="s">
        <v>46</v>
      </c>
    </row>
    <row r="478" spans="2:7" ht="58.8" thickBot="1" x14ac:dyDescent="0.35">
      <c r="B478" s="26">
        <v>8901</v>
      </c>
      <c r="C478" s="26" t="s">
        <v>306</v>
      </c>
      <c r="F478" s="26">
        <v>20</v>
      </c>
      <c r="G478" s="29">
        <v>0.05</v>
      </c>
    </row>
    <row r="479" spans="2:7" ht="47.4" thickBot="1" x14ac:dyDescent="0.35">
      <c r="B479" s="26">
        <v>8902</v>
      </c>
      <c r="C479" s="26" t="s">
        <v>307</v>
      </c>
      <c r="F479" s="26">
        <v>20</v>
      </c>
      <c r="G479" s="29">
        <v>0.05</v>
      </c>
    </row>
    <row r="480" spans="2:7" ht="36" thickBot="1" x14ac:dyDescent="0.35">
      <c r="B480" s="26">
        <v>8903</v>
      </c>
      <c r="C480" s="26" t="s">
        <v>308</v>
      </c>
      <c r="F480" s="30" t="s">
        <v>46</v>
      </c>
      <c r="G480" s="31" t="s">
        <v>46</v>
      </c>
    </row>
    <row r="481" spans="2:7" ht="15" thickBot="1" x14ac:dyDescent="0.35">
      <c r="B481" s="26" t="s">
        <v>309</v>
      </c>
      <c r="C481" s="27" t="s">
        <v>310</v>
      </c>
      <c r="F481" s="26">
        <v>5</v>
      </c>
      <c r="G481" s="29">
        <v>0.2</v>
      </c>
    </row>
    <row r="482" spans="2:7" ht="15" thickBot="1" x14ac:dyDescent="0.35">
      <c r="B482" s="26" t="s">
        <v>311</v>
      </c>
      <c r="C482" s="27" t="s">
        <v>312</v>
      </c>
      <c r="F482" s="26">
        <v>10</v>
      </c>
      <c r="G482" s="29">
        <v>0.1</v>
      </c>
    </row>
    <row r="483" spans="2:7" ht="36" thickBot="1" x14ac:dyDescent="0.35">
      <c r="B483" s="26">
        <v>8904</v>
      </c>
      <c r="C483" s="26" t="s">
        <v>313</v>
      </c>
      <c r="F483" s="26">
        <v>20</v>
      </c>
      <c r="G483" s="29">
        <v>0.05</v>
      </c>
    </row>
    <row r="484" spans="2:7" ht="93" thickBot="1" x14ac:dyDescent="0.35">
      <c r="B484" s="26">
        <v>8905</v>
      </c>
      <c r="C484" s="26" t="s">
        <v>314</v>
      </c>
      <c r="F484" s="26">
        <v>20</v>
      </c>
      <c r="G484" s="28" t="s">
        <v>315</v>
      </c>
    </row>
    <row r="485" spans="2:7" ht="36" thickBot="1" x14ac:dyDescent="0.35">
      <c r="B485" s="26">
        <v>8906</v>
      </c>
      <c r="C485" s="26" t="s">
        <v>316</v>
      </c>
      <c r="F485" s="26">
        <v>20</v>
      </c>
      <c r="G485" s="29">
        <v>0.05</v>
      </c>
    </row>
    <row r="486" spans="2:7" ht="47.4" thickBot="1" x14ac:dyDescent="0.35">
      <c r="B486" s="26">
        <v>8907</v>
      </c>
      <c r="C486" s="26" t="s">
        <v>317</v>
      </c>
      <c r="F486" s="30" t="s">
        <v>46</v>
      </c>
      <c r="G486" s="31" t="s">
        <v>46</v>
      </c>
    </row>
    <row r="487" spans="2:7" ht="15" thickBot="1" x14ac:dyDescent="0.35">
      <c r="B487" s="26" t="s">
        <v>318</v>
      </c>
      <c r="C487" s="27" t="s">
        <v>319</v>
      </c>
      <c r="F487" s="26">
        <v>5</v>
      </c>
      <c r="G487" s="29">
        <v>0.2</v>
      </c>
    </row>
    <row r="488" spans="2:7" ht="15" thickBot="1" x14ac:dyDescent="0.35">
      <c r="B488" s="26" t="s">
        <v>320</v>
      </c>
      <c r="C488" s="27" t="s">
        <v>321</v>
      </c>
      <c r="F488" s="26">
        <v>20</v>
      </c>
      <c r="G488" s="29">
        <v>0.05</v>
      </c>
    </row>
    <row r="489" spans="2:7" ht="58.8" thickBot="1" x14ac:dyDescent="0.35">
      <c r="B489" s="26" t="s">
        <v>322</v>
      </c>
      <c r="C489" s="26" t="s">
        <v>323</v>
      </c>
      <c r="F489" s="30" t="s">
        <v>46</v>
      </c>
      <c r="G489" s="31" t="s">
        <v>46</v>
      </c>
    </row>
    <row r="490" spans="2:7" ht="70.2" thickBot="1" x14ac:dyDescent="0.35">
      <c r="B490" s="26">
        <v>9005</v>
      </c>
      <c r="C490" s="26" t="s">
        <v>324</v>
      </c>
      <c r="F490" s="26">
        <v>10</v>
      </c>
      <c r="G490" s="29">
        <v>0.1</v>
      </c>
    </row>
    <row r="491" spans="2:7" ht="58.8" thickBot="1" x14ac:dyDescent="0.35">
      <c r="B491" s="26">
        <v>9006</v>
      </c>
      <c r="C491" s="26" t="s">
        <v>325</v>
      </c>
      <c r="F491" s="26">
        <v>10</v>
      </c>
      <c r="G491" s="29">
        <v>0.1</v>
      </c>
    </row>
    <row r="492" spans="2:7" ht="47.4" thickBot="1" x14ac:dyDescent="0.35">
      <c r="B492" s="26">
        <v>9007</v>
      </c>
      <c r="C492" s="26" t="s">
        <v>326</v>
      </c>
      <c r="F492" s="26">
        <v>10</v>
      </c>
      <c r="G492" s="29">
        <v>0.1</v>
      </c>
    </row>
    <row r="493" spans="2:7" ht="36" thickBot="1" x14ac:dyDescent="0.35">
      <c r="B493" s="26">
        <v>9008</v>
      </c>
      <c r="C493" s="26" t="s">
        <v>327</v>
      </c>
      <c r="F493" s="26">
        <v>10</v>
      </c>
      <c r="G493" s="29">
        <v>0.1</v>
      </c>
    </row>
    <row r="494" spans="2:7" ht="36" thickBot="1" x14ac:dyDescent="0.35">
      <c r="B494" s="26">
        <v>9009</v>
      </c>
      <c r="C494" s="26" t="s">
        <v>328</v>
      </c>
      <c r="F494" s="26">
        <v>10</v>
      </c>
      <c r="G494" s="29">
        <v>0.1</v>
      </c>
    </row>
    <row r="495" spans="2:7" ht="104.4" thickBot="1" x14ac:dyDescent="0.35">
      <c r="B495" s="26">
        <v>9010</v>
      </c>
      <c r="C495" s="26" t="s">
        <v>329</v>
      </c>
      <c r="F495" s="26">
        <v>10</v>
      </c>
      <c r="G495" s="29">
        <v>0.1</v>
      </c>
    </row>
    <row r="496" spans="2:7" ht="58.8" thickBot="1" x14ac:dyDescent="0.35">
      <c r="B496" s="26">
        <v>9011</v>
      </c>
      <c r="C496" s="26" t="s">
        <v>330</v>
      </c>
      <c r="F496" s="26">
        <v>10</v>
      </c>
      <c r="G496" s="29">
        <v>0.1</v>
      </c>
    </row>
    <row r="497" spans="2:7" ht="24.6" thickBot="1" x14ac:dyDescent="0.35">
      <c r="B497" s="26">
        <v>9012</v>
      </c>
      <c r="C497" s="26" t="s">
        <v>331</v>
      </c>
      <c r="F497" s="26">
        <v>10</v>
      </c>
      <c r="G497" s="29">
        <v>0.1</v>
      </c>
    </row>
    <row r="498" spans="2:7" ht="36" thickBot="1" x14ac:dyDescent="0.35">
      <c r="B498" s="26">
        <v>9014</v>
      </c>
      <c r="C498" s="26" t="s">
        <v>332</v>
      </c>
      <c r="F498" s="26">
        <v>10</v>
      </c>
      <c r="G498" s="29">
        <v>0.1</v>
      </c>
    </row>
    <row r="499" spans="2:7" ht="81.599999999999994" thickBot="1" x14ac:dyDescent="0.35">
      <c r="B499" s="26">
        <v>9015</v>
      </c>
      <c r="C499" s="26" t="s">
        <v>333</v>
      </c>
      <c r="F499" s="26">
        <v>10</v>
      </c>
      <c r="G499" s="29">
        <v>0.1</v>
      </c>
    </row>
    <row r="500" spans="2:7" ht="24.6" thickBot="1" x14ac:dyDescent="0.35">
      <c r="B500" s="26">
        <v>9016</v>
      </c>
      <c r="C500" s="26" t="s">
        <v>334</v>
      </c>
      <c r="F500" s="26">
        <v>10</v>
      </c>
      <c r="G500" s="29">
        <v>0.1</v>
      </c>
    </row>
    <row r="501" spans="2:7" ht="138.6" thickBot="1" x14ac:dyDescent="0.35">
      <c r="B501" s="26">
        <v>9017</v>
      </c>
      <c r="C501" s="26" t="s">
        <v>335</v>
      </c>
      <c r="F501" s="26">
        <v>10</v>
      </c>
      <c r="G501" s="29">
        <v>0.1</v>
      </c>
    </row>
    <row r="502" spans="2:7" ht="81.599999999999994" thickBot="1" x14ac:dyDescent="0.35">
      <c r="B502" s="26">
        <v>9018</v>
      </c>
      <c r="C502" s="26" t="s">
        <v>336</v>
      </c>
      <c r="F502" s="30" t="s">
        <v>46</v>
      </c>
      <c r="G502" s="31" t="s">
        <v>46</v>
      </c>
    </row>
    <row r="503" spans="2:7" ht="36" thickBot="1" x14ac:dyDescent="0.35">
      <c r="B503" s="26" t="s">
        <v>337</v>
      </c>
      <c r="C503" s="27" t="s">
        <v>338</v>
      </c>
      <c r="F503" s="26">
        <v>10</v>
      </c>
      <c r="G503" s="29">
        <v>0.1</v>
      </c>
    </row>
    <row r="504" spans="2:7" ht="24.6" thickBot="1" x14ac:dyDescent="0.35">
      <c r="B504" s="26" t="s">
        <v>339</v>
      </c>
      <c r="C504" s="27" t="s">
        <v>340</v>
      </c>
      <c r="F504" s="26">
        <v>10</v>
      </c>
      <c r="G504" s="29">
        <v>0.1</v>
      </c>
    </row>
    <row r="505" spans="2:7" ht="24.6" thickBot="1" x14ac:dyDescent="0.35">
      <c r="B505" s="26" t="s">
        <v>341</v>
      </c>
      <c r="C505" s="27" t="s">
        <v>342</v>
      </c>
      <c r="F505" s="30" t="s">
        <v>46</v>
      </c>
      <c r="G505" s="31" t="s">
        <v>46</v>
      </c>
    </row>
    <row r="506" spans="2:7" ht="36" thickBot="1" x14ac:dyDescent="0.35">
      <c r="B506" s="26" t="s">
        <v>343</v>
      </c>
      <c r="C506" s="27" t="s">
        <v>344</v>
      </c>
      <c r="F506" s="26">
        <v>10</v>
      </c>
      <c r="G506" s="29">
        <v>0.1</v>
      </c>
    </row>
    <row r="507" spans="2:7" ht="24.6" thickBot="1" x14ac:dyDescent="0.35">
      <c r="B507" s="26" t="s">
        <v>345</v>
      </c>
      <c r="C507" s="27" t="s">
        <v>346</v>
      </c>
      <c r="F507" s="26">
        <v>10</v>
      </c>
      <c r="G507" s="29">
        <v>0.1</v>
      </c>
    </row>
    <row r="508" spans="2:7" ht="24.6" thickBot="1" x14ac:dyDescent="0.35">
      <c r="B508" s="26" t="s">
        <v>347</v>
      </c>
      <c r="C508" s="27" t="s">
        <v>348</v>
      </c>
      <c r="F508" s="26">
        <v>10</v>
      </c>
      <c r="G508" s="29">
        <v>0.1</v>
      </c>
    </row>
    <row r="509" spans="2:7" ht="15" thickBot="1" x14ac:dyDescent="0.35">
      <c r="B509" s="26" t="s">
        <v>349</v>
      </c>
      <c r="C509" s="27" t="s">
        <v>350</v>
      </c>
      <c r="F509" s="26">
        <v>10</v>
      </c>
      <c r="G509" s="29">
        <v>0.1</v>
      </c>
    </row>
    <row r="510" spans="2:7" ht="93" thickBot="1" x14ac:dyDescent="0.35">
      <c r="B510" s="26">
        <v>9019</v>
      </c>
      <c r="C510" s="26" t="s">
        <v>351</v>
      </c>
      <c r="F510" s="26">
        <v>10</v>
      </c>
      <c r="G510" s="29">
        <v>0.1</v>
      </c>
    </row>
    <row r="511" spans="2:7" ht="58.8" thickBot="1" x14ac:dyDescent="0.35">
      <c r="B511" s="26">
        <v>9020</v>
      </c>
      <c r="C511" s="26" t="s">
        <v>352</v>
      </c>
      <c r="F511" s="26">
        <v>10</v>
      </c>
      <c r="G511" s="29">
        <v>0.1</v>
      </c>
    </row>
    <row r="512" spans="2:7" ht="150" thickBot="1" x14ac:dyDescent="0.35">
      <c r="B512" s="26">
        <v>9022</v>
      </c>
      <c r="C512" s="26" t="s">
        <v>353</v>
      </c>
      <c r="F512" s="26">
        <v>10</v>
      </c>
      <c r="G512" s="29">
        <v>0.1</v>
      </c>
    </row>
    <row r="513" spans="2:7" ht="70.2" thickBot="1" x14ac:dyDescent="0.35">
      <c r="B513" s="26">
        <v>9024</v>
      </c>
      <c r="C513" s="26" t="s">
        <v>354</v>
      </c>
      <c r="F513" s="26">
        <v>10</v>
      </c>
      <c r="G513" s="29">
        <v>0.1</v>
      </c>
    </row>
    <row r="514" spans="2:7" ht="81.599999999999994" thickBot="1" x14ac:dyDescent="0.35">
      <c r="B514" s="26">
        <v>9025</v>
      </c>
      <c r="C514" s="26" t="s">
        <v>355</v>
      </c>
      <c r="F514" s="26">
        <v>10</v>
      </c>
      <c r="G514" s="29">
        <v>0.1</v>
      </c>
    </row>
    <row r="515" spans="2:7" ht="115.8" thickBot="1" x14ac:dyDescent="0.35">
      <c r="B515" s="26">
        <v>9026</v>
      </c>
      <c r="C515" s="26" t="s">
        <v>356</v>
      </c>
      <c r="F515" s="26">
        <v>10</v>
      </c>
      <c r="G515" s="29">
        <v>0.1</v>
      </c>
    </row>
    <row r="516" spans="2:7" ht="150" thickBot="1" x14ac:dyDescent="0.35">
      <c r="B516" s="26">
        <v>9027</v>
      </c>
      <c r="C516" s="26" t="s">
        <v>357</v>
      </c>
      <c r="F516" s="26">
        <v>10</v>
      </c>
      <c r="G516" s="29">
        <v>0.1</v>
      </c>
    </row>
    <row r="517" spans="2:7" ht="36" thickBot="1" x14ac:dyDescent="0.35">
      <c r="B517" s="26">
        <v>9028</v>
      </c>
      <c r="C517" s="26" t="s">
        <v>358</v>
      </c>
      <c r="F517" s="26">
        <v>10</v>
      </c>
      <c r="G517" s="29">
        <v>0.1</v>
      </c>
    </row>
    <row r="518" spans="2:7" ht="104.4" thickBot="1" x14ac:dyDescent="0.35">
      <c r="B518" s="26">
        <v>9029</v>
      </c>
      <c r="C518" s="26" t="s">
        <v>359</v>
      </c>
      <c r="F518" s="26">
        <v>10</v>
      </c>
      <c r="G518" s="29">
        <v>0.1</v>
      </c>
    </row>
    <row r="519" spans="2:7" ht="93" thickBot="1" x14ac:dyDescent="0.35">
      <c r="B519" s="26">
        <v>9030</v>
      </c>
      <c r="C519" s="26" t="s">
        <v>360</v>
      </c>
      <c r="F519" s="26">
        <v>10</v>
      </c>
      <c r="G519" s="29">
        <v>0.1</v>
      </c>
    </row>
    <row r="520" spans="2:7" ht="58.8" thickBot="1" x14ac:dyDescent="0.35">
      <c r="B520" s="26">
        <v>9031</v>
      </c>
      <c r="C520" s="26" t="s">
        <v>361</v>
      </c>
      <c r="F520" s="26">
        <v>10</v>
      </c>
      <c r="G520" s="29">
        <v>0.1</v>
      </c>
    </row>
    <row r="521" spans="2:7" ht="36" thickBot="1" x14ac:dyDescent="0.35">
      <c r="B521" s="26">
        <v>9032</v>
      </c>
      <c r="C521" s="26" t="s">
        <v>362</v>
      </c>
      <c r="F521" s="26">
        <v>10</v>
      </c>
      <c r="G521" s="29">
        <v>0.1</v>
      </c>
    </row>
    <row r="522" spans="2:7" ht="24.6" thickBot="1" x14ac:dyDescent="0.35">
      <c r="B522" s="26" t="s">
        <v>363</v>
      </c>
      <c r="C522" s="26" t="s">
        <v>364</v>
      </c>
      <c r="F522" s="30" t="s">
        <v>46</v>
      </c>
      <c r="G522" s="31" t="s">
        <v>46</v>
      </c>
    </row>
    <row r="523" spans="2:7" ht="104.4" thickBot="1" x14ac:dyDescent="0.35">
      <c r="B523" s="26">
        <v>9402</v>
      </c>
      <c r="C523" s="26" t="s">
        <v>365</v>
      </c>
      <c r="F523" s="26">
        <v>10</v>
      </c>
      <c r="G523" s="29">
        <v>0.1</v>
      </c>
    </row>
    <row r="524" spans="2:7" ht="15" thickBot="1" x14ac:dyDescent="0.35">
      <c r="B524" s="26">
        <v>9403</v>
      </c>
      <c r="C524" s="26" t="s">
        <v>366</v>
      </c>
      <c r="F524" s="26">
        <v>10</v>
      </c>
      <c r="G524" s="29">
        <v>0.1</v>
      </c>
    </row>
    <row r="525" spans="2:7" ht="15" thickBot="1" x14ac:dyDescent="0.35">
      <c r="B525" s="26">
        <v>9406</v>
      </c>
      <c r="C525" s="26" t="s">
        <v>367</v>
      </c>
      <c r="F525" s="26">
        <v>25</v>
      </c>
      <c r="G525" s="29">
        <v>0.04</v>
      </c>
    </row>
    <row r="526" spans="2:7" ht="24.6" thickBot="1" x14ac:dyDescent="0.35">
      <c r="B526" s="26" t="s">
        <v>368</v>
      </c>
      <c r="C526" s="26" t="s">
        <v>369</v>
      </c>
      <c r="F526" s="30" t="s">
        <v>46</v>
      </c>
      <c r="G526" s="31" t="s">
        <v>46</v>
      </c>
    </row>
    <row r="527" spans="2:7" ht="24.6" thickBot="1" x14ac:dyDescent="0.35">
      <c r="B527" s="26">
        <v>9506</v>
      </c>
      <c r="C527" s="26" t="s">
        <v>370</v>
      </c>
      <c r="F527" s="26">
        <v>10</v>
      </c>
      <c r="G527" s="29">
        <v>0.1</v>
      </c>
    </row>
    <row r="528" spans="2:7" ht="58.8" thickBot="1" x14ac:dyDescent="0.35">
      <c r="B528" s="26">
        <v>9508</v>
      </c>
      <c r="C528" s="26" t="s">
        <v>371</v>
      </c>
      <c r="F528" s="26">
        <v>10</v>
      </c>
      <c r="G528" s="29">
        <v>0.1</v>
      </c>
    </row>
  </sheetData>
  <autoFilter ref="I2:M269"/>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64"/>
  <sheetViews>
    <sheetView workbookViewId="0">
      <selection activeCell="J172" sqref="J172"/>
    </sheetView>
  </sheetViews>
  <sheetFormatPr defaultRowHeight="14.4" x14ac:dyDescent="0.3"/>
  <cols>
    <col min="2" max="2" width="68.88671875" customWidth="1"/>
    <col min="3" max="3" width="10.33203125" bestFit="1" customWidth="1"/>
    <col min="5" max="5" width="14.21875" customWidth="1"/>
  </cols>
  <sheetData>
    <row r="1" spans="2:5" ht="15" thickBot="1" x14ac:dyDescent="0.35">
      <c r="E1" t="s">
        <v>395</v>
      </c>
    </row>
    <row r="2" spans="2:5" ht="15" thickBot="1" x14ac:dyDescent="0.35">
      <c r="B2" s="56" t="s">
        <v>377</v>
      </c>
      <c r="C2" s="57" t="s">
        <v>375</v>
      </c>
      <c r="D2" s="57" t="s">
        <v>376</v>
      </c>
      <c r="E2" s="58" t="s">
        <v>381</v>
      </c>
    </row>
    <row r="3" spans="2:5" x14ac:dyDescent="0.3">
      <c r="B3" s="54" t="s">
        <v>42</v>
      </c>
      <c r="C3" s="55">
        <f>VLOOKUP(B3,'Taxas de depreciação'!C:E,3,0)</f>
        <v>0.1</v>
      </c>
      <c r="D3" s="55">
        <f>VLOOKUP(B3,'Taxas de depreciação'!J:L,3,0)</f>
        <v>0.1</v>
      </c>
      <c r="E3" s="55" t="b">
        <f>C3=D3</f>
        <v>1</v>
      </c>
    </row>
    <row r="4" spans="2:5" x14ac:dyDescent="0.3">
      <c r="B4" s="50" t="s">
        <v>43</v>
      </c>
      <c r="C4" s="3">
        <f>VLOOKUP(B4,'Taxas de depreciação'!C:E,3,0)</f>
        <v>0.04</v>
      </c>
      <c r="D4" s="3">
        <f>VLOOKUP(B4,'Taxas de depreciação'!J:L,3,0)</f>
        <v>0.04</v>
      </c>
      <c r="E4" s="3" t="b">
        <f t="shared" ref="E4:E67" si="0">C4=D4</f>
        <v>1</v>
      </c>
    </row>
    <row r="5" spans="2:5" x14ac:dyDescent="0.3">
      <c r="B5" s="50" t="s">
        <v>45</v>
      </c>
      <c r="C5" s="3" t="str">
        <f>VLOOKUP(B5,'Taxas de depreciação'!C:E,3,0)</f>
        <v> </v>
      </c>
      <c r="D5" s="3" t="str">
        <f>VLOOKUP(B5,'Taxas de depreciação'!J:L,3,0)</f>
        <v> </v>
      </c>
      <c r="E5" s="3" t="b">
        <f t="shared" si="0"/>
        <v>1</v>
      </c>
    </row>
    <row r="6" spans="2:5" x14ac:dyDescent="0.3">
      <c r="B6" s="50" t="s">
        <v>47</v>
      </c>
      <c r="C6" s="3">
        <f>VLOOKUP(B6,'Taxas de depreciação'!C:E,3,0)</f>
        <v>0.2</v>
      </c>
      <c r="D6" s="3">
        <f>VLOOKUP(B6,'Taxas de depreciação'!J:L,3,0)</f>
        <v>0.2</v>
      </c>
      <c r="E6" s="3" t="b">
        <f t="shared" si="0"/>
        <v>1</v>
      </c>
    </row>
    <row r="7" spans="2:5" x14ac:dyDescent="0.3">
      <c r="B7" s="50" t="s">
        <v>48</v>
      </c>
      <c r="C7" s="3">
        <f>VLOOKUP(B7,'Taxas de depreciação'!C:E,3,0)</f>
        <v>0.2</v>
      </c>
      <c r="D7" s="3">
        <f>VLOOKUP(B7,'Taxas de depreciação'!J:L,3,0)</f>
        <v>0.2</v>
      </c>
      <c r="E7" s="3" t="b">
        <f t="shared" si="0"/>
        <v>1</v>
      </c>
    </row>
    <row r="8" spans="2:5" x14ac:dyDescent="0.3">
      <c r="B8" s="50" t="s">
        <v>49</v>
      </c>
      <c r="C8" s="3">
        <f>VLOOKUP(B8,'Taxas de depreciação'!C:E,3,0)</f>
        <v>0.2</v>
      </c>
      <c r="D8" s="3">
        <f>VLOOKUP(B8,'Taxas de depreciação'!J:L,3,0)</f>
        <v>0.2</v>
      </c>
      <c r="E8" s="3" t="b">
        <f t="shared" si="0"/>
        <v>1</v>
      </c>
    </row>
    <row r="9" spans="2:5" x14ac:dyDescent="0.3">
      <c r="B9" s="50" t="s">
        <v>50</v>
      </c>
      <c r="C9" s="3">
        <f>VLOOKUP(B9,'Taxas de depreciação'!C:E,3,0)</f>
        <v>0.2</v>
      </c>
      <c r="D9" s="3">
        <f>VLOOKUP(B9,'Taxas de depreciação'!J:L,3,0)</f>
        <v>0.2</v>
      </c>
      <c r="E9" s="3" t="b">
        <f t="shared" si="0"/>
        <v>1</v>
      </c>
    </row>
    <row r="10" spans="2:5" ht="24" x14ac:dyDescent="0.3">
      <c r="B10" s="50" t="s">
        <v>51</v>
      </c>
      <c r="C10" s="3">
        <f>VLOOKUP(B10,'Taxas de depreciação'!C:E,3,0)</f>
        <v>0.5</v>
      </c>
      <c r="D10" s="3">
        <f>VLOOKUP(B10,'Taxas de depreciação'!J:L,3,0)</f>
        <v>0.5</v>
      </c>
      <c r="E10" s="3" t="b">
        <f t="shared" si="0"/>
        <v>1</v>
      </c>
    </row>
    <row r="11" spans="2:5" x14ac:dyDescent="0.3">
      <c r="B11" s="50" t="s">
        <v>53</v>
      </c>
      <c r="C11" s="3" t="str">
        <f>VLOOKUP(B11,'Taxas de depreciação'!C:E,3,0)</f>
        <v> </v>
      </c>
      <c r="D11" s="3" t="str">
        <f>VLOOKUP(B11,'Taxas de depreciação'!J:L,3,0)</f>
        <v> </v>
      </c>
      <c r="E11" s="3" t="b">
        <f t="shared" si="0"/>
        <v>1</v>
      </c>
    </row>
    <row r="12" spans="2:5" x14ac:dyDescent="0.3">
      <c r="B12" s="50" t="s">
        <v>54</v>
      </c>
      <c r="C12" s="3" t="str">
        <f>VLOOKUP(B12,'Taxas de depreciação'!C:E,3,0)</f>
        <v> </v>
      </c>
      <c r="D12" s="3" t="str">
        <f>VLOOKUP(B12,'Taxas de depreciação'!J:L,3,0)</f>
        <v> </v>
      </c>
      <c r="E12" s="3" t="b">
        <f t="shared" si="0"/>
        <v>1</v>
      </c>
    </row>
    <row r="13" spans="2:5" x14ac:dyDescent="0.3">
      <c r="B13" s="51" t="s">
        <v>56</v>
      </c>
      <c r="C13" s="3">
        <f>VLOOKUP(B13,'Taxas de depreciação'!C:E,3,0)</f>
        <v>0.2</v>
      </c>
      <c r="D13" s="3">
        <f>VLOOKUP(B13,'Taxas de depreciação'!J:L,3,0)</f>
        <v>0.2</v>
      </c>
      <c r="E13" s="3" t="b">
        <f t="shared" si="0"/>
        <v>1</v>
      </c>
    </row>
    <row r="14" spans="2:5" x14ac:dyDescent="0.3">
      <c r="B14" s="51" t="s">
        <v>58</v>
      </c>
      <c r="C14" s="3">
        <f>VLOOKUP(B14,'Taxas de depreciação'!C:E,3,0)</f>
        <v>0.2</v>
      </c>
      <c r="D14" s="3">
        <f>VLOOKUP(B14,'Taxas de depreciação'!J:L,3,0)</f>
        <v>0.2</v>
      </c>
      <c r="E14" s="3" t="b">
        <f t="shared" si="0"/>
        <v>1</v>
      </c>
    </row>
    <row r="15" spans="2:5" x14ac:dyDescent="0.3">
      <c r="B15" s="51" t="s">
        <v>60</v>
      </c>
      <c r="C15" s="3">
        <f>VLOOKUP(B15,'Taxas de depreciação'!C:E,3,0)</f>
        <v>0.2</v>
      </c>
      <c r="D15" s="3">
        <f>VLOOKUP(B15,'Taxas de depreciação'!J:L,3,0)</f>
        <v>0.2</v>
      </c>
      <c r="E15" s="3" t="b">
        <f t="shared" si="0"/>
        <v>1</v>
      </c>
    </row>
    <row r="16" spans="2:5" ht="24" x14ac:dyDescent="0.3">
      <c r="B16" s="50" t="s">
        <v>61</v>
      </c>
      <c r="C16" s="3" t="str">
        <f>VLOOKUP(B16,'Taxas de depreciação'!C:E,3,0)</f>
        <v> </v>
      </c>
      <c r="D16" s="3" t="str">
        <f>VLOOKUP(B16,'Taxas de depreciação'!J:L,3,0)</f>
        <v> </v>
      </c>
      <c r="E16" s="3" t="b">
        <f t="shared" si="0"/>
        <v>1</v>
      </c>
    </row>
    <row r="17" spans="2:5" x14ac:dyDescent="0.3">
      <c r="B17" s="50" t="s">
        <v>63</v>
      </c>
      <c r="C17" s="3">
        <f>VLOOKUP(B17,'Taxas de depreciação'!C:E,3,0)</f>
        <v>0.5</v>
      </c>
      <c r="D17" s="3">
        <f>VLOOKUP(B17,'Taxas de depreciação'!J:L,3,0)</f>
        <v>0.5</v>
      </c>
      <c r="E17" s="3" t="b">
        <f t="shared" si="0"/>
        <v>1</v>
      </c>
    </row>
    <row r="18" spans="2:5" x14ac:dyDescent="0.3">
      <c r="B18" s="50" t="s">
        <v>64</v>
      </c>
      <c r="C18" s="3">
        <f>VLOOKUP(B18,'Taxas de depreciação'!C:E,3,0)</f>
        <v>0.2</v>
      </c>
      <c r="D18" s="3">
        <f>VLOOKUP(B18,'Taxas de depreciação'!J:L,3,0)</f>
        <v>0.2</v>
      </c>
      <c r="E18" s="3" t="b">
        <f t="shared" si="0"/>
        <v>1</v>
      </c>
    </row>
    <row r="19" spans="2:5" x14ac:dyDescent="0.3">
      <c r="B19" s="50" t="s">
        <v>66</v>
      </c>
      <c r="C19" s="3" t="str">
        <f>VLOOKUP(B19,'Taxas de depreciação'!C:E,3,0)</f>
        <v> </v>
      </c>
      <c r="D19" s="3" t="str">
        <f>VLOOKUP(B19,'Taxas de depreciação'!J:L,3,0)</f>
        <v> </v>
      </c>
      <c r="E19" s="3" t="b">
        <f t="shared" si="0"/>
        <v>1</v>
      </c>
    </row>
    <row r="20" spans="2:5" ht="24" x14ac:dyDescent="0.3">
      <c r="B20" s="50" t="s">
        <v>67</v>
      </c>
      <c r="C20" s="3">
        <f>VLOOKUP(B20,'Taxas de depreciação'!C:E,3,0)</f>
        <v>0.5</v>
      </c>
      <c r="D20" s="3">
        <f>VLOOKUP(B20,'Taxas de depreciação'!J:L,3,0)</f>
        <v>0.5</v>
      </c>
      <c r="E20" s="3" t="b">
        <f t="shared" si="0"/>
        <v>1</v>
      </c>
    </row>
    <row r="21" spans="2:5" x14ac:dyDescent="0.3">
      <c r="B21" s="50" t="s">
        <v>69</v>
      </c>
      <c r="C21" s="3" t="str">
        <f>VLOOKUP(B21,'Taxas de depreciação'!C:E,3,0)</f>
        <v> </v>
      </c>
      <c r="D21" s="3" t="str">
        <f>VLOOKUP(B21,'Taxas de depreciação'!J:L,3,0)</f>
        <v> </v>
      </c>
      <c r="E21" s="3" t="b">
        <f t="shared" si="0"/>
        <v>1</v>
      </c>
    </row>
    <row r="22" spans="2:5" x14ac:dyDescent="0.3">
      <c r="B22" s="50" t="s">
        <v>70</v>
      </c>
      <c r="C22" s="3">
        <f>VLOOKUP(B22,'Taxas de depreciação'!C:E,3,0)</f>
        <v>0.5</v>
      </c>
      <c r="D22" s="3">
        <f>VLOOKUP(B22,'Taxas de depreciação'!J:L,3,0)</f>
        <v>0.5</v>
      </c>
      <c r="E22" s="3" t="b">
        <f t="shared" si="0"/>
        <v>1</v>
      </c>
    </row>
    <row r="23" spans="2:5" x14ac:dyDescent="0.3">
      <c r="B23" s="50" t="s">
        <v>72</v>
      </c>
      <c r="C23" s="3" t="str">
        <f>VLOOKUP(B23,'Taxas de depreciação'!C:E,3,0)</f>
        <v> </v>
      </c>
      <c r="D23" s="3" t="str">
        <f>VLOOKUP(B23,'Taxas de depreciação'!J:L,3,0)</f>
        <v> </v>
      </c>
      <c r="E23" s="3" t="b">
        <f t="shared" si="0"/>
        <v>1</v>
      </c>
    </row>
    <row r="24" spans="2:5" ht="46.8" x14ac:dyDescent="0.3">
      <c r="B24" s="50" t="s">
        <v>73</v>
      </c>
      <c r="C24" s="3">
        <f>VLOOKUP(B24,'Taxas de depreciação'!C:E,3,0)</f>
        <v>0.2</v>
      </c>
      <c r="D24" s="3">
        <f>VLOOKUP(B24,'Taxas de depreciação'!J:L,3,0)</f>
        <v>0.2</v>
      </c>
      <c r="E24" s="3" t="b">
        <f t="shared" si="0"/>
        <v>1</v>
      </c>
    </row>
    <row r="25" spans="2:5" x14ac:dyDescent="0.3">
      <c r="B25" s="50" t="s">
        <v>74</v>
      </c>
      <c r="C25" s="3">
        <f>VLOOKUP(B25,'Taxas de depreciação'!C:E,3,0)</f>
        <v>0.2</v>
      </c>
      <c r="D25" s="3">
        <f>VLOOKUP(B25,'Taxas de depreciação'!J:L,3,0)</f>
        <v>0.2</v>
      </c>
      <c r="E25" s="3" t="b">
        <f t="shared" si="0"/>
        <v>1</v>
      </c>
    </row>
    <row r="26" spans="2:5" x14ac:dyDescent="0.3">
      <c r="B26" s="50" t="s">
        <v>76</v>
      </c>
      <c r="C26" s="3">
        <f>VLOOKUP(B26,'Taxas de depreciação'!C:E,3,0)</f>
        <v>0.2</v>
      </c>
      <c r="D26" s="3">
        <f>VLOOKUP(B26,'Taxas de depreciação'!J:L,3,0)</f>
        <v>0.2</v>
      </c>
      <c r="E26" s="3" t="b">
        <f t="shared" si="0"/>
        <v>1</v>
      </c>
    </row>
    <row r="27" spans="2:5" ht="24" x14ac:dyDescent="0.3">
      <c r="B27" s="50" t="s">
        <v>78</v>
      </c>
      <c r="C27" s="3" t="str">
        <f>VLOOKUP(B27,'Taxas de depreciação'!C:E,3,0)</f>
        <v> </v>
      </c>
      <c r="D27" s="3" t="str">
        <f>VLOOKUP(B27,'Taxas de depreciação'!J:L,3,0)</f>
        <v> </v>
      </c>
      <c r="E27" s="3" t="b">
        <f t="shared" si="0"/>
        <v>1</v>
      </c>
    </row>
    <row r="28" spans="2:5" ht="46.8" x14ac:dyDescent="0.3">
      <c r="B28" s="50" t="s">
        <v>80</v>
      </c>
      <c r="C28" s="3">
        <f>VLOOKUP(B28,'Taxas de depreciação'!C:E,3,0)</f>
        <v>0.5</v>
      </c>
      <c r="D28" s="3">
        <f>VLOOKUP(B28,'Taxas de depreciação'!J:L,3,0)</f>
        <v>0.5</v>
      </c>
      <c r="E28" s="3" t="b">
        <f t="shared" si="0"/>
        <v>1</v>
      </c>
    </row>
    <row r="29" spans="2:5" x14ac:dyDescent="0.3">
      <c r="B29" s="50" t="s">
        <v>82</v>
      </c>
      <c r="C29" s="3" t="str">
        <f>VLOOKUP(B29,'Taxas de depreciação'!C:E,3,0)</f>
        <v> </v>
      </c>
      <c r="D29" s="3" t="str">
        <f>VLOOKUP(B29,'Taxas de depreciação'!J:L,3,0)</f>
        <v> </v>
      </c>
      <c r="E29" s="3" t="b">
        <f t="shared" si="0"/>
        <v>1</v>
      </c>
    </row>
    <row r="30" spans="2:5" ht="24" x14ac:dyDescent="0.3">
      <c r="B30" s="50" t="s">
        <v>83</v>
      </c>
      <c r="C30" s="3">
        <f>VLOOKUP(B30,'Taxas de depreciação'!C:E,3,0)</f>
        <v>0.2</v>
      </c>
      <c r="D30" s="3">
        <f>VLOOKUP(B30,'Taxas de depreciação'!J:L,3,0)</f>
        <v>0.2</v>
      </c>
      <c r="E30" s="3" t="b">
        <f t="shared" si="0"/>
        <v>1</v>
      </c>
    </row>
    <row r="31" spans="2:5" x14ac:dyDescent="0.3">
      <c r="B31" s="50" t="s">
        <v>84</v>
      </c>
      <c r="C31" s="3">
        <f>VLOOKUP(B31,'Taxas de depreciação'!C:E,3,0)</f>
        <v>0.2</v>
      </c>
      <c r="D31" s="3">
        <f>VLOOKUP(B31,'Taxas de depreciação'!J:L,3,0)</f>
        <v>0.2</v>
      </c>
      <c r="E31" s="3" t="b">
        <f t="shared" si="0"/>
        <v>1</v>
      </c>
    </row>
    <row r="32" spans="2:5" ht="24" x14ac:dyDescent="0.3">
      <c r="B32" s="50" t="s">
        <v>85</v>
      </c>
      <c r="C32" s="3">
        <f>VLOOKUP(B32,'Taxas de depreciação'!C:E,3,0)</f>
        <v>0.25</v>
      </c>
      <c r="D32" s="3">
        <f>VLOOKUP(B32,'Taxas de depreciação'!J:L,3,0)</f>
        <v>0.25</v>
      </c>
      <c r="E32" s="3" t="b">
        <f t="shared" si="0"/>
        <v>1</v>
      </c>
    </row>
    <row r="33" spans="2:5" x14ac:dyDescent="0.3">
      <c r="B33" s="50" t="s">
        <v>87</v>
      </c>
      <c r="C33" s="3" t="str">
        <f>VLOOKUP(B33,'Taxas de depreciação'!C:E,3,0)</f>
        <v> </v>
      </c>
      <c r="D33" s="3" t="str">
        <f>VLOOKUP(B33,'Taxas de depreciação'!J:L,3,0)</f>
        <v> </v>
      </c>
      <c r="E33" s="3" t="b">
        <f t="shared" si="0"/>
        <v>1</v>
      </c>
    </row>
    <row r="34" spans="2:5" ht="46.8" x14ac:dyDescent="0.3">
      <c r="B34" s="50" t="s">
        <v>88</v>
      </c>
      <c r="C34" s="3">
        <f>VLOOKUP(B34,'Taxas de depreciação'!C:E,3,0)</f>
        <v>0.2</v>
      </c>
      <c r="D34" s="3">
        <f>VLOOKUP(B34,'Taxas de depreciação'!J:L,3,0)</f>
        <v>0.2</v>
      </c>
      <c r="E34" s="3" t="b">
        <f t="shared" si="0"/>
        <v>1</v>
      </c>
    </row>
    <row r="35" spans="2:5" x14ac:dyDescent="0.3">
      <c r="B35" s="50" t="s">
        <v>90</v>
      </c>
      <c r="C35" s="3" t="str">
        <f>VLOOKUP(B35,'Taxas de depreciação'!C:E,3,0)</f>
        <v> </v>
      </c>
      <c r="D35" s="3" t="str">
        <f>VLOOKUP(B35,'Taxas de depreciação'!J:L,3,0)</f>
        <v> </v>
      </c>
      <c r="E35" s="3" t="b">
        <f t="shared" si="0"/>
        <v>1</v>
      </c>
    </row>
    <row r="36" spans="2:5" ht="35.4" x14ac:dyDescent="0.3">
      <c r="B36" s="50" t="s">
        <v>91</v>
      </c>
      <c r="C36" s="3">
        <f>VLOOKUP(B36,'Taxas de depreciação'!C:E,3,0)</f>
        <v>0.2</v>
      </c>
      <c r="D36" s="3">
        <f>VLOOKUP(B36,'Taxas de depreciação'!J:L,3,0)</f>
        <v>0.2</v>
      </c>
      <c r="E36" s="3" t="b">
        <f t="shared" si="0"/>
        <v>1</v>
      </c>
    </row>
    <row r="37" spans="2:5" x14ac:dyDescent="0.3">
      <c r="B37" s="50" t="s">
        <v>93</v>
      </c>
      <c r="C37" s="3" t="str">
        <f>VLOOKUP(B37,'Taxas de depreciação'!C:E,3,0)</f>
        <v> </v>
      </c>
      <c r="D37" s="3" t="str">
        <f>VLOOKUP(B37,'Taxas de depreciação'!J:L,3,0)</f>
        <v> </v>
      </c>
      <c r="E37" s="3" t="b">
        <f t="shared" si="0"/>
        <v>1</v>
      </c>
    </row>
    <row r="38" spans="2:5" ht="24" x14ac:dyDescent="0.3">
      <c r="B38" s="50" t="s">
        <v>94</v>
      </c>
      <c r="C38" s="3" t="str">
        <f>VLOOKUP(B38,'Taxas de depreciação'!C:E,3,0)</f>
        <v> </v>
      </c>
      <c r="D38" s="3" t="str">
        <f>VLOOKUP(B38,'Taxas de depreciação'!J:L,3,0)</f>
        <v> </v>
      </c>
      <c r="E38" s="3" t="b">
        <f t="shared" si="0"/>
        <v>1</v>
      </c>
    </row>
    <row r="39" spans="2:5" x14ac:dyDescent="0.3">
      <c r="B39" s="51" t="s">
        <v>96</v>
      </c>
      <c r="C39" s="3">
        <f>VLOOKUP(B39,'Taxas de depreciação'!C:E,3,0)</f>
        <v>0.04</v>
      </c>
      <c r="D39" s="3">
        <f>VLOOKUP(B39,'Taxas de depreciação'!J:L,3,0)</f>
        <v>0.04</v>
      </c>
      <c r="E39" s="3" t="b">
        <f t="shared" si="0"/>
        <v>1</v>
      </c>
    </row>
    <row r="40" spans="2:5" x14ac:dyDescent="0.3">
      <c r="B40" s="51" t="s">
        <v>98</v>
      </c>
      <c r="C40" s="3">
        <f>VLOOKUP(B40,'Taxas de depreciação'!C:E,3,0)</f>
        <v>0.04</v>
      </c>
      <c r="D40" s="3">
        <f>VLOOKUP(B40,'Taxas de depreciação'!J:L,3,0)</f>
        <v>0.04</v>
      </c>
      <c r="E40" s="3" t="b">
        <f t="shared" si="0"/>
        <v>1</v>
      </c>
    </row>
    <row r="41" spans="2:5" ht="58.2" x14ac:dyDescent="0.3">
      <c r="B41" s="50" t="s">
        <v>99</v>
      </c>
      <c r="C41" s="3">
        <v>0.1</v>
      </c>
      <c r="D41" s="3">
        <v>0.1</v>
      </c>
      <c r="E41" s="3" t="b">
        <f t="shared" si="0"/>
        <v>1</v>
      </c>
    </row>
    <row r="42" spans="2:5" ht="24" x14ac:dyDescent="0.3">
      <c r="B42" s="50" t="s">
        <v>100</v>
      </c>
      <c r="C42" s="3">
        <f>VLOOKUP(B42,'Taxas de depreciação'!C:E,3,0)</f>
        <v>0.2</v>
      </c>
      <c r="D42" s="3">
        <f>VLOOKUP(B42,'Taxas de depreciação'!J:L,3,0)</f>
        <v>0.2</v>
      </c>
      <c r="E42" s="3" t="b">
        <f t="shared" si="0"/>
        <v>1</v>
      </c>
    </row>
    <row r="43" spans="2:5" ht="69.599999999999994" x14ac:dyDescent="0.3">
      <c r="B43" s="50" t="s">
        <v>101</v>
      </c>
      <c r="C43" s="3">
        <v>0.1</v>
      </c>
      <c r="D43" s="3">
        <v>0.1</v>
      </c>
      <c r="E43" s="3" t="b">
        <f t="shared" si="0"/>
        <v>1</v>
      </c>
    </row>
    <row r="44" spans="2:5" ht="58.2" x14ac:dyDescent="0.3">
      <c r="B44" s="50" t="s">
        <v>102</v>
      </c>
      <c r="C44" s="3">
        <v>0.1</v>
      </c>
      <c r="D44" s="3">
        <v>0.1</v>
      </c>
      <c r="E44" s="3" t="b">
        <f t="shared" si="0"/>
        <v>1</v>
      </c>
    </row>
    <row r="45" spans="2:5" x14ac:dyDescent="0.3">
      <c r="B45" s="50" t="s">
        <v>104</v>
      </c>
      <c r="C45" s="3" t="str">
        <f>VLOOKUP(B45,'Taxas de depreciação'!C:E,3,0)</f>
        <v> </v>
      </c>
      <c r="D45" s="3" t="str">
        <f>VLOOKUP(B45,'Taxas de depreciação'!J:L,3,0)</f>
        <v> </v>
      </c>
      <c r="E45" s="3" t="b">
        <f t="shared" si="0"/>
        <v>1</v>
      </c>
    </row>
    <row r="46" spans="2:5" x14ac:dyDescent="0.3">
      <c r="B46" s="50" t="s">
        <v>105</v>
      </c>
      <c r="C46" s="3">
        <f>VLOOKUP(B46,'Taxas de depreciação'!C:E,3,0)</f>
        <v>0.04</v>
      </c>
      <c r="D46" s="3">
        <f>VLOOKUP(B46,'Taxas de depreciação'!J:L,3,0)</f>
        <v>0.04</v>
      </c>
      <c r="E46" s="3" t="b">
        <f t="shared" si="0"/>
        <v>1</v>
      </c>
    </row>
    <row r="47" spans="2:5" ht="58.2" x14ac:dyDescent="0.3">
      <c r="B47" s="50" t="s">
        <v>106</v>
      </c>
      <c r="C47" s="3">
        <v>0.1</v>
      </c>
      <c r="D47" s="3">
        <v>0.1</v>
      </c>
      <c r="E47" s="3" t="b">
        <f t="shared" si="0"/>
        <v>1</v>
      </c>
    </row>
    <row r="48" spans="2:5" x14ac:dyDescent="0.3">
      <c r="B48" s="50" t="s">
        <v>107</v>
      </c>
      <c r="C48" s="3">
        <f>VLOOKUP(B48,'Taxas de depreciação'!C:E,3,0)</f>
        <v>0.2</v>
      </c>
      <c r="D48" s="3">
        <f>VLOOKUP(B48,'Taxas de depreciação'!J:L,3,0)</f>
        <v>0.2</v>
      </c>
      <c r="E48" s="3" t="b">
        <f t="shared" si="0"/>
        <v>1</v>
      </c>
    </row>
    <row r="49" spans="2:5" x14ac:dyDescent="0.3">
      <c r="B49" s="50" t="s">
        <v>109</v>
      </c>
      <c r="C49" s="3" t="str">
        <f>VLOOKUP(B49,'Taxas de depreciação'!C:E,3,0)</f>
        <v> </v>
      </c>
      <c r="D49" s="3" t="str">
        <f>VLOOKUP(B49,'Taxas de depreciação'!J:L,3,0)</f>
        <v> </v>
      </c>
      <c r="E49" s="3" t="b">
        <f t="shared" si="0"/>
        <v>1</v>
      </c>
    </row>
    <row r="50" spans="2:5" ht="35.4" x14ac:dyDescent="0.3">
      <c r="B50" s="50" t="s">
        <v>110</v>
      </c>
      <c r="C50" s="3">
        <f>VLOOKUP(B50,'Taxas de depreciação'!C:E,3,0)</f>
        <v>0.2</v>
      </c>
      <c r="D50" s="3">
        <v>0.2</v>
      </c>
      <c r="E50" s="3" t="b">
        <f t="shared" si="0"/>
        <v>1</v>
      </c>
    </row>
    <row r="51" spans="2:5" ht="35.4" x14ac:dyDescent="0.3">
      <c r="B51" s="50" t="s">
        <v>111</v>
      </c>
      <c r="C51" s="3">
        <f>VLOOKUP(B51,'Taxas de depreciação'!C:E,3,0)</f>
        <v>0</v>
      </c>
      <c r="D51" s="3">
        <f>VLOOKUP(B51,'Taxas de depreciação'!J:L,3,0)</f>
        <v>0</v>
      </c>
      <c r="E51" s="3" t="b">
        <f t="shared" si="0"/>
        <v>1</v>
      </c>
    </row>
    <row r="52" spans="2:5" ht="24" x14ac:dyDescent="0.3">
      <c r="B52" s="50" t="s">
        <v>112</v>
      </c>
      <c r="C52" s="3">
        <f>VLOOKUP(B52,'Taxas de depreciação'!C:E,3,0)</f>
        <v>0.2</v>
      </c>
      <c r="D52" s="3">
        <f>VLOOKUP(B52,'Taxas de depreciação'!J:L,3,0)</f>
        <v>0.2</v>
      </c>
      <c r="E52" s="3" t="b">
        <f t="shared" si="0"/>
        <v>1</v>
      </c>
    </row>
    <row r="53" spans="2:5" ht="35.4" x14ac:dyDescent="0.3">
      <c r="B53" s="50" t="s">
        <v>113</v>
      </c>
      <c r="C53" s="3" t="str">
        <f>VLOOKUP(B53,'Taxas de depreciação'!C:E,3,0)</f>
        <v> </v>
      </c>
      <c r="D53" s="3" t="str">
        <f>VLOOKUP(B53,'Taxas de depreciação'!J:L,3,0)</f>
        <v> </v>
      </c>
      <c r="E53" s="3" t="b">
        <f t="shared" si="0"/>
        <v>1</v>
      </c>
    </row>
    <row r="54" spans="2:5" x14ac:dyDescent="0.3">
      <c r="B54" s="51" t="s">
        <v>115</v>
      </c>
      <c r="C54" s="3">
        <f>VLOOKUP(B54,'Taxas de depreciação'!C:E,3,0)</f>
        <v>0.2</v>
      </c>
      <c r="D54" s="3">
        <f>VLOOKUP(B54,'Taxas de depreciação'!J:L,3,0)</f>
        <v>0.2</v>
      </c>
      <c r="E54" s="3" t="b">
        <f t="shared" si="0"/>
        <v>1</v>
      </c>
    </row>
    <row r="55" spans="2:5" x14ac:dyDescent="0.3">
      <c r="B55" s="51" t="s">
        <v>117</v>
      </c>
      <c r="C55" s="3">
        <f>VLOOKUP(B55,'Taxas de depreciação'!C:E,3,0)</f>
        <v>0.2</v>
      </c>
      <c r="D55" s="3">
        <f>VLOOKUP(B55,'Taxas de depreciação'!J:L,3,0)</f>
        <v>0.2</v>
      </c>
      <c r="E55" s="3" t="b">
        <f t="shared" si="0"/>
        <v>1</v>
      </c>
    </row>
    <row r="56" spans="2:5" x14ac:dyDescent="0.3">
      <c r="B56" s="51" t="s">
        <v>119</v>
      </c>
      <c r="C56" s="3">
        <f>VLOOKUP(B56,'Taxas de depreciação'!C:E,3,0)</f>
        <v>0.2</v>
      </c>
      <c r="D56" s="3">
        <f>VLOOKUP(B56,'Taxas de depreciação'!J:L,3,0)</f>
        <v>0.2</v>
      </c>
      <c r="E56" s="3" t="b">
        <f t="shared" si="0"/>
        <v>1</v>
      </c>
    </row>
    <row r="57" spans="2:5" ht="24" x14ac:dyDescent="0.3">
      <c r="B57" s="50" t="s">
        <v>120</v>
      </c>
      <c r="C57" s="3">
        <f>VLOOKUP(B57,'Taxas de depreciação'!C:E,3,0)</f>
        <v>0.2</v>
      </c>
      <c r="D57" s="3">
        <f>VLOOKUP(B57,'Taxas de depreciação'!J:L,3,0)</f>
        <v>0.2</v>
      </c>
      <c r="E57" s="3" t="b">
        <f t="shared" si="0"/>
        <v>1</v>
      </c>
    </row>
    <row r="58" spans="2:5" ht="69.599999999999994" x14ac:dyDescent="0.3">
      <c r="B58" s="50" t="s">
        <v>121</v>
      </c>
      <c r="C58" s="3">
        <v>0.2</v>
      </c>
      <c r="D58" s="3">
        <v>0.2</v>
      </c>
      <c r="E58" s="3" t="b">
        <f t="shared" si="0"/>
        <v>1</v>
      </c>
    </row>
    <row r="59" spans="2:5" x14ac:dyDescent="0.3">
      <c r="B59" s="50" t="s">
        <v>122</v>
      </c>
      <c r="C59" s="3">
        <f>VLOOKUP(B59,'Taxas de depreciação'!C:E,3,0)</f>
        <v>0.2</v>
      </c>
      <c r="D59" s="3">
        <f>VLOOKUP(B59,'Taxas de depreciação'!J:L,3,0)</f>
        <v>0.2</v>
      </c>
      <c r="E59" s="3" t="b">
        <f t="shared" si="0"/>
        <v>1</v>
      </c>
    </row>
    <row r="60" spans="2:5" ht="69.599999999999994" x14ac:dyDescent="0.3">
      <c r="B60" s="50" t="s">
        <v>123</v>
      </c>
      <c r="C60" s="3">
        <v>0</v>
      </c>
      <c r="D60" s="3">
        <v>0</v>
      </c>
      <c r="E60" s="3" t="b">
        <f t="shared" si="0"/>
        <v>1</v>
      </c>
    </row>
    <row r="61" spans="2:5" x14ac:dyDescent="0.3">
      <c r="B61" s="51" t="s">
        <v>125</v>
      </c>
      <c r="C61" s="3">
        <f>VLOOKUP(B61,'Taxas de depreciação'!C:E,3,0)</f>
        <v>0.2</v>
      </c>
      <c r="D61" s="3">
        <f>VLOOKUP(B61,'Taxas de depreciação'!J:L,3,0)</f>
        <v>0.2</v>
      </c>
      <c r="E61" s="3" t="b">
        <f t="shared" si="0"/>
        <v>1</v>
      </c>
    </row>
    <row r="62" spans="2:5" ht="24" x14ac:dyDescent="0.3">
      <c r="B62" s="50" t="s">
        <v>126</v>
      </c>
      <c r="C62" s="3">
        <f>VLOOKUP(B62,'Taxas de depreciação'!C:E,3,0)</f>
        <v>0.1</v>
      </c>
      <c r="D62" s="3">
        <f>VLOOKUP(B62,'Taxas de depreciação'!J:L,3,0)</f>
        <v>0.1</v>
      </c>
      <c r="E62" s="3" t="b">
        <f t="shared" si="0"/>
        <v>1</v>
      </c>
    </row>
    <row r="63" spans="2:5" x14ac:dyDescent="0.3">
      <c r="B63" s="50" t="s">
        <v>127</v>
      </c>
      <c r="C63" s="3">
        <f>VLOOKUP(B63,'Taxas de depreciação'!C:E,3,0)</f>
        <v>0.2</v>
      </c>
      <c r="D63" s="3">
        <f>VLOOKUP(B63,'Taxas de depreciação'!J:L,3,0)</f>
        <v>0.2</v>
      </c>
      <c r="E63" s="3" t="b">
        <f t="shared" si="0"/>
        <v>1</v>
      </c>
    </row>
    <row r="64" spans="2:5" x14ac:dyDescent="0.3">
      <c r="B64" s="50" t="s">
        <v>129</v>
      </c>
      <c r="C64" s="3" t="str">
        <f>VLOOKUP(B64,'Taxas de depreciação'!C:E,3,0)</f>
        <v> </v>
      </c>
      <c r="D64" s="3" t="str">
        <f>VLOOKUP(B64,'Taxas de depreciação'!J:L,3,0)</f>
        <v> </v>
      </c>
      <c r="E64" s="3" t="b">
        <f t="shared" si="0"/>
        <v>1</v>
      </c>
    </row>
    <row r="65" spans="2:5" ht="35.4" x14ac:dyDescent="0.3">
      <c r="B65" s="50" t="s">
        <v>130</v>
      </c>
      <c r="C65" s="3">
        <f>VLOOKUP(B65,'Taxas de depreciação'!C:E,3,0)</f>
        <v>0.1</v>
      </c>
      <c r="D65" s="3">
        <f>VLOOKUP(B65,'Taxas de depreciação'!J:L,3,0)</f>
        <v>0.1</v>
      </c>
      <c r="E65" s="3" t="b">
        <f t="shared" si="0"/>
        <v>1</v>
      </c>
    </row>
    <row r="66" spans="2:5" ht="46.8" x14ac:dyDescent="0.3">
      <c r="B66" s="50" t="s">
        <v>131</v>
      </c>
      <c r="C66" s="3">
        <f>VLOOKUP(B66,'Taxas de depreciação'!C:E,3,0)</f>
        <v>0.1</v>
      </c>
      <c r="D66" s="3">
        <f>VLOOKUP(B66,'Taxas de depreciação'!J:L,3,0)</f>
        <v>0.1</v>
      </c>
      <c r="E66" s="3" t="b">
        <f t="shared" si="0"/>
        <v>1</v>
      </c>
    </row>
    <row r="67" spans="2:5" ht="24" x14ac:dyDescent="0.3">
      <c r="B67" s="50" t="s">
        <v>133</v>
      </c>
      <c r="C67" s="3" t="str">
        <f>VLOOKUP(B67,'Taxas de depreciação'!C:E,3,0)</f>
        <v> </v>
      </c>
      <c r="D67" s="3" t="str">
        <f>VLOOKUP(B67,'Taxas de depreciação'!J:L,3,0)</f>
        <v> </v>
      </c>
      <c r="E67" s="3" t="b">
        <f t="shared" si="0"/>
        <v>1</v>
      </c>
    </row>
    <row r="68" spans="2:5" ht="35.4" x14ac:dyDescent="0.3">
      <c r="B68" s="50" t="s">
        <v>134</v>
      </c>
      <c r="C68" s="3">
        <f>VLOOKUP(B68,'Taxas de depreciação'!C:E,3,0)</f>
        <v>0.1</v>
      </c>
      <c r="D68" s="3">
        <f>VLOOKUP(B68,'Taxas de depreciação'!J:L,3,0)</f>
        <v>0.1</v>
      </c>
      <c r="E68" s="3" t="b">
        <f t="shared" ref="E68:E131" si="1">C68=D68</f>
        <v>1</v>
      </c>
    </row>
    <row r="69" spans="2:5" ht="46.8" x14ac:dyDescent="0.3">
      <c r="B69" s="50" t="s">
        <v>135</v>
      </c>
      <c r="C69" s="3">
        <f>VLOOKUP(B69,'Taxas de depreciação'!C:E,3,0)</f>
        <v>0.1</v>
      </c>
      <c r="D69" s="3">
        <f>VLOOKUP(B69,'Taxas de depreciação'!J:L,3,0)</f>
        <v>0.1</v>
      </c>
      <c r="E69" s="3" t="b">
        <f t="shared" si="1"/>
        <v>1</v>
      </c>
    </row>
    <row r="70" spans="2:5" x14ac:dyDescent="0.3">
      <c r="B70" s="50" t="s">
        <v>136</v>
      </c>
      <c r="C70" s="3">
        <f>VLOOKUP(B70,'Taxas de depreciação'!C:E,3,0)</f>
        <v>0.1</v>
      </c>
      <c r="D70" s="3">
        <f>VLOOKUP(B70,'Taxas de depreciação'!J:L,3,0)</f>
        <v>0.1</v>
      </c>
      <c r="E70" s="3" t="b">
        <f t="shared" si="1"/>
        <v>1</v>
      </c>
    </row>
    <row r="71" spans="2:5" ht="46.8" x14ac:dyDescent="0.3">
      <c r="B71" s="50" t="s">
        <v>137</v>
      </c>
      <c r="C71" s="3">
        <f>VLOOKUP(B71,'Taxas de depreciação'!C:E,3,0)</f>
        <v>0.1</v>
      </c>
      <c r="D71" s="3">
        <f>VLOOKUP(B71,'Taxas de depreciação'!J:L,3,0)</f>
        <v>0.1</v>
      </c>
      <c r="E71" s="3" t="b">
        <f t="shared" si="1"/>
        <v>1</v>
      </c>
    </row>
    <row r="72" spans="2:5" ht="35.4" x14ac:dyDescent="0.3">
      <c r="B72" s="50" t="s">
        <v>138</v>
      </c>
      <c r="C72" s="3">
        <f>VLOOKUP(B72,'Taxas de depreciação'!C:E,3,0)</f>
        <v>0.1</v>
      </c>
      <c r="D72" s="3">
        <f>VLOOKUP(B72,'Taxas de depreciação'!J:L,3,0)</f>
        <v>0.1</v>
      </c>
      <c r="E72" s="3" t="b">
        <f t="shared" si="1"/>
        <v>1</v>
      </c>
    </row>
    <row r="73" spans="2:5" x14ac:dyDescent="0.3">
      <c r="B73" s="50" t="s">
        <v>139</v>
      </c>
      <c r="C73" s="3">
        <f>VLOOKUP(B73,'Taxas de depreciação'!C:E,3,0)</f>
        <v>0.1</v>
      </c>
      <c r="D73" s="3">
        <f>VLOOKUP(B73,'Taxas de depreciação'!J:L,3,0)</f>
        <v>0.1</v>
      </c>
      <c r="E73" s="3" t="b">
        <f t="shared" si="1"/>
        <v>1</v>
      </c>
    </row>
    <row r="74" spans="2:5" ht="24" x14ac:dyDescent="0.3">
      <c r="B74" s="50" t="s">
        <v>140</v>
      </c>
      <c r="C74" s="3">
        <f>VLOOKUP(B74,'Taxas de depreciação'!C:E,3,0)</f>
        <v>0.1</v>
      </c>
      <c r="D74" s="3">
        <f>VLOOKUP(B74,'Taxas de depreciação'!J:L,3,0)</f>
        <v>0.1</v>
      </c>
      <c r="E74" s="3" t="b">
        <f t="shared" si="1"/>
        <v>1</v>
      </c>
    </row>
    <row r="75" spans="2:5" ht="24" x14ac:dyDescent="0.3">
      <c r="B75" s="50" t="s">
        <v>141</v>
      </c>
      <c r="C75" s="3">
        <f>VLOOKUP(B75,'Taxas de depreciação'!C:E,3,0)</f>
        <v>0.1</v>
      </c>
      <c r="D75" s="3">
        <f>VLOOKUP(B75,'Taxas de depreciação'!J:L,3,0)</f>
        <v>0.1</v>
      </c>
      <c r="E75" s="3" t="b">
        <f t="shared" si="1"/>
        <v>1</v>
      </c>
    </row>
    <row r="76" spans="2:5" x14ac:dyDescent="0.3">
      <c r="B76" s="50" t="s">
        <v>142</v>
      </c>
      <c r="C76" s="3">
        <f>VLOOKUP(B76,'Taxas de depreciação'!C:E,3,0)</f>
        <v>0.1</v>
      </c>
      <c r="D76" s="3">
        <f>VLOOKUP(B76,'Taxas de depreciação'!J:L,3,0)</f>
        <v>0.1</v>
      </c>
      <c r="E76" s="3" t="b">
        <f t="shared" si="1"/>
        <v>1</v>
      </c>
    </row>
    <row r="77" spans="2:5" x14ac:dyDescent="0.3">
      <c r="B77" s="50" t="s">
        <v>143</v>
      </c>
      <c r="C77" s="3">
        <f>VLOOKUP(B77,'Taxas de depreciação'!C:E,3,0)</f>
        <v>0.1</v>
      </c>
      <c r="D77" s="3">
        <f>VLOOKUP(B77,'Taxas de depreciação'!J:L,3,0)</f>
        <v>0.1</v>
      </c>
      <c r="E77" s="3" t="b">
        <f t="shared" si="1"/>
        <v>1</v>
      </c>
    </row>
    <row r="78" spans="2:5" x14ac:dyDescent="0.3">
      <c r="B78" s="50" t="s">
        <v>144</v>
      </c>
      <c r="C78" s="3">
        <f>VLOOKUP(B78,'Taxas de depreciação'!C:E,3,0)</f>
        <v>0.1</v>
      </c>
      <c r="D78" s="3">
        <f>VLOOKUP(B78,'Taxas de depreciação'!J:L,3,0)</f>
        <v>0.1</v>
      </c>
      <c r="E78" s="3" t="b">
        <f t="shared" si="1"/>
        <v>1</v>
      </c>
    </row>
    <row r="79" spans="2:5" ht="24" x14ac:dyDescent="0.3">
      <c r="B79" s="50" t="s">
        <v>145</v>
      </c>
      <c r="C79" s="3">
        <f>VLOOKUP(B79,'Taxas de depreciação'!C:E,3,0)</f>
        <v>0.1</v>
      </c>
      <c r="D79" s="3">
        <f>VLOOKUP(B79,'Taxas de depreciação'!J:L,3,0)</f>
        <v>0.1</v>
      </c>
      <c r="E79" s="3" t="b">
        <f t="shared" si="1"/>
        <v>1</v>
      </c>
    </row>
    <row r="80" spans="2:5" ht="35.4" x14ac:dyDescent="0.3">
      <c r="B80" s="50" t="s">
        <v>146</v>
      </c>
      <c r="C80" s="3">
        <f>VLOOKUP(B80,'Taxas de depreciação'!C:E,3,0)</f>
        <v>0.1</v>
      </c>
      <c r="D80" s="3">
        <f>VLOOKUP(B80,'Taxas de depreciação'!J:L,3,0)</f>
        <v>0.1</v>
      </c>
      <c r="E80" s="3" t="b">
        <f t="shared" si="1"/>
        <v>1</v>
      </c>
    </row>
    <row r="81" spans="2:5" ht="46.8" x14ac:dyDescent="0.3">
      <c r="B81" s="50" t="s">
        <v>147</v>
      </c>
      <c r="C81" s="3">
        <f>VLOOKUP(B81,'Taxas de depreciação'!C:E,3,0)</f>
        <v>0.1</v>
      </c>
      <c r="D81" s="3">
        <f>VLOOKUP(B81,'Taxas de depreciação'!J:L,3,0)</f>
        <v>0.1</v>
      </c>
      <c r="E81" s="3" t="b">
        <f t="shared" si="1"/>
        <v>1</v>
      </c>
    </row>
    <row r="82" spans="2:5" ht="46.8" x14ac:dyDescent="0.3">
      <c r="B82" s="50" t="s">
        <v>148</v>
      </c>
      <c r="C82" s="3">
        <f>VLOOKUP(B82,'Taxas de depreciação'!C:E,3,0)</f>
        <v>0.1</v>
      </c>
      <c r="D82" s="3">
        <f>VLOOKUP(B82,'Taxas de depreciação'!J:L,3,0)</f>
        <v>0.1</v>
      </c>
      <c r="E82" s="3" t="b">
        <f t="shared" si="1"/>
        <v>1</v>
      </c>
    </row>
    <row r="83" spans="2:5" ht="24" x14ac:dyDescent="0.3">
      <c r="B83" s="50" t="s">
        <v>149</v>
      </c>
      <c r="C83" s="3">
        <f>VLOOKUP(B83,'Taxas de depreciação'!C:E,3,0)</f>
        <v>0.1</v>
      </c>
      <c r="D83" s="3">
        <f>VLOOKUP(B83,'Taxas de depreciação'!J:L,3,0)</f>
        <v>0.1</v>
      </c>
      <c r="E83" s="3" t="b">
        <f t="shared" si="1"/>
        <v>1</v>
      </c>
    </row>
    <row r="84" spans="2:5" ht="46.8" x14ac:dyDescent="0.3">
      <c r="B84" s="50" t="s">
        <v>150</v>
      </c>
      <c r="C84" s="3">
        <f>VLOOKUP(B84,'Taxas de depreciação'!C:E,3,0)</f>
        <v>0.1</v>
      </c>
      <c r="D84" s="3">
        <f>VLOOKUP(B84,'Taxas de depreciação'!J:L,3,0)</f>
        <v>0.1</v>
      </c>
      <c r="E84" s="3" t="b">
        <f t="shared" si="1"/>
        <v>1</v>
      </c>
    </row>
    <row r="85" spans="2:5" ht="81" x14ac:dyDescent="0.3">
      <c r="B85" s="50" t="s">
        <v>151</v>
      </c>
      <c r="C85" s="3">
        <v>0.1</v>
      </c>
      <c r="D85" s="3">
        <v>0.1</v>
      </c>
      <c r="E85" s="3" t="b">
        <f t="shared" si="1"/>
        <v>1</v>
      </c>
    </row>
    <row r="86" spans="2:5" ht="24" x14ac:dyDescent="0.3">
      <c r="B86" s="50" t="s">
        <v>152</v>
      </c>
      <c r="C86" s="3">
        <f>VLOOKUP(B86,'Taxas de depreciação'!C:E,3,0)</f>
        <v>0.1</v>
      </c>
      <c r="D86" s="3">
        <f>VLOOKUP(B86,'Taxas de depreciação'!J:L,3,0)</f>
        <v>0.1</v>
      </c>
      <c r="E86" s="3" t="b">
        <f t="shared" si="1"/>
        <v>1</v>
      </c>
    </row>
    <row r="87" spans="2:5" ht="24" x14ac:dyDescent="0.3">
      <c r="B87" s="50" t="s">
        <v>153</v>
      </c>
      <c r="C87" s="3">
        <f>VLOOKUP(B87,'Taxas de depreciação'!C:E,3,0)</f>
        <v>0.1</v>
      </c>
      <c r="D87" s="3">
        <f>VLOOKUP(B87,'Taxas de depreciação'!J:L,3,0)</f>
        <v>0.1</v>
      </c>
      <c r="E87" s="3" t="b">
        <f t="shared" si="1"/>
        <v>1</v>
      </c>
    </row>
    <row r="88" spans="2:5" ht="92.4" x14ac:dyDescent="0.3">
      <c r="B88" s="50" t="s">
        <v>154</v>
      </c>
      <c r="C88" s="3">
        <v>0.1</v>
      </c>
      <c r="D88" s="3">
        <v>0.1</v>
      </c>
      <c r="E88" s="3" t="b">
        <f t="shared" si="1"/>
        <v>1</v>
      </c>
    </row>
    <row r="89" spans="2:5" ht="46.8" x14ac:dyDescent="0.3">
      <c r="B89" s="50" t="s">
        <v>155</v>
      </c>
      <c r="C89" s="3">
        <f>VLOOKUP(B89,'Taxas de depreciação'!C:E,3,0)</f>
        <v>0.1</v>
      </c>
      <c r="D89" s="3">
        <f>VLOOKUP(B89,'Taxas de depreciação'!J:L,3,0)</f>
        <v>0.1</v>
      </c>
      <c r="E89" s="3" t="b">
        <f t="shared" si="1"/>
        <v>1</v>
      </c>
    </row>
    <row r="90" spans="2:5" ht="46.8" x14ac:dyDescent="0.3">
      <c r="B90" s="50" t="s">
        <v>156</v>
      </c>
      <c r="C90" s="3">
        <v>0.1</v>
      </c>
      <c r="D90" s="3">
        <v>0.1</v>
      </c>
      <c r="E90" s="3" t="b">
        <f t="shared" si="1"/>
        <v>1</v>
      </c>
    </row>
    <row r="91" spans="2:5" x14ac:dyDescent="0.3">
      <c r="B91" s="50" t="s">
        <v>157</v>
      </c>
      <c r="C91" s="3">
        <f>VLOOKUP(B91,'Taxas de depreciação'!C:E,3,0)</f>
        <v>0.1</v>
      </c>
      <c r="D91" s="3">
        <f>VLOOKUP(B91,'Taxas de depreciação'!J:L,3,0)</f>
        <v>0.1</v>
      </c>
      <c r="E91" s="3" t="b">
        <f t="shared" si="1"/>
        <v>1</v>
      </c>
    </row>
    <row r="92" spans="2:5" ht="35.4" x14ac:dyDescent="0.3">
      <c r="B92" s="50" t="s">
        <v>158</v>
      </c>
      <c r="C92" s="3">
        <f>VLOOKUP(B92,'Taxas de depreciação'!C:E,3,0)</f>
        <v>0.1</v>
      </c>
      <c r="D92" s="3">
        <f>VLOOKUP(B92,'Taxas de depreciação'!J:L,3,0)</f>
        <v>0.1</v>
      </c>
      <c r="E92" s="3" t="b">
        <f t="shared" si="1"/>
        <v>1</v>
      </c>
    </row>
    <row r="93" spans="2:5" ht="24" x14ac:dyDescent="0.3">
      <c r="B93" s="50" t="s">
        <v>159</v>
      </c>
      <c r="C93" s="3">
        <f>VLOOKUP(B93,'Taxas de depreciação'!C:E,3,0)</f>
        <v>0.1</v>
      </c>
      <c r="D93" s="3">
        <f>VLOOKUP(B93,'Taxas de depreciação'!J:L,3,0)</f>
        <v>0.1</v>
      </c>
      <c r="E93" s="3" t="b">
        <f t="shared" si="1"/>
        <v>1</v>
      </c>
    </row>
    <row r="94" spans="2:5" ht="35.4" x14ac:dyDescent="0.3">
      <c r="B94" s="50" t="s">
        <v>160</v>
      </c>
      <c r="C94" s="3">
        <f>VLOOKUP(B94,'Taxas de depreciação'!C:E,3,0)</f>
        <v>0.1</v>
      </c>
      <c r="D94" s="3">
        <f>VLOOKUP(B94,'Taxas de depreciação'!J:L,3,0)</f>
        <v>0.1</v>
      </c>
      <c r="E94" s="3" t="b">
        <f t="shared" si="1"/>
        <v>1</v>
      </c>
    </row>
    <row r="95" spans="2:5" ht="46.8" x14ac:dyDescent="0.3">
      <c r="B95" s="50" t="s">
        <v>161</v>
      </c>
      <c r="C95" s="3">
        <f>VLOOKUP(B95,'Taxas de depreciação'!C:E,3,0)</f>
        <v>0.25</v>
      </c>
      <c r="D95" s="3">
        <f>VLOOKUP(B95,'Taxas de depreciação'!J:L,3,0)</f>
        <v>0.25</v>
      </c>
      <c r="E95" s="3" t="b">
        <f t="shared" si="1"/>
        <v>1</v>
      </c>
    </row>
    <row r="96" spans="2:5" ht="46.8" x14ac:dyDescent="0.3">
      <c r="B96" s="50" t="s">
        <v>162</v>
      </c>
      <c r="C96" s="3">
        <f>VLOOKUP(B96,'Taxas de depreciação'!C:E,3,0)</f>
        <v>0.1</v>
      </c>
      <c r="D96" s="3">
        <f>VLOOKUP(B96,'Taxas de depreciação'!J:L,3,0)</f>
        <v>0.1</v>
      </c>
      <c r="E96" s="3" t="b">
        <f t="shared" si="1"/>
        <v>1</v>
      </c>
    </row>
    <row r="97" spans="2:5" ht="35.4" x14ac:dyDescent="0.3">
      <c r="B97" s="50" t="s">
        <v>163</v>
      </c>
      <c r="C97" s="3">
        <f>VLOOKUP(B97,'Taxas de depreciação'!C:E,3,0)</f>
        <v>0.1</v>
      </c>
      <c r="D97" s="3">
        <f>VLOOKUP(B97,'Taxas de depreciação'!J:L,3,0)</f>
        <v>0.1</v>
      </c>
      <c r="E97" s="3" t="b">
        <f t="shared" si="1"/>
        <v>1</v>
      </c>
    </row>
    <row r="98" spans="2:5" ht="58.2" x14ac:dyDescent="0.3">
      <c r="B98" s="50" t="s">
        <v>164</v>
      </c>
      <c r="C98" s="3">
        <v>0.1</v>
      </c>
      <c r="D98" s="3">
        <v>0.1</v>
      </c>
      <c r="E98" s="3" t="b">
        <f t="shared" si="1"/>
        <v>1</v>
      </c>
    </row>
    <row r="99" spans="2:5" ht="24" x14ac:dyDescent="0.3">
      <c r="B99" s="50" t="s">
        <v>165</v>
      </c>
      <c r="C99" s="3">
        <f>VLOOKUP(B99,'Taxas de depreciação'!C:E,3,0)</f>
        <v>0.1</v>
      </c>
      <c r="D99" s="3">
        <f>VLOOKUP(B99,'Taxas de depreciação'!J:L,3,0)</f>
        <v>0.1</v>
      </c>
      <c r="E99" s="3" t="b">
        <f t="shared" si="1"/>
        <v>1</v>
      </c>
    </row>
    <row r="100" spans="2:5" ht="24" x14ac:dyDescent="0.3">
      <c r="B100" s="50" t="s">
        <v>166</v>
      </c>
      <c r="C100" s="3">
        <f>VLOOKUP(B100,'Taxas de depreciação'!C:E,3,0)</f>
        <v>0.1</v>
      </c>
      <c r="D100" s="3">
        <f>VLOOKUP(B100,'Taxas de depreciação'!J:L,3,0)</f>
        <v>0.1</v>
      </c>
      <c r="E100" s="3" t="b">
        <f t="shared" si="1"/>
        <v>1</v>
      </c>
    </row>
    <row r="101" spans="2:5" ht="46.8" x14ac:dyDescent="0.3">
      <c r="B101" s="50" t="s">
        <v>167</v>
      </c>
      <c r="C101" s="3">
        <f>VLOOKUP(B101,'Taxas de depreciação'!C:E,3,0)</f>
        <v>0.1</v>
      </c>
      <c r="D101" s="3">
        <f>VLOOKUP(B101,'Taxas de depreciação'!J:L,3,0)</f>
        <v>0.1</v>
      </c>
      <c r="E101" s="3" t="b">
        <f t="shared" si="1"/>
        <v>1</v>
      </c>
    </row>
    <row r="102" spans="2:5" ht="46.8" x14ac:dyDescent="0.3">
      <c r="B102" s="50" t="s">
        <v>168</v>
      </c>
      <c r="C102" s="3">
        <f>VLOOKUP(B102,'Taxas de depreciação'!C:E,3,0)</f>
        <v>0.1</v>
      </c>
      <c r="D102" s="3">
        <f>VLOOKUP(B102,'Taxas de depreciação'!J:L,3,0)</f>
        <v>0.1</v>
      </c>
      <c r="E102" s="3" t="b">
        <f t="shared" si="1"/>
        <v>1</v>
      </c>
    </row>
    <row r="103" spans="2:5" ht="58.2" x14ac:dyDescent="0.3">
      <c r="B103" s="50" t="s">
        <v>169</v>
      </c>
      <c r="C103" s="3">
        <v>0.1</v>
      </c>
      <c r="D103" s="3">
        <v>0.1</v>
      </c>
      <c r="E103" s="3" t="b">
        <f t="shared" si="1"/>
        <v>1</v>
      </c>
    </row>
    <row r="104" spans="2:5" ht="24" x14ac:dyDescent="0.3">
      <c r="B104" s="50" t="s">
        <v>170</v>
      </c>
      <c r="C104" s="3">
        <f>VLOOKUP(B104,'Taxas de depreciação'!C:E,3,0)</f>
        <v>0.1</v>
      </c>
      <c r="D104" s="3">
        <f>VLOOKUP(B104,'Taxas de depreciação'!J:L,3,0)</f>
        <v>0.1</v>
      </c>
      <c r="E104" s="3" t="b">
        <f t="shared" si="1"/>
        <v>1</v>
      </c>
    </row>
    <row r="105" spans="2:5" ht="24" x14ac:dyDescent="0.3">
      <c r="B105" s="50" t="s">
        <v>171</v>
      </c>
      <c r="C105" s="3">
        <f>VLOOKUP(B105,'Taxas de depreciação'!C:E,3,0)</f>
        <v>0.1</v>
      </c>
      <c r="D105" s="3">
        <f>VLOOKUP(B105,'Taxas de depreciação'!J:L,3,0)</f>
        <v>0.1</v>
      </c>
      <c r="E105" s="3" t="b">
        <f t="shared" si="1"/>
        <v>1</v>
      </c>
    </row>
    <row r="106" spans="2:5" ht="24" x14ac:dyDescent="0.3">
      <c r="B106" s="50" t="s">
        <v>172</v>
      </c>
      <c r="C106" s="3">
        <f>VLOOKUP(B106,'Taxas de depreciação'!C:E,3,0)</f>
        <v>0.1</v>
      </c>
      <c r="D106" s="3">
        <f>VLOOKUP(B106,'Taxas de depreciação'!J:L,3,0)</f>
        <v>0.1</v>
      </c>
      <c r="E106" s="3" t="b">
        <f t="shared" si="1"/>
        <v>1</v>
      </c>
    </row>
    <row r="107" spans="2:5" ht="81" x14ac:dyDescent="0.3">
      <c r="B107" s="50" t="s">
        <v>173</v>
      </c>
      <c r="C107" s="3">
        <v>0.1</v>
      </c>
      <c r="D107" s="3">
        <v>0.1</v>
      </c>
      <c r="E107" s="3" t="b">
        <f t="shared" si="1"/>
        <v>1</v>
      </c>
    </row>
    <row r="108" spans="2:5" ht="35.4" x14ac:dyDescent="0.3">
      <c r="B108" s="50" t="s">
        <v>174</v>
      </c>
      <c r="C108" s="3">
        <f>VLOOKUP(B108,'Taxas de depreciação'!C:E,3,0)</f>
        <v>0.1</v>
      </c>
      <c r="D108" s="3">
        <f>VLOOKUP(B108,'Taxas de depreciação'!J:L,3,0)</f>
        <v>0.1</v>
      </c>
      <c r="E108" s="3" t="b">
        <f t="shared" si="1"/>
        <v>1</v>
      </c>
    </row>
    <row r="109" spans="2:5" ht="24" x14ac:dyDescent="0.3">
      <c r="B109" s="50" t="s">
        <v>175</v>
      </c>
      <c r="C109" s="3">
        <f>VLOOKUP(B109,'Taxas de depreciação'!C:E,3,0)</f>
        <v>0.1</v>
      </c>
      <c r="D109" s="3">
        <f>VLOOKUP(B109,'Taxas de depreciação'!J:L,3,0)</f>
        <v>0.1</v>
      </c>
      <c r="E109" s="3" t="b">
        <f t="shared" si="1"/>
        <v>1</v>
      </c>
    </row>
    <row r="110" spans="2:5" ht="69.599999999999994" x14ac:dyDescent="0.3">
      <c r="B110" s="50" t="s">
        <v>176</v>
      </c>
      <c r="C110" s="3">
        <v>0.1</v>
      </c>
      <c r="D110" s="3">
        <v>0.1</v>
      </c>
      <c r="E110" s="3" t="b">
        <f t="shared" si="1"/>
        <v>1</v>
      </c>
    </row>
    <row r="111" spans="2:5" x14ac:dyDescent="0.3">
      <c r="B111" s="50" t="s">
        <v>177</v>
      </c>
      <c r="C111" s="3">
        <f>VLOOKUP(B111,'Taxas de depreciação'!C:E,3,0)</f>
        <v>0.1</v>
      </c>
      <c r="D111" s="3">
        <f>VLOOKUP(B111,'Taxas de depreciação'!J:L,3,0)</f>
        <v>0.1</v>
      </c>
      <c r="E111" s="3" t="b">
        <f t="shared" si="1"/>
        <v>1</v>
      </c>
    </row>
    <row r="112" spans="2:5" ht="46.8" x14ac:dyDescent="0.3">
      <c r="B112" s="50" t="s">
        <v>178</v>
      </c>
      <c r="C112" s="3">
        <f>VLOOKUP(B112,'Taxas de depreciação'!C:E,3,0)</f>
        <v>0.1</v>
      </c>
      <c r="D112" s="3">
        <f>VLOOKUP(B112,'Taxas de depreciação'!J:L,3,0)</f>
        <v>0.1</v>
      </c>
      <c r="E112" s="3" t="b">
        <f t="shared" si="1"/>
        <v>1</v>
      </c>
    </row>
    <row r="113" spans="2:5" ht="35.4" x14ac:dyDescent="0.3">
      <c r="B113" s="50" t="s">
        <v>179</v>
      </c>
      <c r="C113" s="3">
        <f>VLOOKUP(B113,'Taxas de depreciação'!C:E,3,0)</f>
        <v>0.1</v>
      </c>
      <c r="D113" s="3">
        <f>VLOOKUP(B113,'Taxas de depreciação'!J:L,3,0)</f>
        <v>0.1</v>
      </c>
      <c r="E113" s="3" t="b">
        <f t="shared" si="1"/>
        <v>1</v>
      </c>
    </row>
    <row r="114" spans="2:5" ht="46.8" x14ac:dyDescent="0.3">
      <c r="B114" s="50" t="s">
        <v>180</v>
      </c>
      <c r="C114" s="3">
        <f>VLOOKUP(B114,'Taxas de depreciação'!C:E,3,0)</f>
        <v>0.1</v>
      </c>
      <c r="D114" s="3">
        <f>VLOOKUP(B114,'Taxas de depreciação'!J:L,3,0)</f>
        <v>0.1</v>
      </c>
      <c r="E114" s="3" t="b">
        <f t="shared" si="1"/>
        <v>1</v>
      </c>
    </row>
    <row r="115" spans="2:5" x14ac:dyDescent="0.3">
      <c r="B115" s="50" t="s">
        <v>181</v>
      </c>
      <c r="C115" s="3">
        <f>VLOOKUP(B115,'Taxas de depreciação'!C:E,3,0)</f>
        <v>0.1</v>
      </c>
      <c r="D115" s="3">
        <f>VLOOKUP(B115,'Taxas de depreciação'!J:L,3,0)</f>
        <v>0.1</v>
      </c>
      <c r="E115" s="3" t="b">
        <f t="shared" si="1"/>
        <v>1</v>
      </c>
    </row>
    <row r="116" spans="2:5" ht="92.4" x14ac:dyDescent="0.3">
      <c r="B116" s="50" t="s">
        <v>182</v>
      </c>
      <c r="C116" s="3">
        <v>0.1</v>
      </c>
      <c r="D116" s="3">
        <v>0.1</v>
      </c>
      <c r="E116" s="3" t="b">
        <f t="shared" si="1"/>
        <v>1</v>
      </c>
    </row>
    <row r="117" spans="2:5" ht="35.4" x14ac:dyDescent="0.3">
      <c r="B117" s="50" t="s">
        <v>183</v>
      </c>
      <c r="C117" s="3">
        <f>VLOOKUP(B117,'Taxas de depreciação'!C:E,3,0)</f>
        <v>0.1</v>
      </c>
      <c r="D117" s="3">
        <f>VLOOKUP(B117,'Taxas de depreciação'!J:L,3,0)</f>
        <v>0.1</v>
      </c>
      <c r="E117" s="3" t="b">
        <f t="shared" si="1"/>
        <v>1</v>
      </c>
    </row>
    <row r="118" spans="2:5" ht="35.4" x14ac:dyDescent="0.3">
      <c r="B118" s="50" t="s">
        <v>184</v>
      </c>
      <c r="C118" s="3">
        <f>VLOOKUP(B118,'Taxas de depreciação'!C:E,3,0)</f>
        <v>0.1</v>
      </c>
      <c r="D118" s="3">
        <f>VLOOKUP(B118,'Taxas de depreciação'!J:L,3,0)</f>
        <v>0.1</v>
      </c>
      <c r="E118" s="3" t="b">
        <f t="shared" si="1"/>
        <v>1</v>
      </c>
    </row>
    <row r="119" spans="2:5" ht="24" x14ac:dyDescent="0.3">
      <c r="B119" s="50" t="s">
        <v>185</v>
      </c>
      <c r="C119" s="3">
        <f>VLOOKUP(B119,'Taxas de depreciação'!C:E,3,0)</f>
        <v>0.1</v>
      </c>
      <c r="D119" s="3">
        <f>VLOOKUP(B119,'Taxas de depreciação'!J:L,3,0)</f>
        <v>0.1</v>
      </c>
      <c r="E119" s="3" t="b">
        <f t="shared" si="1"/>
        <v>1</v>
      </c>
    </row>
    <row r="120" spans="2:5" x14ac:dyDescent="0.3">
      <c r="B120" s="50" t="s">
        <v>186</v>
      </c>
      <c r="C120" s="3">
        <f>VLOOKUP(B120,'Taxas de depreciação'!C:E,3,0)</f>
        <v>0.1</v>
      </c>
      <c r="D120" s="3">
        <f>VLOOKUP(B120,'Taxas de depreciação'!J:L,3,0)</f>
        <v>0.1</v>
      </c>
      <c r="E120" s="3" t="b">
        <f t="shared" si="1"/>
        <v>1</v>
      </c>
    </row>
    <row r="121" spans="2:5" ht="46.8" x14ac:dyDescent="0.3">
      <c r="B121" s="50" t="s">
        <v>187</v>
      </c>
      <c r="C121" s="3">
        <f>VLOOKUP(B121,'Taxas de depreciação'!C:E,3,0)</f>
        <v>0.1</v>
      </c>
      <c r="D121" s="3">
        <f>VLOOKUP(B121,'Taxas de depreciação'!J:L,3,0)</f>
        <v>0.1</v>
      </c>
      <c r="E121" s="3" t="b">
        <f t="shared" si="1"/>
        <v>1</v>
      </c>
    </row>
    <row r="122" spans="2:5" ht="35.4" x14ac:dyDescent="0.3">
      <c r="B122" s="50" t="s">
        <v>188</v>
      </c>
      <c r="C122" s="3">
        <f>VLOOKUP(B122,'Taxas de depreciação'!C:E,3,0)</f>
        <v>0.1</v>
      </c>
      <c r="D122" s="3">
        <f>VLOOKUP(B122,'Taxas de depreciação'!J:L,3,0)</f>
        <v>0.1</v>
      </c>
      <c r="E122" s="3" t="b">
        <f t="shared" si="1"/>
        <v>1</v>
      </c>
    </row>
    <row r="123" spans="2:5" x14ac:dyDescent="0.3">
      <c r="B123" s="50" t="s">
        <v>189</v>
      </c>
      <c r="C123" s="3">
        <f>VLOOKUP(B123,'Taxas de depreciação'!C:E,3,0)</f>
        <v>0.1</v>
      </c>
      <c r="D123" s="3">
        <f>VLOOKUP(B123,'Taxas de depreciação'!J:L,3,0)</f>
        <v>0.1</v>
      </c>
      <c r="E123" s="3" t="b">
        <f t="shared" si="1"/>
        <v>1</v>
      </c>
    </row>
    <row r="124" spans="2:5" ht="46.8" x14ac:dyDescent="0.3">
      <c r="B124" s="50" t="s">
        <v>190</v>
      </c>
      <c r="C124" s="3">
        <f>VLOOKUP(B124,'Taxas de depreciação'!C:E,3,0)</f>
        <v>0.1</v>
      </c>
      <c r="D124" s="3">
        <f>VLOOKUP(B124,'Taxas de depreciação'!J:L,3,0)</f>
        <v>0.1</v>
      </c>
      <c r="E124" s="3" t="b">
        <f t="shared" si="1"/>
        <v>1</v>
      </c>
    </row>
    <row r="125" spans="2:5" ht="58.2" x14ac:dyDescent="0.3">
      <c r="B125" s="50" t="s">
        <v>191</v>
      </c>
      <c r="C125" s="3">
        <v>0.1</v>
      </c>
      <c r="D125" s="3">
        <v>0.1</v>
      </c>
      <c r="E125" s="3" t="b">
        <f t="shared" si="1"/>
        <v>1</v>
      </c>
    </row>
    <row r="126" spans="2:5" ht="58.2" x14ac:dyDescent="0.3">
      <c r="B126" s="50" t="s">
        <v>192</v>
      </c>
      <c r="C126" s="3">
        <v>0.1</v>
      </c>
      <c r="D126" s="3">
        <v>0.1</v>
      </c>
      <c r="E126" s="3" t="b">
        <f t="shared" si="1"/>
        <v>1</v>
      </c>
    </row>
    <row r="127" spans="2:5" ht="69.599999999999994" x14ac:dyDescent="0.3">
      <c r="B127" s="50" t="s">
        <v>193</v>
      </c>
      <c r="C127" s="3">
        <v>0.1</v>
      </c>
      <c r="D127" s="3">
        <v>0.1</v>
      </c>
      <c r="E127" s="3" t="b">
        <f t="shared" si="1"/>
        <v>1</v>
      </c>
    </row>
    <row r="128" spans="2:5" ht="24" x14ac:dyDescent="0.3">
      <c r="B128" s="50" t="s">
        <v>194</v>
      </c>
      <c r="C128" s="3">
        <f>VLOOKUP(B128,'Taxas de depreciação'!C:E,3,0)</f>
        <v>0.1</v>
      </c>
      <c r="D128" s="3">
        <f>VLOOKUP(B128,'Taxas de depreciação'!J:L,3,0)</f>
        <v>0.1</v>
      </c>
      <c r="E128" s="3" t="b">
        <f t="shared" si="1"/>
        <v>1</v>
      </c>
    </row>
    <row r="129" spans="2:5" ht="35.4" x14ac:dyDescent="0.3">
      <c r="B129" s="50" t="s">
        <v>195</v>
      </c>
      <c r="C129" s="3">
        <f>VLOOKUP(B129,'Taxas de depreciação'!C:E,3,0)</f>
        <v>0.1</v>
      </c>
      <c r="D129" s="3">
        <f>VLOOKUP(B129,'Taxas de depreciação'!J:L,3,0)</f>
        <v>0.1</v>
      </c>
      <c r="E129" s="3" t="b">
        <f t="shared" si="1"/>
        <v>1</v>
      </c>
    </row>
    <row r="130" spans="2:5" ht="46.8" x14ac:dyDescent="0.3">
      <c r="B130" s="50" t="s">
        <v>196</v>
      </c>
      <c r="C130" s="3">
        <f>VLOOKUP(B130,'Taxas de depreciação'!C:E,3,0)</f>
        <v>0.1</v>
      </c>
      <c r="D130" s="3">
        <f>VLOOKUP(B130,'Taxas de depreciação'!J:L,3,0)</f>
        <v>0.1</v>
      </c>
      <c r="E130" s="3" t="b">
        <f t="shared" si="1"/>
        <v>1</v>
      </c>
    </row>
    <row r="131" spans="2:5" ht="24" x14ac:dyDescent="0.3">
      <c r="B131" s="50" t="s">
        <v>197</v>
      </c>
      <c r="C131" s="3">
        <f>VLOOKUP(B131,'Taxas de depreciação'!C:E,3,0)</f>
        <v>0.1</v>
      </c>
      <c r="D131" s="3">
        <f>VLOOKUP(B131,'Taxas de depreciação'!J:L,3,0)</f>
        <v>0.1</v>
      </c>
      <c r="E131" s="3" t="b">
        <f t="shared" si="1"/>
        <v>1</v>
      </c>
    </row>
    <row r="132" spans="2:5" ht="24" x14ac:dyDescent="0.3">
      <c r="B132" s="50" t="s">
        <v>198</v>
      </c>
      <c r="C132" s="3">
        <f>VLOOKUP(B132,'Taxas de depreciação'!C:E,3,0)</f>
        <v>0.1</v>
      </c>
      <c r="D132" s="3">
        <f>VLOOKUP(B132,'Taxas de depreciação'!J:L,3,0)</f>
        <v>0.1</v>
      </c>
      <c r="E132" s="3" t="b">
        <f t="shared" ref="E132:E195" si="2">C132=D132</f>
        <v>1</v>
      </c>
    </row>
    <row r="133" spans="2:5" ht="24" x14ac:dyDescent="0.3">
      <c r="B133" s="50" t="s">
        <v>199</v>
      </c>
      <c r="C133" s="3">
        <f>VLOOKUP(B133,'Taxas de depreciação'!C:E,3,0)</f>
        <v>0.1</v>
      </c>
      <c r="D133" s="3">
        <f>VLOOKUP(B133,'Taxas de depreciação'!J:L,3,0)</f>
        <v>0.1</v>
      </c>
      <c r="E133" s="3" t="b">
        <f t="shared" si="2"/>
        <v>1</v>
      </c>
    </row>
    <row r="134" spans="2:5" ht="58.2" x14ac:dyDescent="0.3">
      <c r="B134" s="50" t="s">
        <v>200</v>
      </c>
      <c r="C134" s="3">
        <v>0</v>
      </c>
      <c r="D134" s="3">
        <v>0</v>
      </c>
      <c r="E134" s="3" t="b">
        <f t="shared" si="2"/>
        <v>1</v>
      </c>
    </row>
    <row r="135" spans="2:5" x14ac:dyDescent="0.3">
      <c r="B135" s="51" t="s">
        <v>202</v>
      </c>
      <c r="C135" s="3">
        <f>VLOOKUP(B135,'Taxas de depreciação'!C:E,3,0)</f>
        <v>0.1</v>
      </c>
      <c r="D135" s="3">
        <f>VLOOKUP(B135,'Taxas de depreciação'!J:L,3,0)</f>
        <v>0.1</v>
      </c>
      <c r="E135" s="3" t="b">
        <f t="shared" si="2"/>
        <v>1</v>
      </c>
    </row>
    <row r="136" spans="2:5" x14ac:dyDescent="0.3">
      <c r="B136" s="51" t="s">
        <v>204</v>
      </c>
      <c r="C136" s="3">
        <f>VLOOKUP(B136,'Taxas de depreciação'!C:E,3,0)</f>
        <v>0.1</v>
      </c>
      <c r="D136" s="3">
        <f>VLOOKUP(B136,'Taxas de depreciação'!J:L,3,0)</f>
        <v>0.1</v>
      </c>
      <c r="E136" s="3" t="b">
        <f t="shared" si="2"/>
        <v>1</v>
      </c>
    </row>
    <row r="137" spans="2:5" x14ac:dyDescent="0.3">
      <c r="B137" s="51" t="s">
        <v>206</v>
      </c>
      <c r="C137" s="3">
        <f>VLOOKUP(B137,'Taxas de depreciação'!C:E,3,0)</f>
        <v>0.1</v>
      </c>
      <c r="D137" s="3">
        <f>VLOOKUP(B137,'Taxas de depreciação'!J:L,3,0)</f>
        <v>0.1</v>
      </c>
      <c r="E137" s="3" t="b">
        <f t="shared" si="2"/>
        <v>1</v>
      </c>
    </row>
    <row r="138" spans="2:5" x14ac:dyDescent="0.3">
      <c r="B138" s="51" t="s">
        <v>208</v>
      </c>
      <c r="C138" s="3">
        <f>VLOOKUP(B138,'Taxas de depreciação'!C:E,3,0)</f>
        <v>0.1</v>
      </c>
      <c r="D138" s="3">
        <f>VLOOKUP(B138,'Taxas de depreciação'!J:L,3,0)</f>
        <v>0.1</v>
      </c>
      <c r="E138" s="3" t="b">
        <f t="shared" si="2"/>
        <v>1</v>
      </c>
    </row>
    <row r="139" spans="2:5" x14ac:dyDescent="0.3">
      <c r="B139" s="51" t="s">
        <v>210</v>
      </c>
      <c r="C139" s="3">
        <f>VLOOKUP(B139,'Taxas de depreciação'!C:E,3,0)</f>
        <v>0.1</v>
      </c>
      <c r="D139" s="3">
        <f>VLOOKUP(B139,'Taxas de depreciação'!J:L,3,0)</f>
        <v>0.1</v>
      </c>
      <c r="E139" s="3" t="b">
        <f t="shared" si="2"/>
        <v>1</v>
      </c>
    </row>
    <row r="140" spans="2:5" x14ac:dyDescent="0.3">
      <c r="B140" s="50" t="s">
        <v>212</v>
      </c>
      <c r="C140" s="3">
        <f>VLOOKUP(B140,'Taxas de depreciação'!C:E,3,0)</f>
        <v>0.1</v>
      </c>
      <c r="D140" s="3">
        <f>VLOOKUP(B140,'Taxas de depreciação'!J:L,3,0)</f>
        <v>0.1</v>
      </c>
      <c r="E140" s="3" t="b">
        <f t="shared" si="2"/>
        <v>1</v>
      </c>
    </row>
    <row r="141" spans="2:5" ht="58.2" x14ac:dyDescent="0.3">
      <c r="B141" s="50" t="s">
        <v>213</v>
      </c>
      <c r="C141" s="3">
        <v>0.2</v>
      </c>
      <c r="D141" s="3">
        <v>0.2</v>
      </c>
      <c r="E141" s="3" t="b">
        <f t="shared" si="2"/>
        <v>1</v>
      </c>
    </row>
    <row r="142" spans="2:5" ht="58.2" x14ac:dyDescent="0.3">
      <c r="B142" s="50" t="s">
        <v>214</v>
      </c>
      <c r="C142" s="3">
        <v>0.1</v>
      </c>
      <c r="D142" s="3">
        <v>0.1</v>
      </c>
      <c r="E142" s="3" t="b">
        <f t="shared" si="2"/>
        <v>1</v>
      </c>
    </row>
    <row r="143" spans="2:5" ht="69.599999999999994" x14ac:dyDescent="0.3">
      <c r="B143" s="50" t="s">
        <v>215</v>
      </c>
      <c r="C143" s="3">
        <v>0.2</v>
      </c>
      <c r="D143" s="3">
        <v>0.2</v>
      </c>
      <c r="E143" s="3" t="b">
        <f t="shared" si="2"/>
        <v>1</v>
      </c>
    </row>
    <row r="144" spans="2:5" ht="46.8" x14ac:dyDescent="0.3">
      <c r="B144" s="50" t="s">
        <v>216</v>
      </c>
      <c r="C144" s="3">
        <f>VLOOKUP(B144,'Taxas de depreciação'!C:E,3,0)</f>
        <v>0.1</v>
      </c>
      <c r="D144" s="3">
        <f>VLOOKUP(B144,'Taxas de depreciação'!J:L,3,0)</f>
        <v>0.1</v>
      </c>
      <c r="E144" s="3" t="b">
        <f t="shared" si="2"/>
        <v>1</v>
      </c>
    </row>
    <row r="145" spans="2:5" ht="35.4" x14ac:dyDescent="0.3">
      <c r="B145" s="50" t="s">
        <v>217</v>
      </c>
      <c r="C145" s="3">
        <f>VLOOKUP(B145,'Taxas de depreciação'!C:E,3,0)</f>
        <v>0.1</v>
      </c>
      <c r="D145" s="3">
        <f>VLOOKUP(B145,'Taxas de depreciação'!J:L,3,0)</f>
        <v>0.1</v>
      </c>
      <c r="E145" s="3" t="b">
        <f t="shared" si="2"/>
        <v>1</v>
      </c>
    </row>
    <row r="146" spans="2:5" ht="35.4" x14ac:dyDescent="0.3">
      <c r="B146" s="50" t="s">
        <v>218</v>
      </c>
      <c r="C146" s="3">
        <f>VLOOKUP(B146,'Taxas de depreciação'!C:E,3,0)</f>
        <v>0.1</v>
      </c>
      <c r="D146" s="3">
        <f>VLOOKUP(B146,'Taxas de depreciação'!J:L,3,0)</f>
        <v>0.1</v>
      </c>
      <c r="E146" s="3" t="b">
        <f t="shared" si="2"/>
        <v>1</v>
      </c>
    </row>
    <row r="147" spans="2:5" ht="35.4" x14ac:dyDescent="0.3">
      <c r="B147" s="50" t="s">
        <v>219</v>
      </c>
      <c r="C147" s="3">
        <f>VLOOKUP(B147,'Taxas de depreciação'!C:E,3,0)</f>
        <v>0.1</v>
      </c>
      <c r="D147" s="3">
        <f>VLOOKUP(B147,'Taxas de depreciação'!J:L,3,0)</f>
        <v>0.1</v>
      </c>
      <c r="E147" s="3" t="b">
        <f t="shared" si="2"/>
        <v>1</v>
      </c>
    </row>
    <row r="148" spans="2:5" ht="24" x14ac:dyDescent="0.3">
      <c r="B148" s="50" t="s">
        <v>220</v>
      </c>
      <c r="C148" s="3" t="str">
        <f>VLOOKUP(B148,'Taxas de depreciação'!C:E,3,0)</f>
        <v> </v>
      </c>
      <c r="D148" s="3" t="str">
        <f>VLOOKUP(B148,'Taxas de depreciação'!J:L,3,0)</f>
        <v> </v>
      </c>
      <c r="E148" s="3" t="b">
        <f t="shared" si="2"/>
        <v>1</v>
      </c>
    </row>
    <row r="149" spans="2:5" x14ac:dyDescent="0.3">
      <c r="B149" s="51" t="s">
        <v>222</v>
      </c>
      <c r="C149" s="3">
        <f>VLOOKUP(B149,'Taxas de depreciação'!C:E,3,0)</f>
        <v>0.25</v>
      </c>
      <c r="D149" s="3">
        <f>VLOOKUP(B149,'Taxas de depreciação'!J:L,3,0)</f>
        <v>0.25</v>
      </c>
      <c r="E149" s="3" t="b">
        <f t="shared" si="2"/>
        <v>1</v>
      </c>
    </row>
    <row r="150" spans="2:5" ht="24" x14ac:dyDescent="0.3">
      <c r="B150" s="51" t="s">
        <v>224</v>
      </c>
      <c r="C150" s="3">
        <f>VLOOKUP(B150,'Taxas de depreciação'!C:E,3,0)</f>
        <v>0.1</v>
      </c>
      <c r="D150" s="3">
        <f>VLOOKUP(B150,'Taxas de depreciação'!J:L,3,0)</f>
        <v>0.1</v>
      </c>
      <c r="E150" s="3" t="b">
        <f t="shared" si="2"/>
        <v>1</v>
      </c>
    </row>
    <row r="151" spans="2:5" ht="35.4" x14ac:dyDescent="0.3">
      <c r="B151" s="51" t="s">
        <v>226</v>
      </c>
      <c r="C151" s="3">
        <f>VLOOKUP(B151,'Taxas de depreciação'!C:E,3,0)</f>
        <v>0.1</v>
      </c>
      <c r="D151" s="3">
        <f>VLOOKUP(B151,'Taxas de depreciação'!J:L,3,0)</f>
        <v>0.1</v>
      </c>
      <c r="E151" s="3" t="b">
        <f t="shared" si="2"/>
        <v>1</v>
      </c>
    </row>
    <row r="152" spans="2:5" x14ac:dyDescent="0.3">
      <c r="B152" s="51" t="s">
        <v>228</v>
      </c>
      <c r="C152" s="3">
        <f>VLOOKUP(B152,'Taxas de depreciação'!C:E,3,0)</f>
        <v>0.1</v>
      </c>
      <c r="D152" s="3">
        <f>VLOOKUP(B152,'Taxas de depreciação'!J:L,3,0)</f>
        <v>0.1</v>
      </c>
      <c r="E152" s="3" t="b">
        <f t="shared" si="2"/>
        <v>1</v>
      </c>
    </row>
    <row r="153" spans="2:5" x14ac:dyDescent="0.3">
      <c r="B153" s="51" t="s">
        <v>230</v>
      </c>
      <c r="C153" s="3">
        <f>VLOOKUP(B153,'Taxas de depreciação'!C:E,3,0)</f>
        <v>0.1</v>
      </c>
      <c r="D153" s="3">
        <f>VLOOKUP(B153,'Taxas de depreciação'!J:L,3,0)</f>
        <v>0.1</v>
      </c>
      <c r="E153" s="3" t="b">
        <f t="shared" si="2"/>
        <v>1</v>
      </c>
    </row>
    <row r="154" spans="2:5" x14ac:dyDescent="0.3">
      <c r="B154" s="51" t="s">
        <v>232</v>
      </c>
      <c r="C154" s="3">
        <f>VLOOKUP(B154,'Taxas de depreciação'!C:E,3,0)</f>
        <v>0.1</v>
      </c>
      <c r="D154" s="3">
        <f>VLOOKUP(B154,'Taxas de depreciação'!J:L,3,0)</f>
        <v>0.1</v>
      </c>
      <c r="E154" s="3" t="b">
        <f t="shared" si="2"/>
        <v>1</v>
      </c>
    </row>
    <row r="155" spans="2:5" x14ac:dyDescent="0.3">
      <c r="B155" s="51" t="s">
        <v>234</v>
      </c>
      <c r="C155" s="3" t="str">
        <f>VLOOKUP(B155,'Taxas de depreciação'!C:E,3,0)</f>
        <v> </v>
      </c>
      <c r="D155" s="3" t="str">
        <f>VLOOKUP(B155,'Taxas de depreciação'!J:L,3,0)</f>
        <v> </v>
      </c>
      <c r="E155" s="3" t="b">
        <f t="shared" si="2"/>
        <v>1</v>
      </c>
    </row>
    <row r="156" spans="2:5" x14ac:dyDescent="0.3">
      <c r="B156" s="51" t="s">
        <v>236</v>
      </c>
      <c r="C156" s="3">
        <f>VLOOKUP(B156,'Taxas de depreciação'!C:E,3,0)</f>
        <v>0.1</v>
      </c>
      <c r="D156" s="3">
        <f>VLOOKUP(B156,'Taxas de depreciação'!J:L,3,0)</f>
        <v>0.1</v>
      </c>
      <c r="E156" s="3" t="b">
        <f t="shared" si="2"/>
        <v>1</v>
      </c>
    </row>
    <row r="157" spans="2:5" ht="24" x14ac:dyDescent="0.3">
      <c r="B157" s="51" t="s">
        <v>238</v>
      </c>
      <c r="C157" s="3">
        <f>VLOOKUP(B157,'Taxas de depreciação'!C:E,3,0)</f>
        <v>0.1</v>
      </c>
      <c r="D157" s="3">
        <f>VLOOKUP(B157,'Taxas de depreciação'!J:L,3,0)</f>
        <v>0.1</v>
      </c>
      <c r="E157" s="3" t="b">
        <f t="shared" si="2"/>
        <v>1</v>
      </c>
    </row>
    <row r="158" spans="2:5" x14ac:dyDescent="0.3">
      <c r="B158" s="51" t="s">
        <v>240</v>
      </c>
      <c r="C158" s="3">
        <f>VLOOKUP(B158,'Taxas de depreciação'!C:E,3,0)</f>
        <v>0.1</v>
      </c>
      <c r="D158" s="3">
        <f>VLOOKUP(B158,'Taxas de depreciação'!J:L,3,0)</f>
        <v>0.1</v>
      </c>
      <c r="E158" s="3" t="b">
        <f t="shared" si="2"/>
        <v>1</v>
      </c>
    </row>
    <row r="159" spans="2:5" ht="35.4" x14ac:dyDescent="0.3">
      <c r="B159" s="50" t="s">
        <v>241</v>
      </c>
      <c r="C159" s="3">
        <f>VLOOKUP(B159,'Taxas de depreciação'!C:E,3,0)</f>
        <v>0.33300000000000002</v>
      </c>
      <c r="D159" s="3">
        <f>VLOOKUP(B159,'Taxas de depreciação'!J:L,3,0)</f>
        <v>0.33300000000000002</v>
      </c>
      <c r="E159" s="3" t="b">
        <f t="shared" si="2"/>
        <v>1</v>
      </c>
    </row>
    <row r="160" spans="2:5" ht="92.4" x14ac:dyDescent="0.3">
      <c r="B160" s="50" t="s">
        <v>242</v>
      </c>
      <c r="C160" s="3">
        <v>0</v>
      </c>
      <c r="D160" s="3">
        <v>0</v>
      </c>
      <c r="E160" s="3" t="b">
        <f t="shared" si="2"/>
        <v>1</v>
      </c>
    </row>
    <row r="161" spans="2:5" ht="24" x14ac:dyDescent="0.3">
      <c r="B161" s="50" t="s">
        <v>244</v>
      </c>
      <c r="C161" s="3">
        <f>VLOOKUP(B161,'Taxas de depreciação'!C:E,3,0)</f>
        <v>0.1</v>
      </c>
      <c r="D161" s="3">
        <f>VLOOKUP(B161,'Taxas de depreciação'!J:L,3,0)</f>
        <v>0.1</v>
      </c>
      <c r="E161" s="3" t="b">
        <f t="shared" si="2"/>
        <v>1</v>
      </c>
    </row>
    <row r="162" spans="2:5" ht="35.4" x14ac:dyDescent="0.3">
      <c r="B162" s="50" t="s">
        <v>246</v>
      </c>
      <c r="C162" s="3" t="str">
        <f>VLOOKUP(B162,'Taxas de depreciação'!C:E,3,0)</f>
        <v> </v>
      </c>
      <c r="D162" s="3" t="str">
        <f>VLOOKUP(B162,'Taxas de depreciação'!J:L,3,0)</f>
        <v> </v>
      </c>
      <c r="E162" s="3" t="b">
        <f t="shared" si="2"/>
        <v>1</v>
      </c>
    </row>
    <row r="163" spans="2:5" x14ac:dyDescent="0.3">
      <c r="B163" s="50" t="s">
        <v>247</v>
      </c>
      <c r="C163" s="3">
        <f>VLOOKUP(B163,'Taxas de depreciação'!C:E,3,0)</f>
        <v>0.1</v>
      </c>
      <c r="D163" s="3">
        <f>VLOOKUP(B163,'Taxas de depreciação'!J:L,3,0)</f>
        <v>0.1</v>
      </c>
      <c r="E163" s="3" t="b">
        <f t="shared" si="2"/>
        <v>1</v>
      </c>
    </row>
    <row r="164" spans="2:5" x14ac:dyDescent="0.3">
      <c r="B164" s="50" t="s">
        <v>248</v>
      </c>
      <c r="C164" s="3">
        <f>VLOOKUP(B164,'Taxas de depreciação'!C:E,3,0)</f>
        <v>0.1</v>
      </c>
      <c r="D164" s="3">
        <f>VLOOKUP(B164,'Taxas de depreciação'!J:L,3,0)</f>
        <v>0.1</v>
      </c>
      <c r="E164" s="3" t="b">
        <f t="shared" si="2"/>
        <v>1</v>
      </c>
    </row>
    <row r="165" spans="2:5" ht="24" x14ac:dyDescent="0.3">
      <c r="B165" s="50" t="s">
        <v>249</v>
      </c>
      <c r="C165" s="3">
        <f>VLOOKUP(B165,'Taxas de depreciação'!C:E,3,0)</f>
        <v>0.1</v>
      </c>
      <c r="D165" s="3">
        <f>VLOOKUP(B165,'Taxas de depreciação'!J:L,3,0)</f>
        <v>0.1</v>
      </c>
      <c r="E165" s="3" t="b">
        <f t="shared" si="2"/>
        <v>1</v>
      </c>
    </row>
    <row r="166" spans="2:5" ht="24" x14ac:dyDescent="0.3">
      <c r="B166" s="50" t="s">
        <v>250</v>
      </c>
      <c r="C166" s="3">
        <f>VLOOKUP(B166,'Taxas de depreciação'!C:E,3,0)</f>
        <v>0.2</v>
      </c>
      <c r="D166" s="3">
        <f>VLOOKUP(B166,'Taxas de depreciação'!J:L,3,0)</f>
        <v>0.2</v>
      </c>
      <c r="E166" s="3" t="b">
        <f t="shared" si="2"/>
        <v>1</v>
      </c>
    </row>
    <row r="167" spans="2:5" x14ac:dyDescent="0.3">
      <c r="B167" s="50" t="s">
        <v>251</v>
      </c>
      <c r="C167" s="3">
        <f>VLOOKUP(B167,'Taxas de depreciação'!C:E,3,0)</f>
        <v>0.2</v>
      </c>
      <c r="D167" s="3">
        <f>VLOOKUP(B167,'Taxas de depreciação'!J:L,3,0)</f>
        <v>0.2</v>
      </c>
      <c r="E167" s="3" t="b">
        <f t="shared" si="2"/>
        <v>1</v>
      </c>
    </row>
    <row r="168" spans="2:5" ht="46.8" x14ac:dyDescent="0.3">
      <c r="B168" s="50" t="s">
        <v>252</v>
      </c>
      <c r="C168" s="3">
        <f>VLOOKUP(B168,'Taxas de depreciação'!C:E,3,0)</f>
        <v>0.1</v>
      </c>
      <c r="D168" s="3">
        <f>VLOOKUP(B168,'Taxas de depreciação'!J:L,3,0)</f>
        <v>0.1</v>
      </c>
      <c r="E168" s="3" t="b">
        <f t="shared" si="2"/>
        <v>1</v>
      </c>
    </row>
    <row r="169" spans="2:5" ht="69.599999999999994" x14ac:dyDescent="0.3">
      <c r="B169" s="50" t="s">
        <v>253</v>
      </c>
      <c r="C169" s="3">
        <v>0.1</v>
      </c>
      <c r="D169" s="3">
        <v>0.1</v>
      </c>
      <c r="E169" s="3" t="b">
        <f t="shared" si="2"/>
        <v>1</v>
      </c>
    </row>
    <row r="170" spans="2:5" ht="24" x14ac:dyDescent="0.3">
      <c r="B170" s="50" t="s">
        <v>254</v>
      </c>
      <c r="C170" s="3">
        <f>VLOOKUP(B170,'Taxas de depreciação'!C:E,3,0)</f>
        <v>0.1</v>
      </c>
      <c r="D170" s="3">
        <f>VLOOKUP(B170,'Taxas de depreciação'!J:L,3,0)</f>
        <v>0.1</v>
      </c>
      <c r="E170" s="3" t="b">
        <f t="shared" si="2"/>
        <v>1</v>
      </c>
    </row>
    <row r="171" spans="2:5" ht="46.8" x14ac:dyDescent="0.3">
      <c r="B171" s="50" t="s">
        <v>255</v>
      </c>
      <c r="C171" s="3">
        <f>VLOOKUP(B171,'Taxas de depreciação'!C:E,3,0)</f>
        <v>0</v>
      </c>
      <c r="D171" s="3">
        <f>VLOOKUP(B171,'Taxas de depreciação'!J:L,3,0)</f>
        <v>0</v>
      </c>
      <c r="E171" s="3" t="b">
        <f t="shared" si="2"/>
        <v>1</v>
      </c>
    </row>
    <row r="172" spans="2:5" x14ac:dyDescent="0.3">
      <c r="B172" s="50" t="s">
        <v>256</v>
      </c>
      <c r="C172" s="3">
        <f>VLOOKUP(B172,'Taxas de depreciação'!C:E,3,0)</f>
        <v>0.2</v>
      </c>
      <c r="D172" s="3">
        <f>VLOOKUP(B172,'Taxas de depreciação'!J:L,3,0)</f>
        <v>0.2</v>
      </c>
      <c r="E172" s="3" t="b">
        <f t="shared" si="2"/>
        <v>1</v>
      </c>
    </row>
    <row r="173" spans="2:5" ht="24" x14ac:dyDescent="0.3">
      <c r="B173" s="50" t="s">
        <v>257</v>
      </c>
      <c r="C173" s="3" t="str">
        <f>VLOOKUP(B173,'Taxas de depreciação'!C:E,3,0)</f>
        <v> </v>
      </c>
      <c r="D173" s="3" t="str">
        <f>VLOOKUP(B173,'Taxas de depreciação'!J:L,3,0)</f>
        <v> </v>
      </c>
      <c r="E173" s="3" t="b">
        <f t="shared" si="2"/>
        <v>1</v>
      </c>
    </row>
    <row r="174" spans="2:5" x14ac:dyDescent="0.3">
      <c r="B174" s="50" t="s">
        <v>259</v>
      </c>
      <c r="C174" s="3">
        <f>VLOOKUP(B174,'Taxas de depreciação'!C:E,3,0)</f>
        <v>0.2</v>
      </c>
      <c r="D174" s="3">
        <f>VLOOKUP(B174,'Taxas de depreciação'!J:L,3,0)</f>
        <v>0.2</v>
      </c>
      <c r="E174" s="3" t="b">
        <f t="shared" si="2"/>
        <v>1</v>
      </c>
    </row>
    <row r="175" spans="2:5" ht="24" x14ac:dyDescent="0.3">
      <c r="B175" s="50" t="s">
        <v>261</v>
      </c>
      <c r="C175" s="3">
        <f>VLOOKUP(B175,'Taxas de depreciação'!C:E,3,0)</f>
        <v>0.2</v>
      </c>
      <c r="D175" s="3">
        <f>VLOOKUP(B175,'Taxas de depreciação'!J:L,3,0)</f>
        <v>0.2</v>
      </c>
      <c r="E175" s="3" t="b">
        <f t="shared" si="2"/>
        <v>1</v>
      </c>
    </row>
    <row r="176" spans="2:5" ht="24" x14ac:dyDescent="0.3">
      <c r="B176" s="50" t="s">
        <v>262</v>
      </c>
      <c r="C176" s="3" t="str">
        <f>VLOOKUP(B176,'Taxas de depreciação'!C:E,3,0)</f>
        <v> </v>
      </c>
      <c r="D176" s="3" t="str">
        <f>VLOOKUP(B176,'Taxas de depreciação'!J:L,3,0)</f>
        <v> </v>
      </c>
      <c r="E176" s="3" t="b">
        <f t="shared" si="2"/>
        <v>1</v>
      </c>
    </row>
    <row r="177" spans="2:5" x14ac:dyDescent="0.3">
      <c r="B177" s="51" t="s">
        <v>264</v>
      </c>
      <c r="C177" s="3">
        <f>VLOOKUP(B177,'Taxas de depreciação'!C:E,3,0)</f>
        <v>0.33300000000000002</v>
      </c>
      <c r="D177" s="3">
        <f>VLOOKUP(B177,'Taxas de depreciação'!J:L,3,0)</f>
        <v>0.33300000000000002</v>
      </c>
      <c r="E177" s="3" t="b">
        <f t="shared" si="2"/>
        <v>1</v>
      </c>
    </row>
    <row r="178" spans="2:5" x14ac:dyDescent="0.3">
      <c r="B178" s="51" t="s">
        <v>266</v>
      </c>
      <c r="C178" s="3">
        <f>VLOOKUP(B178,'Taxas de depreciação'!C:E,3,0)</f>
        <v>0.33300000000000002</v>
      </c>
      <c r="D178" s="3">
        <f>VLOOKUP(B178,'Taxas de depreciação'!J:L,3,0)</f>
        <v>0.33300000000000002</v>
      </c>
      <c r="E178" s="3" t="b">
        <f t="shared" si="2"/>
        <v>1</v>
      </c>
    </row>
    <row r="179" spans="2:5" x14ac:dyDescent="0.3">
      <c r="B179" s="51" t="s">
        <v>268</v>
      </c>
      <c r="C179" s="3">
        <f>VLOOKUP(B179,'Taxas de depreciação'!C:E,3,0)</f>
        <v>0.33300000000000002</v>
      </c>
      <c r="D179" s="3">
        <f>VLOOKUP(B179,'Taxas de depreciação'!J:L,3,0)</f>
        <v>0.33300000000000002</v>
      </c>
      <c r="E179" s="3" t="b">
        <f t="shared" si="2"/>
        <v>1</v>
      </c>
    </row>
    <row r="180" spans="2:5" x14ac:dyDescent="0.3">
      <c r="B180" s="51" t="s">
        <v>270</v>
      </c>
      <c r="C180" s="3">
        <f>VLOOKUP(B180,'Taxas de depreciação'!C:E,3,0)</f>
        <v>0.33300000000000002</v>
      </c>
      <c r="D180" s="3">
        <f>VLOOKUP(B180,'Taxas de depreciação'!J:L,3,0)</f>
        <v>0.33300000000000002</v>
      </c>
      <c r="E180" s="3" t="b">
        <f t="shared" si="2"/>
        <v>1</v>
      </c>
    </row>
    <row r="181" spans="2:5" ht="58.2" x14ac:dyDescent="0.3">
      <c r="B181" s="50" t="s">
        <v>271</v>
      </c>
      <c r="C181" s="3">
        <v>0.2</v>
      </c>
      <c r="D181" s="3">
        <v>0.2</v>
      </c>
      <c r="E181" s="3" t="b">
        <f t="shared" si="2"/>
        <v>1</v>
      </c>
    </row>
    <row r="182" spans="2:5" ht="24" x14ac:dyDescent="0.3">
      <c r="B182" s="50" t="s">
        <v>272</v>
      </c>
      <c r="C182" s="3">
        <f>VLOOKUP(B182,'Taxas de depreciação'!C:E,3,0)</f>
        <v>0.2</v>
      </c>
      <c r="D182" s="3">
        <f>VLOOKUP(B182,'Taxas de depreciação'!J:L,3,0)</f>
        <v>0.2</v>
      </c>
      <c r="E182" s="3" t="b">
        <f t="shared" si="2"/>
        <v>1</v>
      </c>
    </row>
    <row r="183" spans="2:5" ht="24" x14ac:dyDescent="0.3">
      <c r="B183" s="50" t="s">
        <v>273</v>
      </c>
      <c r="C183" s="3">
        <f>VLOOKUP(B183,'Taxas de depreciação'!C:E,3,0)</f>
        <v>0.2</v>
      </c>
      <c r="D183" s="3">
        <f>VLOOKUP(B183,'Taxas de depreciação'!J:L,3,0)</f>
        <v>0.2</v>
      </c>
      <c r="E183" s="3" t="b">
        <f t="shared" si="2"/>
        <v>1</v>
      </c>
    </row>
    <row r="184" spans="2:5" ht="46.8" x14ac:dyDescent="0.3">
      <c r="B184" s="50" t="s">
        <v>274</v>
      </c>
      <c r="C184" s="3" t="str">
        <f>VLOOKUP(B184,'Taxas de depreciação'!C:E,3,0)</f>
        <v> </v>
      </c>
      <c r="D184" s="3" t="str">
        <f>VLOOKUP(B184,'Taxas de depreciação'!J:L,3,0)</f>
        <v> </v>
      </c>
      <c r="E184" s="3" t="b">
        <f t="shared" si="2"/>
        <v>1</v>
      </c>
    </row>
    <row r="185" spans="2:5" ht="24" x14ac:dyDescent="0.3">
      <c r="B185" s="50" t="s">
        <v>276</v>
      </c>
      <c r="C185" s="3">
        <f>VLOOKUP(B185,'Taxas de depreciação'!C:E,3,0)</f>
        <v>0.2</v>
      </c>
      <c r="D185" s="3">
        <f>VLOOKUP(B185,'Taxas de depreciação'!J:L,3,0)</f>
        <v>0.2</v>
      </c>
      <c r="E185" s="3" t="b">
        <f t="shared" si="2"/>
        <v>1</v>
      </c>
    </row>
    <row r="186" spans="2:5" ht="24" x14ac:dyDescent="0.3">
      <c r="B186" s="50" t="s">
        <v>277</v>
      </c>
      <c r="C186" s="3">
        <f>VLOOKUP(B186,'Taxas de depreciação'!C:E,3,0)</f>
        <v>0.1</v>
      </c>
      <c r="D186" s="3">
        <f>VLOOKUP(B186,'Taxas de depreciação'!J:L,3,0)</f>
        <v>0.1</v>
      </c>
      <c r="E186" s="3" t="b">
        <f t="shared" si="2"/>
        <v>1</v>
      </c>
    </row>
    <row r="187" spans="2:5" ht="35.4" x14ac:dyDescent="0.3">
      <c r="B187" s="50" t="s">
        <v>279</v>
      </c>
      <c r="C187" s="3" t="str">
        <f>VLOOKUP(B187,'Taxas de depreciação'!C:E,3,0)</f>
        <v> </v>
      </c>
      <c r="D187" s="3" t="str">
        <f>VLOOKUP(B187,'Taxas de depreciação'!J:L,3,0)</f>
        <v> </v>
      </c>
      <c r="E187" s="3" t="b">
        <f t="shared" si="2"/>
        <v>1</v>
      </c>
    </row>
    <row r="188" spans="2:5" ht="24" x14ac:dyDescent="0.3">
      <c r="B188" s="50" t="s">
        <v>280</v>
      </c>
      <c r="C188" s="3">
        <f>VLOOKUP(B188,'Taxas de depreciação'!C:E,3,0)</f>
        <v>0.1</v>
      </c>
      <c r="D188" s="3">
        <f>VLOOKUP(B188,'Taxas de depreciação'!J:L,3,0)</f>
        <v>0.1</v>
      </c>
      <c r="E188" s="3" t="b">
        <f t="shared" si="2"/>
        <v>1</v>
      </c>
    </row>
    <row r="189" spans="2:5" x14ac:dyDescent="0.3">
      <c r="B189" s="50" t="s">
        <v>281</v>
      </c>
      <c r="C189" s="3">
        <f>VLOOKUP(B189,'Taxas de depreciação'!C:E,3,0)</f>
        <v>0.1</v>
      </c>
      <c r="D189" s="3">
        <f>VLOOKUP(B189,'Taxas de depreciação'!J:L,3,0)</f>
        <v>0.1</v>
      </c>
      <c r="E189" s="3" t="b">
        <f t="shared" si="2"/>
        <v>1</v>
      </c>
    </row>
    <row r="190" spans="2:5" ht="24" x14ac:dyDescent="0.3">
      <c r="B190" s="50" t="s">
        <v>282</v>
      </c>
      <c r="C190" s="3">
        <f>VLOOKUP(B190,'Taxas de depreciação'!C:E,3,0)</f>
        <v>0.1</v>
      </c>
      <c r="D190" s="3">
        <f>VLOOKUP(B190,'Taxas de depreciação'!J:L,3,0)</f>
        <v>0.1</v>
      </c>
      <c r="E190" s="3" t="b">
        <f t="shared" si="2"/>
        <v>1</v>
      </c>
    </row>
    <row r="191" spans="2:5" ht="46.8" x14ac:dyDescent="0.3">
      <c r="B191" s="50" t="s">
        <v>283</v>
      </c>
      <c r="C191" s="3">
        <f>VLOOKUP(B191,'Taxas de depreciação'!C:E,3,0)</f>
        <v>0.1</v>
      </c>
      <c r="D191" s="3">
        <f>VLOOKUP(B191,'Taxas de depreciação'!J:L,3,0)</f>
        <v>0.1</v>
      </c>
      <c r="E191" s="3" t="b">
        <f t="shared" si="2"/>
        <v>1</v>
      </c>
    </row>
    <row r="192" spans="2:5" ht="35.4" x14ac:dyDescent="0.3">
      <c r="B192" s="50" t="s">
        <v>284</v>
      </c>
      <c r="C192" s="3">
        <f>VLOOKUP(B192,'Taxas de depreciação'!C:E,3,0)</f>
        <v>0.1</v>
      </c>
      <c r="D192" s="3">
        <f>VLOOKUP(B192,'Taxas de depreciação'!J:L,3,0)</f>
        <v>0.1</v>
      </c>
      <c r="E192" s="3" t="b">
        <f t="shared" si="2"/>
        <v>1</v>
      </c>
    </row>
    <row r="193" spans="2:5" x14ac:dyDescent="0.3">
      <c r="B193" s="50" t="s">
        <v>285</v>
      </c>
      <c r="C193" s="3">
        <f>VLOOKUP(B193,'Taxas de depreciação'!C:E,3,0)</f>
        <v>0.1</v>
      </c>
      <c r="D193" s="3">
        <f>VLOOKUP(B193,'Taxas de depreciação'!J:L,3,0)</f>
        <v>0.1</v>
      </c>
      <c r="E193" s="3" t="b">
        <f t="shared" si="2"/>
        <v>1</v>
      </c>
    </row>
    <row r="194" spans="2:5" ht="46.8" x14ac:dyDescent="0.3">
      <c r="B194" s="50" t="s">
        <v>286</v>
      </c>
      <c r="C194" s="3">
        <f>VLOOKUP(B194,'Taxas de depreciação'!C:E,3,0)</f>
        <v>0.1</v>
      </c>
      <c r="D194" s="3">
        <f>VLOOKUP(B194,'Taxas de depreciação'!J:L,3,0)</f>
        <v>0.1</v>
      </c>
      <c r="E194" s="3" t="b">
        <f t="shared" si="2"/>
        <v>1</v>
      </c>
    </row>
    <row r="195" spans="2:5" ht="35.4" x14ac:dyDescent="0.3">
      <c r="B195" s="50" t="s">
        <v>287</v>
      </c>
      <c r="C195" s="3">
        <f>VLOOKUP(B195,'Taxas de depreciação'!C:E,3,0)</f>
        <v>0.1</v>
      </c>
      <c r="D195" s="3">
        <f>VLOOKUP(B195,'Taxas de depreciação'!J:L,3,0)</f>
        <v>0.1</v>
      </c>
      <c r="E195" s="3" t="b">
        <f t="shared" si="2"/>
        <v>1</v>
      </c>
    </row>
    <row r="196" spans="2:5" x14ac:dyDescent="0.3">
      <c r="B196" s="50" t="s">
        <v>289</v>
      </c>
      <c r="C196" s="3" t="str">
        <f>VLOOKUP(B196,'Taxas de depreciação'!C:E,3,0)</f>
        <v> </v>
      </c>
      <c r="D196" s="3" t="str">
        <f>VLOOKUP(B196,'Taxas de depreciação'!J:L,3,0)</f>
        <v> </v>
      </c>
      <c r="E196" s="3" t="b">
        <f t="shared" ref="E196:E259" si="3">C196=D196</f>
        <v>1</v>
      </c>
    </row>
    <row r="197" spans="2:5" x14ac:dyDescent="0.3">
      <c r="B197" s="50" t="s">
        <v>290</v>
      </c>
      <c r="C197" s="3">
        <f>VLOOKUP(B197,'Taxas de depreciação'!C:E,3,0)</f>
        <v>0.25</v>
      </c>
      <c r="D197" s="3">
        <f>VLOOKUP(B197,'Taxas de depreciação'!J:L,3,0)</f>
        <v>0.25</v>
      </c>
      <c r="E197" s="3" t="b">
        <f t="shared" si="3"/>
        <v>1</v>
      </c>
    </row>
    <row r="198" spans="2:5" ht="24" x14ac:dyDescent="0.3">
      <c r="B198" s="50" t="s">
        <v>291</v>
      </c>
      <c r="C198" s="3">
        <f>VLOOKUP(B198,'Taxas de depreciação'!C:E,3,0)</f>
        <v>0.25</v>
      </c>
      <c r="D198" s="3">
        <f>VLOOKUP(B198,'Taxas de depreciação'!J:L,3,0)</f>
        <v>0.25</v>
      </c>
      <c r="E198" s="3" t="b">
        <f t="shared" si="3"/>
        <v>1</v>
      </c>
    </row>
    <row r="199" spans="2:5" ht="46.8" x14ac:dyDescent="0.3">
      <c r="B199" s="50" t="s">
        <v>292</v>
      </c>
      <c r="C199" s="3">
        <f>VLOOKUP(B199,'Taxas de depreciação'!C:E,3,0)</f>
        <v>0.2</v>
      </c>
      <c r="D199" s="3">
        <f>VLOOKUP(B199,'Taxas de depreciação'!J:L,3,0)</f>
        <v>0.2</v>
      </c>
      <c r="E199" s="3" t="b">
        <f t="shared" si="3"/>
        <v>1</v>
      </c>
    </row>
    <row r="200" spans="2:5" x14ac:dyDescent="0.3">
      <c r="B200" s="50" t="s">
        <v>293</v>
      </c>
      <c r="C200" s="3">
        <f>VLOOKUP(B200,'Taxas de depreciação'!C:E,3,0)</f>
        <v>0.25</v>
      </c>
      <c r="D200" s="3">
        <f>VLOOKUP(B200,'Taxas de depreciação'!J:L,3,0)</f>
        <v>0.25</v>
      </c>
      <c r="E200" s="3" t="b">
        <f t="shared" si="3"/>
        <v>1</v>
      </c>
    </row>
    <row r="201" spans="2:5" ht="58.2" x14ac:dyDescent="0.3">
      <c r="B201" s="50" t="s">
        <v>294</v>
      </c>
      <c r="C201" s="3">
        <v>0.25</v>
      </c>
      <c r="D201" s="3">
        <v>0.25</v>
      </c>
      <c r="E201" s="3" t="b">
        <f t="shared" si="3"/>
        <v>1</v>
      </c>
    </row>
    <row r="202" spans="2:5" ht="46.8" x14ac:dyDescent="0.3">
      <c r="B202" s="50" t="s">
        <v>295</v>
      </c>
      <c r="C202" s="3">
        <f>VLOOKUP(B202,'Taxas de depreciação'!C:E,3,0)</f>
        <v>0.1</v>
      </c>
      <c r="D202" s="3">
        <f>VLOOKUP(B202,'Taxas de depreciação'!J:L,3,0)</f>
        <v>0.1</v>
      </c>
      <c r="E202" s="3" t="b">
        <f t="shared" si="3"/>
        <v>1</v>
      </c>
    </row>
    <row r="203" spans="2:5" ht="24" x14ac:dyDescent="0.3">
      <c r="B203" s="50" t="s">
        <v>296</v>
      </c>
      <c r="C203" s="3">
        <f>VLOOKUP(B203,'Taxas de depreciação'!C:E,3,0)</f>
        <v>0.25</v>
      </c>
      <c r="D203" s="3">
        <f>VLOOKUP(B203,'Taxas de depreciação'!J:L,3,0)</f>
        <v>0.25</v>
      </c>
      <c r="E203" s="3" t="b">
        <f t="shared" si="3"/>
        <v>1</v>
      </c>
    </row>
    <row r="204" spans="2:5" ht="24" x14ac:dyDescent="0.3">
      <c r="B204" s="50" t="s">
        <v>297</v>
      </c>
      <c r="C204" s="3">
        <f>VLOOKUP(B204,'Taxas de depreciação'!C:E,3,0)</f>
        <v>0.2</v>
      </c>
      <c r="D204" s="3">
        <f>VLOOKUP(B204,'Taxas de depreciação'!J:L,3,0)</f>
        <v>0.2</v>
      </c>
      <c r="E204" s="3" t="b">
        <f t="shared" si="3"/>
        <v>1</v>
      </c>
    </row>
    <row r="205" spans="2:5" x14ac:dyDescent="0.3">
      <c r="B205" s="50" t="s">
        <v>299</v>
      </c>
      <c r="C205" s="3" t="str">
        <f>VLOOKUP(B205,'Taxas de depreciação'!C:E,3,0)</f>
        <v> </v>
      </c>
      <c r="D205" s="3" t="str">
        <f>VLOOKUP(B205,'Taxas de depreciação'!J:L,3,0)</f>
        <v> </v>
      </c>
      <c r="E205" s="3" t="b">
        <f t="shared" si="3"/>
        <v>1</v>
      </c>
    </row>
    <row r="206" spans="2:5" ht="24" x14ac:dyDescent="0.3">
      <c r="B206" s="50" t="s">
        <v>300</v>
      </c>
      <c r="C206" s="3">
        <f>VLOOKUP(B206,'Taxas de depreciação'!C:E,3,0)</f>
        <v>0.1</v>
      </c>
      <c r="D206" s="3">
        <f>VLOOKUP(B206,'Taxas de depreciação'!J:L,3,0)</f>
        <v>0.1</v>
      </c>
      <c r="E206" s="3" t="b">
        <f t="shared" si="3"/>
        <v>1</v>
      </c>
    </row>
    <row r="207" spans="2:5" ht="35.4" x14ac:dyDescent="0.3">
      <c r="B207" s="50" t="s">
        <v>301</v>
      </c>
      <c r="C207" s="3">
        <f>VLOOKUP(B207,'Taxas de depreciação'!C:E,3,0)</f>
        <v>0.1</v>
      </c>
      <c r="D207" s="3">
        <f>VLOOKUP(B207,'Taxas de depreciação'!J:L,3,0)</f>
        <v>0.1</v>
      </c>
      <c r="E207" s="3" t="b">
        <f t="shared" si="3"/>
        <v>1</v>
      </c>
    </row>
    <row r="208" spans="2:5" ht="24" x14ac:dyDescent="0.3">
      <c r="B208" s="50" t="s">
        <v>302</v>
      </c>
      <c r="C208" s="3">
        <f>VLOOKUP(B208,'Taxas de depreciação'!C:E,3,0)</f>
        <v>0.1</v>
      </c>
      <c r="D208" s="3">
        <f>VLOOKUP(B208,'Taxas de depreciação'!J:L,3,0)</f>
        <v>0.1</v>
      </c>
      <c r="E208" s="3" t="b">
        <f t="shared" si="3"/>
        <v>1</v>
      </c>
    </row>
    <row r="209" spans="2:5" ht="46.8" x14ac:dyDescent="0.3">
      <c r="B209" s="50" t="s">
        <v>303</v>
      </c>
      <c r="C209" s="3">
        <f>VLOOKUP(B209,'Taxas de depreciação'!C:E,3,0)</f>
        <v>0.1</v>
      </c>
      <c r="D209" s="3">
        <f>VLOOKUP(B209,'Taxas de depreciação'!J:L,3,0)</f>
        <v>0.1</v>
      </c>
      <c r="E209" s="3" t="b">
        <f t="shared" si="3"/>
        <v>1</v>
      </c>
    </row>
    <row r="210" spans="2:5" x14ac:dyDescent="0.3">
      <c r="B210" s="50" t="s">
        <v>305</v>
      </c>
      <c r="C210" s="3" t="str">
        <f>VLOOKUP(B210,'Taxas de depreciação'!C:E,3,0)</f>
        <v> </v>
      </c>
      <c r="D210" s="3" t="str">
        <f>VLOOKUP(B210,'Taxas de depreciação'!J:L,3,0)</f>
        <v> </v>
      </c>
      <c r="E210" s="3" t="b">
        <f t="shared" si="3"/>
        <v>1</v>
      </c>
    </row>
    <row r="211" spans="2:5" ht="35.4" x14ac:dyDescent="0.3">
      <c r="B211" s="50" t="s">
        <v>306</v>
      </c>
      <c r="C211" s="3">
        <f>VLOOKUP(B211,'Taxas de depreciação'!C:E,3,0)</f>
        <v>0.05</v>
      </c>
      <c r="D211" s="3">
        <f>VLOOKUP(B211,'Taxas de depreciação'!J:L,3,0)</f>
        <v>0.05</v>
      </c>
      <c r="E211" s="3" t="b">
        <f t="shared" si="3"/>
        <v>1</v>
      </c>
    </row>
    <row r="212" spans="2:5" ht="24" x14ac:dyDescent="0.3">
      <c r="B212" s="50" t="s">
        <v>307</v>
      </c>
      <c r="C212" s="3">
        <f>VLOOKUP(B212,'Taxas de depreciação'!C:E,3,0)</f>
        <v>0.05</v>
      </c>
      <c r="D212" s="3">
        <f>VLOOKUP(B212,'Taxas de depreciação'!J:L,3,0)</f>
        <v>0.05</v>
      </c>
      <c r="E212" s="3" t="b">
        <f t="shared" si="3"/>
        <v>1</v>
      </c>
    </row>
    <row r="213" spans="2:5" ht="24" x14ac:dyDescent="0.3">
      <c r="B213" s="50" t="s">
        <v>308</v>
      </c>
      <c r="C213" s="3" t="str">
        <f>VLOOKUP(B213,'Taxas de depreciação'!C:E,3,0)</f>
        <v> </v>
      </c>
      <c r="D213" s="3" t="str">
        <f>VLOOKUP(B213,'Taxas de depreciação'!J:L,3,0)</f>
        <v> </v>
      </c>
      <c r="E213" s="3" t="b">
        <f t="shared" si="3"/>
        <v>1</v>
      </c>
    </row>
    <row r="214" spans="2:5" x14ac:dyDescent="0.3">
      <c r="B214" s="51" t="s">
        <v>310</v>
      </c>
      <c r="C214" s="3">
        <f>VLOOKUP(B214,'Taxas de depreciação'!C:E,3,0)</f>
        <v>0.2</v>
      </c>
      <c r="D214" s="3">
        <f>VLOOKUP(B214,'Taxas de depreciação'!J:L,3,0)</f>
        <v>0.2</v>
      </c>
      <c r="E214" s="3" t="b">
        <f t="shared" si="3"/>
        <v>1</v>
      </c>
    </row>
    <row r="215" spans="2:5" x14ac:dyDescent="0.3">
      <c r="B215" s="51" t="s">
        <v>312</v>
      </c>
      <c r="C215" s="3">
        <f>VLOOKUP(B215,'Taxas de depreciação'!C:E,3,0)</f>
        <v>0.1</v>
      </c>
      <c r="D215" s="3">
        <f>VLOOKUP(B215,'Taxas de depreciação'!J:L,3,0)</f>
        <v>0.1</v>
      </c>
      <c r="E215" s="3" t="b">
        <f t="shared" si="3"/>
        <v>1</v>
      </c>
    </row>
    <row r="216" spans="2:5" ht="24" x14ac:dyDescent="0.3">
      <c r="B216" s="50" t="s">
        <v>313</v>
      </c>
      <c r="C216" s="3">
        <f>VLOOKUP(B216,'Taxas de depreciação'!C:E,3,0)</f>
        <v>0.05</v>
      </c>
      <c r="D216" s="3">
        <f>VLOOKUP(B216,'Taxas de depreciação'!J:L,3,0)</f>
        <v>0.05</v>
      </c>
      <c r="E216" s="3" t="b">
        <f t="shared" si="3"/>
        <v>1</v>
      </c>
    </row>
    <row r="217" spans="2:5" ht="46.8" x14ac:dyDescent="0.3">
      <c r="B217" s="50" t="s">
        <v>314</v>
      </c>
      <c r="C217" s="3" t="str">
        <f>VLOOKUP(B217,'Taxas de depreciação'!C:E,3,0)</f>
        <v>%</v>
      </c>
      <c r="D217" s="3" t="str">
        <f>VLOOKUP(B217,'Taxas de depreciação'!J:L,3,0)</f>
        <v>%</v>
      </c>
      <c r="E217" s="3" t="b">
        <f t="shared" si="3"/>
        <v>1</v>
      </c>
    </row>
    <row r="218" spans="2:5" ht="24" x14ac:dyDescent="0.3">
      <c r="B218" s="50" t="s">
        <v>316</v>
      </c>
      <c r="C218" s="3">
        <f>VLOOKUP(B218,'Taxas de depreciação'!C:E,3,0)</f>
        <v>0.05</v>
      </c>
      <c r="D218" s="3">
        <f>VLOOKUP(B218,'Taxas de depreciação'!J:L,3,0)</f>
        <v>0.05</v>
      </c>
      <c r="E218" s="3" t="b">
        <f t="shared" si="3"/>
        <v>1</v>
      </c>
    </row>
    <row r="219" spans="2:5" ht="24" x14ac:dyDescent="0.3">
      <c r="B219" s="50" t="s">
        <v>317</v>
      </c>
      <c r="C219" s="3" t="str">
        <f>VLOOKUP(B219,'Taxas de depreciação'!C:E,3,0)</f>
        <v> </v>
      </c>
      <c r="D219" s="3" t="str">
        <f>VLOOKUP(B219,'Taxas de depreciação'!J:L,3,0)</f>
        <v> </v>
      </c>
      <c r="E219" s="3" t="b">
        <f t="shared" si="3"/>
        <v>1</v>
      </c>
    </row>
    <row r="220" spans="2:5" x14ac:dyDescent="0.3">
      <c r="B220" s="51" t="s">
        <v>319</v>
      </c>
      <c r="C220" s="3">
        <f>VLOOKUP(B220,'Taxas de depreciação'!C:E,3,0)</f>
        <v>0.2</v>
      </c>
      <c r="D220" s="3">
        <f>VLOOKUP(B220,'Taxas de depreciação'!J:L,3,0)</f>
        <v>0.2</v>
      </c>
      <c r="E220" s="3" t="b">
        <f t="shared" si="3"/>
        <v>1</v>
      </c>
    </row>
    <row r="221" spans="2:5" x14ac:dyDescent="0.3">
      <c r="B221" s="51" t="s">
        <v>321</v>
      </c>
      <c r="C221" s="3">
        <f>VLOOKUP(B221,'Taxas de depreciação'!C:E,3,0)</f>
        <v>0.05</v>
      </c>
      <c r="D221" s="3">
        <f>VLOOKUP(B221,'Taxas de depreciação'!J:L,3,0)</f>
        <v>0.05</v>
      </c>
      <c r="E221" s="3" t="b">
        <f t="shared" si="3"/>
        <v>1</v>
      </c>
    </row>
    <row r="222" spans="2:5" ht="35.4" x14ac:dyDescent="0.3">
      <c r="B222" s="50" t="s">
        <v>323</v>
      </c>
      <c r="C222" s="3" t="str">
        <f>VLOOKUP(B222,'Taxas de depreciação'!C:E,3,0)</f>
        <v> </v>
      </c>
      <c r="D222" s="3" t="str">
        <f>VLOOKUP(B222,'Taxas de depreciação'!J:L,3,0)</f>
        <v> </v>
      </c>
      <c r="E222" s="3" t="b">
        <f t="shared" si="3"/>
        <v>1</v>
      </c>
    </row>
    <row r="223" spans="2:5" ht="35.4" x14ac:dyDescent="0.3">
      <c r="B223" s="50" t="s">
        <v>324</v>
      </c>
      <c r="C223" s="3">
        <f>VLOOKUP(B223,'Taxas de depreciação'!C:E,3,0)</f>
        <v>0.1</v>
      </c>
      <c r="D223" s="3">
        <f>VLOOKUP(B223,'Taxas de depreciação'!J:L,3,0)</f>
        <v>0.1</v>
      </c>
      <c r="E223" s="3" t="b">
        <f t="shared" si="3"/>
        <v>1</v>
      </c>
    </row>
    <row r="224" spans="2:5" ht="24" x14ac:dyDescent="0.3">
      <c r="B224" s="50" t="s">
        <v>325</v>
      </c>
      <c r="C224" s="3">
        <f>VLOOKUP(B224,'Taxas de depreciação'!C:E,3,0)</f>
        <v>0.1</v>
      </c>
      <c r="D224" s="3">
        <f>VLOOKUP(B224,'Taxas de depreciação'!J:L,3,0)</f>
        <v>0.1</v>
      </c>
      <c r="E224" s="3" t="b">
        <f t="shared" si="3"/>
        <v>1</v>
      </c>
    </row>
    <row r="225" spans="2:5" ht="24" x14ac:dyDescent="0.3">
      <c r="B225" s="50" t="s">
        <v>326</v>
      </c>
      <c r="C225" s="3">
        <f>VLOOKUP(B225,'Taxas de depreciação'!C:E,3,0)</f>
        <v>0.1</v>
      </c>
      <c r="D225" s="3">
        <f>VLOOKUP(B225,'Taxas de depreciação'!J:L,3,0)</f>
        <v>0.1</v>
      </c>
      <c r="E225" s="3" t="b">
        <f t="shared" si="3"/>
        <v>1</v>
      </c>
    </row>
    <row r="226" spans="2:5" ht="24" x14ac:dyDescent="0.3">
      <c r="B226" s="50" t="s">
        <v>327</v>
      </c>
      <c r="C226" s="3">
        <f>VLOOKUP(B226,'Taxas de depreciação'!C:E,3,0)</f>
        <v>0.1</v>
      </c>
      <c r="D226" s="3">
        <f>VLOOKUP(B226,'Taxas de depreciação'!J:L,3,0)</f>
        <v>0.1</v>
      </c>
      <c r="E226" s="3" t="b">
        <f t="shared" si="3"/>
        <v>1</v>
      </c>
    </row>
    <row r="227" spans="2:5" ht="24" x14ac:dyDescent="0.3">
      <c r="B227" s="50" t="s">
        <v>328</v>
      </c>
      <c r="C227" s="3">
        <f>VLOOKUP(B227,'Taxas de depreciação'!C:E,3,0)</f>
        <v>0.1</v>
      </c>
      <c r="D227" s="3">
        <f>VLOOKUP(B227,'Taxas de depreciação'!J:L,3,0)</f>
        <v>0.1</v>
      </c>
      <c r="E227" s="3" t="b">
        <f t="shared" si="3"/>
        <v>1</v>
      </c>
    </row>
    <row r="228" spans="2:5" ht="46.8" x14ac:dyDescent="0.3">
      <c r="B228" s="50" t="s">
        <v>329</v>
      </c>
      <c r="C228" s="3">
        <f>VLOOKUP(B228,'Taxas de depreciação'!C:E,3,0)</f>
        <v>0.1</v>
      </c>
      <c r="D228" s="3">
        <f>VLOOKUP(B228,'Taxas de depreciação'!J:L,3,0)</f>
        <v>0.1</v>
      </c>
      <c r="E228" s="3" t="b">
        <f t="shared" si="3"/>
        <v>1</v>
      </c>
    </row>
    <row r="229" spans="2:5" ht="24" x14ac:dyDescent="0.3">
      <c r="B229" s="50" t="s">
        <v>330</v>
      </c>
      <c r="C229" s="3">
        <f>VLOOKUP(B229,'Taxas de depreciação'!C:E,3,0)</f>
        <v>0.1</v>
      </c>
      <c r="D229" s="3">
        <f>VLOOKUP(B229,'Taxas de depreciação'!J:L,3,0)</f>
        <v>0.1</v>
      </c>
      <c r="E229" s="3" t="b">
        <f t="shared" si="3"/>
        <v>1</v>
      </c>
    </row>
    <row r="230" spans="2:5" x14ac:dyDescent="0.3">
      <c r="B230" s="50" t="s">
        <v>331</v>
      </c>
      <c r="C230" s="3">
        <f>VLOOKUP(B230,'Taxas de depreciação'!C:E,3,0)</f>
        <v>0.1</v>
      </c>
      <c r="D230" s="3">
        <f>VLOOKUP(B230,'Taxas de depreciação'!J:L,3,0)</f>
        <v>0.1</v>
      </c>
      <c r="E230" s="3" t="b">
        <f t="shared" si="3"/>
        <v>1</v>
      </c>
    </row>
    <row r="231" spans="2:5" ht="24" x14ac:dyDescent="0.3">
      <c r="B231" s="50" t="s">
        <v>332</v>
      </c>
      <c r="C231" s="3">
        <f>VLOOKUP(B231,'Taxas de depreciação'!C:E,3,0)</f>
        <v>0.1</v>
      </c>
      <c r="D231" s="3">
        <f>VLOOKUP(B231,'Taxas de depreciação'!J:L,3,0)</f>
        <v>0.1</v>
      </c>
      <c r="E231" s="3" t="b">
        <f t="shared" si="3"/>
        <v>1</v>
      </c>
    </row>
    <row r="232" spans="2:5" ht="35.4" x14ac:dyDescent="0.3">
      <c r="B232" s="50" t="s">
        <v>333</v>
      </c>
      <c r="C232" s="3">
        <f>VLOOKUP(B232,'Taxas de depreciação'!C:E,3,0)</f>
        <v>0.1</v>
      </c>
      <c r="D232" s="3">
        <f>VLOOKUP(B232,'Taxas de depreciação'!J:L,3,0)</f>
        <v>0.1</v>
      </c>
      <c r="E232" s="3" t="b">
        <f t="shared" si="3"/>
        <v>1</v>
      </c>
    </row>
    <row r="233" spans="2:5" x14ac:dyDescent="0.3">
      <c r="B233" s="50" t="s">
        <v>334</v>
      </c>
      <c r="C233" s="3">
        <f>VLOOKUP(B233,'Taxas de depreciação'!C:E,3,0)</f>
        <v>0.1</v>
      </c>
      <c r="D233" s="3">
        <f>VLOOKUP(B233,'Taxas de depreciação'!J:L,3,0)</f>
        <v>0.1</v>
      </c>
      <c r="E233" s="3" t="b">
        <f t="shared" si="3"/>
        <v>1</v>
      </c>
    </row>
    <row r="234" spans="2:5" ht="69.599999999999994" x14ac:dyDescent="0.3">
      <c r="B234" s="50" t="s">
        <v>335</v>
      </c>
      <c r="C234" s="3">
        <v>0.1</v>
      </c>
      <c r="D234" s="3">
        <v>0.1</v>
      </c>
      <c r="E234" s="3" t="b">
        <f t="shared" si="3"/>
        <v>1</v>
      </c>
    </row>
    <row r="235" spans="2:5" ht="35.4" x14ac:dyDescent="0.3">
      <c r="B235" s="50" t="s">
        <v>336</v>
      </c>
      <c r="C235" s="3" t="str">
        <f>VLOOKUP(B235,'Taxas de depreciação'!C:E,3,0)</f>
        <v> </v>
      </c>
      <c r="D235" s="3" t="str">
        <f>VLOOKUP(B235,'Taxas de depreciação'!J:L,3,0)</f>
        <v> </v>
      </c>
      <c r="E235" s="3" t="b">
        <f t="shared" si="3"/>
        <v>1</v>
      </c>
    </row>
    <row r="236" spans="2:5" ht="24" x14ac:dyDescent="0.3">
      <c r="B236" s="51" t="s">
        <v>338</v>
      </c>
      <c r="C236" s="3">
        <f>VLOOKUP(B236,'Taxas de depreciação'!C:E,3,0)</f>
        <v>0.1</v>
      </c>
      <c r="D236" s="3">
        <f>VLOOKUP(B236,'Taxas de depreciação'!J:L,3,0)</f>
        <v>0.1</v>
      </c>
      <c r="E236" s="3" t="b">
        <f t="shared" si="3"/>
        <v>1</v>
      </c>
    </row>
    <row r="237" spans="2:5" x14ac:dyDescent="0.3">
      <c r="B237" s="51" t="s">
        <v>340</v>
      </c>
      <c r="C237" s="3">
        <f>VLOOKUP(B237,'Taxas de depreciação'!C:E,3,0)</f>
        <v>0.1</v>
      </c>
      <c r="D237" s="3">
        <f>VLOOKUP(B237,'Taxas de depreciação'!J:L,3,0)</f>
        <v>0.1</v>
      </c>
      <c r="E237" s="3" t="b">
        <f t="shared" si="3"/>
        <v>1</v>
      </c>
    </row>
    <row r="238" spans="2:5" x14ac:dyDescent="0.3">
      <c r="B238" s="51" t="s">
        <v>342</v>
      </c>
      <c r="C238" s="3" t="str">
        <f>VLOOKUP(B238,'Taxas de depreciação'!C:E,3,0)</f>
        <v> </v>
      </c>
      <c r="D238" s="3" t="str">
        <f>VLOOKUP(B238,'Taxas de depreciação'!J:L,3,0)</f>
        <v> </v>
      </c>
      <c r="E238" s="3" t="b">
        <f t="shared" si="3"/>
        <v>1</v>
      </c>
    </row>
    <row r="239" spans="2:5" ht="24" x14ac:dyDescent="0.3">
      <c r="B239" s="51" t="s">
        <v>344</v>
      </c>
      <c r="C239" s="3">
        <f>VLOOKUP(B239,'Taxas de depreciação'!C:E,3,0)</f>
        <v>0.1</v>
      </c>
      <c r="D239" s="3">
        <f>VLOOKUP(B239,'Taxas de depreciação'!J:L,3,0)</f>
        <v>0.1</v>
      </c>
      <c r="E239" s="3" t="b">
        <f t="shared" si="3"/>
        <v>1</v>
      </c>
    </row>
    <row r="240" spans="2:5" x14ac:dyDescent="0.3">
      <c r="B240" s="51" t="s">
        <v>346</v>
      </c>
      <c r="C240" s="3">
        <f>VLOOKUP(B240,'Taxas de depreciação'!C:E,3,0)</f>
        <v>0.1</v>
      </c>
      <c r="D240" s="3">
        <f>VLOOKUP(B240,'Taxas de depreciação'!J:L,3,0)</f>
        <v>0.1</v>
      </c>
      <c r="E240" s="3" t="b">
        <f t="shared" si="3"/>
        <v>1</v>
      </c>
    </row>
    <row r="241" spans="2:5" x14ac:dyDescent="0.3">
      <c r="B241" s="51" t="s">
        <v>348</v>
      </c>
      <c r="C241" s="3">
        <f>VLOOKUP(B241,'Taxas de depreciação'!C:E,3,0)</f>
        <v>0.1</v>
      </c>
      <c r="D241" s="3">
        <f>VLOOKUP(B241,'Taxas de depreciação'!J:L,3,0)</f>
        <v>0.1</v>
      </c>
      <c r="E241" s="3" t="b">
        <f t="shared" si="3"/>
        <v>1</v>
      </c>
    </row>
    <row r="242" spans="2:5" x14ac:dyDescent="0.3">
      <c r="B242" s="51" t="s">
        <v>350</v>
      </c>
      <c r="C242" s="3">
        <f>VLOOKUP(B242,'Taxas de depreciação'!C:E,3,0)</f>
        <v>0.1</v>
      </c>
      <c r="D242" s="3">
        <f>VLOOKUP(B242,'Taxas de depreciação'!J:L,3,0)</f>
        <v>0.1</v>
      </c>
      <c r="E242" s="3" t="b">
        <f t="shared" si="3"/>
        <v>1</v>
      </c>
    </row>
    <row r="243" spans="2:5" ht="46.8" x14ac:dyDescent="0.3">
      <c r="B243" s="50" t="s">
        <v>351</v>
      </c>
      <c r="C243" s="3">
        <f>VLOOKUP(B243,'Taxas de depreciação'!C:E,3,0)</f>
        <v>0.1</v>
      </c>
      <c r="D243" s="3">
        <f>VLOOKUP(B243,'Taxas de depreciação'!J:L,3,0)</f>
        <v>0.1</v>
      </c>
      <c r="E243" s="3" t="b">
        <f t="shared" si="3"/>
        <v>1</v>
      </c>
    </row>
    <row r="244" spans="2:5" ht="35.4" x14ac:dyDescent="0.3">
      <c r="B244" s="50" t="s">
        <v>352</v>
      </c>
      <c r="C244" s="3">
        <f>VLOOKUP(B244,'Taxas de depreciação'!C:E,3,0)</f>
        <v>0.1</v>
      </c>
      <c r="D244" s="3">
        <f>VLOOKUP(B244,'Taxas de depreciação'!J:L,3,0)</f>
        <v>0.1</v>
      </c>
      <c r="E244" s="3" t="b">
        <f t="shared" si="3"/>
        <v>1</v>
      </c>
    </row>
    <row r="245" spans="2:5" ht="81" x14ac:dyDescent="0.3">
      <c r="B245" s="50" t="s">
        <v>353</v>
      </c>
      <c r="C245" s="3">
        <v>0.1</v>
      </c>
      <c r="D245" s="3">
        <v>0.1</v>
      </c>
      <c r="E245" s="3" t="b">
        <f t="shared" si="3"/>
        <v>1</v>
      </c>
    </row>
    <row r="246" spans="2:5" ht="35.4" x14ac:dyDescent="0.3">
      <c r="B246" s="50" t="s">
        <v>354</v>
      </c>
      <c r="C246" s="3">
        <f>VLOOKUP(B246,'Taxas de depreciação'!C:E,3,0)</f>
        <v>0.1</v>
      </c>
      <c r="D246" s="3">
        <f>VLOOKUP(B246,'Taxas de depreciação'!J:L,3,0)</f>
        <v>0.1</v>
      </c>
      <c r="E246" s="3" t="b">
        <f t="shared" si="3"/>
        <v>1</v>
      </c>
    </row>
    <row r="247" spans="2:5" ht="35.4" x14ac:dyDescent="0.3">
      <c r="B247" s="50" t="s">
        <v>355</v>
      </c>
      <c r="C247" s="3">
        <f>VLOOKUP(B247,'Taxas de depreciação'!C:E,3,0)</f>
        <v>0.1</v>
      </c>
      <c r="D247" s="3">
        <f>VLOOKUP(B247,'Taxas de depreciação'!J:L,3,0)</f>
        <v>0.1</v>
      </c>
      <c r="E247" s="3" t="b">
        <f t="shared" si="3"/>
        <v>1</v>
      </c>
    </row>
    <row r="248" spans="2:5" ht="58.2" x14ac:dyDescent="0.3">
      <c r="B248" s="50" t="s">
        <v>356</v>
      </c>
      <c r="C248" s="3">
        <v>0.1</v>
      </c>
      <c r="D248" s="3">
        <v>0.1</v>
      </c>
      <c r="E248" s="3" t="b">
        <f t="shared" si="3"/>
        <v>1</v>
      </c>
    </row>
    <row r="249" spans="2:5" ht="81" x14ac:dyDescent="0.3">
      <c r="B249" s="50" t="s">
        <v>357</v>
      </c>
      <c r="C249" s="3">
        <v>0.1</v>
      </c>
      <c r="D249" s="3">
        <v>0.1</v>
      </c>
      <c r="E249" s="3" t="b">
        <f t="shared" si="3"/>
        <v>1</v>
      </c>
    </row>
    <row r="250" spans="2:5" ht="24" x14ac:dyDescent="0.3">
      <c r="B250" s="50" t="s">
        <v>358</v>
      </c>
      <c r="C250" s="3">
        <f>VLOOKUP(B250,'Taxas de depreciação'!C:E,3,0)</f>
        <v>0.1</v>
      </c>
      <c r="D250" s="3">
        <f>VLOOKUP(B250,'Taxas de depreciação'!J:L,3,0)</f>
        <v>0.1</v>
      </c>
      <c r="E250" s="3" t="b">
        <f t="shared" si="3"/>
        <v>1</v>
      </c>
    </row>
    <row r="251" spans="2:5" ht="46.8" x14ac:dyDescent="0.3">
      <c r="B251" s="50" t="s">
        <v>359</v>
      </c>
      <c r="C251" s="3">
        <f>VLOOKUP(B251,'Taxas de depreciação'!C:E,3,0)</f>
        <v>0.1</v>
      </c>
      <c r="D251" s="3">
        <f>VLOOKUP(B251,'Taxas de depreciação'!J:L,3,0)</f>
        <v>0.1</v>
      </c>
      <c r="E251" s="3" t="b">
        <f t="shared" si="3"/>
        <v>1</v>
      </c>
    </row>
    <row r="252" spans="2:5" ht="46.8" x14ac:dyDescent="0.3">
      <c r="B252" s="50" t="s">
        <v>360</v>
      </c>
      <c r="C252" s="3">
        <f>VLOOKUP(B252,'Taxas de depreciação'!C:E,3,0)</f>
        <v>0.1</v>
      </c>
      <c r="D252" s="3">
        <f>VLOOKUP(B252,'Taxas de depreciação'!J:L,3,0)</f>
        <v>0.1</v>
      </c>
      <c r="E252" s="3" t="b">
        <f t="shared" si="3"/>
        <v>1</v>
      </c>
    </row>
    <row r="253" spans="2:5" ht="35.4" x14ac:dyDescent="0.3">
      <c r="B253" s="50" t="s">
        <v>361</v>
      </c>
      <c r="C253" s="3">
        <f>VLOOKUP(B253,'Taxas de depreciação'!C:E,3,0)</f>
        <v>0.1</v>
      </c>
      <c r="D253" s="3">
        <f>VLOOKUP(B253,'Taxas de depreciação'!J:L,3,0)</f>
        <v>0.1</v>
      </c>
      <c r="E253" s="3" t="b">
        <f t="shared" si="3"/>
        <v>1</v>
      </c>
    </row>
    <row r="254" spans="2:5" x14ac:dyDescent="0.3">
      <c r="B254" s="50" t="s">
        <v>362</v>
      </c>
      <c r="C254" s="3">
        <f>VLOOKUP(B254,'Taxas de depreciação'!C:E,3,0)</f>
        <v>0.1</v>
      </c>
      <c r="D254" s="3">
        <f>VLOOKUP(B254,'Taxas de depreciação'!J:L,3,0)</f>
        <v>0.1</v>
      </c>
      <c r="E254" s="3" t="b">
        <f t="shared" si="3"/>
        <v>1</v>
      </c>
    </row>
    <row r="255" spans="2:5" x14ac:dyDescent="0.3">
      <c r="B255" s="50" t="s">
        <v>364</v>
      </c>
      <c r="C255" s="3" t="str">
        <f>VLOOKUP(B255,'Taxas de depreciação'!C:E,3,0)</f>
        <v> </v>
      </c>
      <c r="D255" s="3" t="str">
        <f>VLOOKUP(B255,'Taxas de depreciação'!J:L,3,0)</f>
        <v> </v>
      </c>
      <c r="E255" s="3" t="b">
        <f t="shared" si="3"/>
        <v>1</v>
      </c>
    </row>
    <row r="256" spans="2:5" ht="58.2" x14ac:dyDescent="0.3">
      <c r="B256" s="50" t="s">
        <v>365</v>
      </c>
      <c r="C256" s="3">
        <v>0.1</v>
      </c>
      <c r="D256" s="3">
        <v>0.1</v>
      </c>
      <c r="E256" s="3" t="b">
        <f t="shared" si="3"/>
        <v>1</v>
      </c>
    </row>
    <row r="257" spans="2:11" x14ac:dyDescent="0.3">
      <c r="B257" s="50" t="s">
        <v>366</v>
      </c>
      <c r="C257" s="3">
        <f>VLOOKUP(B257,'Taxas de depreciação'!C:E,3,0)</f>
        <v>0.1</v>
      </c>
      <c r="D257" s="3">
        <f>VLOOKUP(B257,'Taxas de depreciação'!J:L,3,0)</f>
        <v>0.1</v>
      </c>
      <c r="E257" s="3" t="b">
        <f t="shared" si="3"/>
        <v>1</v>
      </c>
    </row>
    <row r="258" spans="2:11" x14ac:dyDescent="0.3">
      <c r="B258" s="50" t="s">
        <v>367</v>
      </c>
      <c r="C258" s="3">
        <f>VLOOKUP(B258,'Taxas de depreciação'!C:E,3,0)</f>
        <v>0.04</v>
      </c>
      <c r="D258" s="3">
        <f>VLOOKUP(B258,'Taxas de depreciação'!J:L,3,0)</f>
        <v>0.04</v>
      </c>
      <c r="E258" s="3" t="b">
        <f t="shared" si="3"/>
        <v>1</v>
      </c>
    </row>
    <row r="259" spans="2:11" x14ac:dyDescent="0.3">
      <c r="B259" s="50" t="s">
        <v>369</v>
      </c>
      <c r="C259" s="3" t="str">
        <f>VLOOKUP(B259,'Taxas de depreciação'!C:E,3,0)</f>
        <v> </v>
      </c>
      <c r="D259" s="3" t="str">
        <f>VLOOKUP(B259,'Taxas de depreciação'!J:L,3,0)</f>
        <v> </v>
      </c>
      <c r="E259" s="3" t="b">
        <f t="shared" si="3"/>
        <v>1</v>
      </c>
    </row>
    <row r="260" spans="2:11" x14ac:dyDescent="0.3">
      <c r="B260" s="50" t="s">
        <v>370</v>
      </c>
      <c r="C260" s="3">
        <f>VLOOKUP(B260,'Taxas de depreciação'!C:E,3,0)</f>
        <v>0.1</v>
      </c>
      <c r="D260" s="3">
        <f>VLOOKUP(B260,'Taxas de depreciação'!J:L,3,0)</f>
        <v>0.1</v>
      </c>
      <c r="E260" s="3" t="b">
        <f t="shared" ref="E260:E263" si="4">C260=D260</f>
        <v>1</v>
      </c>
    </row>
    <row r="261" spans="2:11" ht="35.4" x14ac:dyDescent="0.3">
      <c r="B261" s="50" t="s">
        <v>371</v>
      </c>
      <c r="C261" s="3">
        <f>VLOOKUP(B261,'Taxas de depreciação'!C:E,3,0)</f>
        <v>0.1</v>
      </c>
      <c r="D261" s="3">
        <f>VLOOKUP(B261,'Taxas de depreciação'!J:L,3,0)</f>
        <v>0.1</v>
      </c>
      <c r="E261" s="3" t="b">
        <f t="shared" si="4"/>
        <v>1</v>
      </c>
    </row>
    <row r="262" spans="2:11" x14ac:dyDescent="0.3">
      <c r="B262" s="53" t="s">
        <v>46</v>
      </c>
      <c r="C262" s="3">
        <f>VLOOKUP(B262,'Taxas de depreciação'!C:E,3,0)</f>
        <v>0</v>
      </c>
      <c r="D262" s="3">
        <f>VLOOKUP(B262,'Taxas de depreciação'!J:L,3,0)</f>
        <v>0</v>
      </c>
      <c r="E262" s="3" t="b">
        <f t="shared" si="4"/>
        <v>1</v>
      </c>
    </row>
    <row r="263" spans="2:11" ht="58.2" x14ac:dyDescent="0.3">
      <c r="B263" s="52" t="s">
        <v>374</v>
      </c>
      <c r="C263" s="3">
        <v>0.2</v>
      </c>
      <c r="D263" s="3">
        <v>0</v>
      </c>
      <c r="E263" s="3" t="b">
        <f t="shared" si="4"/>
        <v>0</v>
      </c>
    </row>
    <row r="264" spans="2:11" x14ac:dyDescent="0.3">
      <c r="C264" t="s">
        <v>378</v>
      </c>
      <c r="D264" t="s">
        <v>378</v>
      </c>
      <c r="E264" t="s">
        <v>378</v>
      </c>
      <c r="F264" t="s">
        <v>378</v>
      </c>
      <c r="G264" t="s">
        <v>378</v>
      </c>
      <c r="H264" t="s">
        <v>378</v>
      </c>
      <c r="I264" t="s">
        <v>378</v>
      </c>
      <c r="J264" t="s">
        <v>378</v>
      </c>
      <c r="K264" t="s">
        <v>378</v>
      </c>
    </row>
  </sheetData>
  <autoFilter ref="B2:E264"/>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6:H19"/>
  <sheetViews>
    <sheetView showGridLines="0" tabSelected="1" topLeftCell="A8" zoomScale="70" zoomScaleNormal="70" workbookViewId="0">
      <selection activeCell="F8" sqref="F8"/>
    </sheetView>
  </sheetViews>
  <sheetFormatPr defaultRowHeight="14.4" x14ac:dyDescent="0.3"/>
  <cols>
    <col min="1" max="1" width="2.88671875" customWidth="1"/>
    <col min="2" max="2" width="4.44140625" customWidth="1"/>
    <col min="3" max="3" width="74.77734375" customWidth="1"/>
    <col min="4" max="4" width="16.88671875" customWidth="1"/>
    <col min="6" max="6" width="130.88671875" customWidth="1"/>
    <col min="7" max="7" width="95.5546875" customWidth="1"/>
    <col min="8" max="8" width="63.77734375" customWidth="1"/>
  </cols>
  <sheetData>
    <row r="6" spans="2:8" x14ac:dyDescent="0.3">
      <c r="B6" s="1" t="s">
        <v>474</v>
      </c>
    </row>
    <row r="7" spans="2:8" ht="101.4" customHeight="1" x14ac:dyDescent="0.3">
      <c r="B7" s="2">
        <v>1</v>
      </c>
      <c r="C7" s="7" t="s">
        <v>465</v>
      </c>
      <c r="D7" s="3" t="s">
        <v>398</v>
      </c>
      <c r="F7" s="9" t="str">
        <f>IF(D7="sim","A Sociedade informou que entregou a ECD nos últimos 5 anos. Lembramos que, dentre outras requisitos, apenas as empresas tributadas no Lucro Real são obrigadas a entegar a ECD.",IF(D7="não","A Sociedade informou que não entregou a ECD nos últimos 5 anos. Sugerimos rever a questão pois a ausência de entrega das obrigações assessórias sujeitam-se a aplicação de penalidades.",IF(D7="não sei dizer","Inconclusivo.")))</f>
        <v>A Sociedade informou que entregou a ECD nos últimos 5 anos. Lembramos que, dentre outras requisitos, apenas as empresas tributadas no Lucro Real são obrigadas a entegar a ECD.</v>
      </c>
      <c r="G7" s="9" t="str">
        <f>IF(F7="Inconclusivo.","A Sociedade não tem a informação necessária para responder a questão 1, de forma que não podemos opinar sobre.",CONCATENATE(F7," ","A Escrituração Contábil Digital (ECD) é parte integrante do projeto SPED e tem por objetivo a substituição da escrituração em papel pela escrituração transmitida via arquivo, ou seja, corresponde à obrigação de transmitir, em versão digital os livros:"))</f>
        <v>A Sociedade informou que entregou a ECD nos últimos 5 anos. Lembramos que, dentre outras requisitos, apenas as empresas tributadas no Lucro Real são obrigadas a entegar a ECD. A Escrituração Contábil Digital (ECD) é parte integrante do projeto SPED e tem por objetivo a substituição da escrituração em papel pela escrituração transmitida via arquivo, ou seja, corresponde à obrigação de transmitir, em versão digital os livros:</v>
      </c>
      <c r="H7" s="9" t="str">
        <f>IF(D7="sim",CONCATENATE(G7," ","Livro Diário e seus auxiliares se houver, Livro Razão e seus auxiliares se houver, balancetes diários, balanços e fichas de lançamento comprobatórias dos assentamentos nela escritos."),IF(D7="não",CONCATENATE(G7," ","Livro Diário e seus auxiliares se houver, Livro Razão e seus auxiliares se houver, balancetes diários, balanços e fichas de lançamento comprobatórias dos assentamentos nela escritos."),G7))</f>
        <v>A Sociedade informou que entregou a ECD nos últimos 5 anos. Lembramos que, dentre outras requisitos, apenas as empresas tributadas no Lucro Real são obrigadas a entegar a ECD. A Escrituração Contábil Digital (ECD) é parte integrante do projeto SPED e tem por objetivo a substituição da escrituração em papel pela escrituração transmitida via arquivo, ou seja, corresponde à obrigação de transmitir, em versão digital os livros: Livro Diário e seus auxiliares se houver, Livro Razão e seus auxiliares se houver, balancetes diários, balanços e fichas de lançamento comprobatórias dos assentamentos nela escritos.</v>
      </c>
    </row>
    <row r="8" spans="2:8" ht="86.4" x14ac:dyDescent="0.3">
      <c r="B8" s="2">
        <f t="shared" ref="B8:B16" si="0">B7+1</f>
        <v>2</v>
      </c>
      <c r="C8" s="7" t="s">
        <v>466</v>
      </c>
      <c r="D8" s="3" t="s">
        <v>398</v>
      </c>
      <c r="F8" s="9" t="str">
        <f>IF(D8="sim","A Sociedade informou também que entregou a ECF nos últimos 5 anos.",IF(D8="não","A Sociedade informou também que não entregou a ECF nos últimos 5 anos. Sugerimos rever a questão pois a ausência de entrega das obrigações assessórias sujeitam-se a aplicação de penalidades.",IF(D8="não sei dizer","Inconclusivo.")))</f>
        <v>A Sociedade informou também que entregou a ECF nos últimos 5 anos.</v>
      </c>
      <c r="G8" s="9" t="str">
        <f>IF(F8="Inconclusivo.","A Sociedade não tem a informação necessária para responder a questão 2, de forma que não podemos opinar sobre.",CONCATENATE(F8," ","A Escrituração Contábil Fiscal (ECF) substitui a DIPJ, a partir do ano-calendário 2014, com entrega prevista para o último dia útil do mês de julho do ano posterior ao do período da escrituração"))</f>
        <v>A Sociedade informou também que entregou a ECF nos últimos 5 anos. A Escrituração Contábil Fiscal (ECF) substitui a DIPJ, a partir do ano-calendário 2014, com entrega prevista para o último dia útil do mês de julho do ano posterior ao do período da escrituração</v>
      </c>
      <c r="H8" s="9" t="str">
        <f>IF(D8="sim",CONCATENATE(G8," ","no ambiente do Sistema Público de Escrituração Digital (Sped). Portanto, a DIPJ está extinta a partir do ano-calendário 2014."),IF(D8="não",CONCATENATE(G8," ","no ambiente do Sistema Público de Escrituração Digital (Sped). Portanto, a DIPJ está extinta a partir do ano-calendário 2014."),G8))</f>
        <v>A Sociedade informou também que entregou a ECF nos últimos 5 anos. A Escrituração Contábil Fiscal (ECF) substitui a DIPJ, a partir do ano-calendário 2014, com entrega prevista para o último dia útil do mês de julho do ano posterior ao do período da escrituração no ambiente do Sistema Público de Escrituração Digital (Sped). Portanto, a DIPJ está extinta a partir do ano-calendário 2014.</v>
      </c>
    </row>
    <row r="9" spans="2:8" ht="57" customHeight="1" x14ac:dyDescent="0.3">
      <c r="B9" s="2">
        <f t="shared" si="0"/>
        <v>3</v>
      </c>
      <c r="C9" s="7" t="s">
        <v>467</v>
      </c>
      <c r="D9" s="3" t="s">
        <v>399</v>
      </c>
      <c r="F9" s="9" t="str">
        <f>IF(D9="sim","De acordo com informações, os dados contábeis declarados na ECD correspondem aos dados contábeis da DIPJ e da ECF.",IF(D9="não","De acordo com informações, os dados contábeis da ECD estão divergentes da ECF. Sugerimos rever a questão no intuito de evitar potenciais questionamentos futuros por parte do Fisco.",IF(D9="não sei dizer","Inconclusivo.")))</f>
        <v>De acordo com informações, os dados contábeis da ECD estão divergentes da ECF. Sugerimos rever a questão no intuito de evitar potenciais questionamentos futuros por parte do Fisco.</v>
      </c>
      <c r="G9" s="9" t="str">
        <f>IF(F9="Inconclusivo.","A Sociedade não tem a informação necessária para responder a questão 3, de forma que não podemos opinar sobre.",CONCATENATE(F9," ","As informações contábeis da ECD devem ser as mesmas constantes na DIPJ e na ECF. No caso da ECF é necessário recuperar os dados em .txt da ECD, sendo que eventuais divergências devem ser apuradas."))</f>
        <v>De acordo com informações, os dados contábeis da ECD estão divergentes da ECF. Sugerimos rever a questão no intuito de evitar potenciais questionamentos futuros por parte do Fisco. As informações contábeis da ECD devem ser as mesmas constantes na DIPJ e na ECF. No caso da ECF é necessário recuperar os dados em .txt da ECD, sendo que eventuais divergências devem ser apuradas.</v>
      </c>
    </row>
    <row r="10" spans="2:8" ht="28.8" x14ac:dyDescent="0.3">
      <c r="B10" s="2">
        <f t="shared" si="0"/>
        <v>4</v>
      </c>
      <c r="C10" s="7" t="s">
        <v>502</v>
      </c>
      <c r="D10" s="3" t="s">
        <v>398</v>
      </c>
      <c r="F10" s="9" t="str">
        <f>IF(D10="sim"," ",IF(D10="não","Ainda, a Sociedade respondeu que o cálculo do Lucro Real, Presumido ou Arbitrado da ECF não corresponde a memória de cálculo. Verificar qual a versão mais atualizada do cálculo, se da memória ou da ECF.",IF(D10="não sei dizer","Inconclusivo.")))</f>
        <v xml:space="preserve"> </v>
      </c>
      <c r="G10" s="9" t="str">
        <f>IF(F10="Inconclusivo.","A Sociedade não tem a informação necessária para responder a questão 4, de forma que não podemos opinar sobre.",CONCATENATE(F10," ","Como a ECF traz algumas informações para calcular o  Lucro Real, Presumido e Arbitrado de forma automática sempre é bom conferir se o cálculo da ECF corresponde a memória de cálculo da Sociedade."))</f>
        <v xml:space="preserve">  Como a ECF traz algumas informações para calcular o  Lucro Real, Presumido e Arbitrado de forma automática sempre é bom conferir se o cálculo da ECF corresponde a memória de cálculo da Sociedade.</v>
      </c>
    </row>
    <row r="11" spans="2:8" ht="72" x14ac:dyDescent="0.3">
      <c r="B11" s="2">
        <f t="shared" si="0"/>
        <v>5</v>
      </c>
      <c r="C11" s="7" t="s">
        <v>468</v>
      </c>
      <c r="D11" s="3" t="s">
        <v>398</v>
      </c>
      <c r="F11" s="9" t="str">
        <f>IF(D11="sim","Cumpre mencionar que a Sociedade entregou ou deixou de entregar alguma obrigação assessória em anos anteriores. Revisitar a questão, principalmente caso haja alguma declaração que não tenha sido entregue, visando evitar potenciais questionamentos futuros.",IF(D11="não"," .",IF(D11="não sei dizer","Inconclusivo.")))</f>
        <v>Cumpre mencionar que a Sociedade entregou ou deixou de entregar alguma obrigação assessória em anos anteriores. Revisitar a questão, principalmente caso haja alguma declaração que não tenha sido entregue, visando evitar potenciais questionamentos futuros.</v>
      </c>
      <c r="G11" s="9" t="str">
        <f>IF(F11="Inconclusivo.","A Sociedade não tem a informação necessária para responder a questão 5, de forma que não podemos opinar sobre.",CONCATENATE(F11," ","O atraso ou a falta de entrega de alguma declaração pode ocasionar, não só a aplicação de multa e juros como outras sanções, como por exemplo a perda da certidão negativa de débitos."))</f>
        <v>Cumpre mencionar que a Sociedade entregou ou deixou de entregar alguma obrigação assessória em anos anteriores. Revisitar a questão, principalmente caso haja alguma declaração que não tenha sido entregue, visando evitar potenciais questionamentos futuros. O atraso ou a falta de entrega de alguma declaração pode ocasionar, não só a aplicação de multa e juros como outras sanções, como por exemplo a perda da certidão negativa de débitos.</v>
      </c>
    </row>
    <row r="12" spans="2:8" ht="58.8" customHeight="1" x14ac:dyDescent="0.3">
      <c r="B12" s="2">
        <f t="shared" si="0"/>
        <v>6</v>
      </c>
      <c r="C12" s="7" t="s">
        <v>469</v>
      </c>
      <c r="D12" s="3" t="s">
        <v>399</v>
      </c>
      <c r="F12" s="9" t="str">
        <f>IF(D12="sim","Com relação a DCTF, a Sociedade informou que entregou as declarações do ano até o momento, mesmo com ausência de débitos.",IF(D12="não","Com relação a DCTF, a Sociedade informou que não transmitiu as declarações do  ano até o momento. Caso a Sociedade esteja dispensada de transmitir a DCTF o procedimento está adequado.",IF(D12="não sei dizer","Inconclusivo.")))</f>
        <v>Com relação a DCTF, a Sociedade informou que não transmitiu as declarações do  ano até o momento. Caso a Sociedade esteja dispensada de transmitir a DCTF o procedimento está adequado.</v>
      </c>
      <c r="G12" s="9" t="str">
        <f>IF(F12="Inconclusivo.","A Sociedade não tem a informação necessária para responder a questão 6, de forma que não podemos opinar sobre.",CONCATENATE(F12," ","A DCTF é a declaração de impostos federais que foram apurados durante os meses do ano calendário e a trasmissão deste é obrigatória por Lei, salvo as dispensas mencionadas na IN 1.599/2015."))</f>
        <v>Com relação a DCTF, a Sociedade informou que não transmitiu as declarações do  ano até o momento. Caso a Sociedade esteja dispensada de transmitir a DCTF o procedimento está adequado. A DCTF é a declaração de impostos federais que foram apurados durante os meses do ano calendário e a trasmissão deste é obrigatória por Lei, salvo as dispensas mencionadas na IN 1.599/2015.</v>
      </c>
    </row>
    <row r="13" spans="2:8" ht="100.8" x14ac:dyDescent="0.3">
      <c r="B13" s="2">
        <f t="shared" si="0"/>
        <v>7</v>
      </c>
      <c r="C13" s="7" t="s">
        <v>470</v>
      </c>
      <c r="D13" s="3" t="s">
        <v>398</v>
      </c>
      <c r="F13" s="9" t="str">
        <f>IF(D13="sim","No que diz respeito a Per/Dcomp, a Sociedade informou que transmitiu pedidos de restituição, ressarcimento ou compensação durante o ano calendário.",IF(D13="não"," ",IF(D13="não sei dizer","Inconclusivo.")))</f>
        <v>No que diz respeito a Per/Dcomp, a Sociedade informou que transmitiu pedidos de restituição, ressarcimento ou compensação durante o ano calendário.</v>
      </c>
      <c r="G13" s="9" t="str">
        <f>IF(F13="Inconclusivo.","A Sociedade não tem a informação necessária para responder a questão 7, de forma que não podemos opinar sobre.",CONCATENATE(F13," ","Caso a Sociedade tenha créditos de impostos federais a restituir, ressarcir ou compensar, a Sociedade pode fazê-los através de uma Per/Dcomp. "))</f>
        <v xml:space="preserve">No que diz respeito a Per/Dcomp, a Sociedade informou que transmitiu pedidos de restituição, ressarcimento ou compensação durante o ano calendário. Caso a Sociedade tenha créditos de impostos federais a restituir, ressarcir ou compensar, a Sociedade pode fazê-los através de uma Per/Dcomp. </v>
      </c>
      <c r="H13" s="9" t="str">
        <f>IF(D13="sim",CONCATENATE(G13," ","Lembrando que os créditos só podem ser compensados com impostos federais de mesma natureza ou de natureza diferente, a depender do tipo do crédito."),IF(D13="não",CONCATENATE(G13," ","Lembrando que os créditos só podem ser compensados com impostos federais de mesma natureza ou de natureza diferente, a depender do tipo do crédito."),G13))</f>
        <v>No que diz respeito a Per/Dcomp, a Sociedade informou que transmitiu pedidos de restituição, ressarcimento ou compensação durante o ano calendário. Caso a Sociedade tenha créditos de impostos federais a restituir, ressarcir ou compensar, a Sociedade pode fazê-los através de uma Per/Dcomp.  Lembrando que os créditos só podem ser compensados com impostos federais de mesma natureza ou de natureza diferente, a depender do tipo do crédito.</v>
      </c>
    </row>
    <row r="14" spans="2:8" ht="43.2" x14ac:dyDescent="0.3">
      <c r="B14" s="2">
        <f t="shared" si="0"/>
        <v>8</v>
      </c>
      <c r="C14" s="7" t="s">
        <v>471</v>
      </c>
      <c r="D14" s="3" t="s">
        <v>398</v>
      </c>
      <c r="F14" s="9" t="str">
        <f>IF(D14="sim","Os créditos utilizados para compensação são oriundos de saldo negativo de IRPJ e CSLL de anos anteriores.",IF(D14="não"," ",IF(D14="não sei dizer","Inconclusivo.")))</f>
        <v>Os créditos utilizados para compensação são oriundos de saldo negativo de IRPJ e CSLL de anos anteriores.</v>
      </c>
      <c r="G14" s="9" t="str">
        <f>IF(F14="Inconclusivo.","A Sociedade não tem a informação necessária para responder a questão 8, de forma que não podemos opinar sobre.",CONCATENATE(F14," ","Os saldos negativos de IRPJ e CSLL de anos anteriores podem ser compensados por meio de Per/Dcomp com débitos de mesma natureza ou natureza diferente."))</f>
        <v>Os créditos utilizados para compensação são oriundos de saldo negativo de IRPJ e CSLL de anos anteriores. Os saldos negativos de IRPJ e CSLL de anos anteriores podem ser compensados por meio de Per/Dcomp com débitos de mesma natureza ou natureza diferente.</v>
      </c>
    </row>
    <row r="15" spans="2:8" ht="64.2" customHeight="1" x14ac:dyDescent="0.3">
      <c r="B15" s="2">
        <f t="shared" si="0"/>
        <v>9</v>
      </c>
      <c r="C15" s="7" t="s">
        <v>472</v>
      </c>
      <c r="D15" s="3" t="s">
        <v>398</v>
      </c>
      <c r="F15" s="9" t="str">
        <f>IF(D14="sim",IF(D15="sim","Os saldos negativos de IRPJ e CSLL que a Sociedade está utilizando correspondem aqueles gerados e informados em DIPJ e/ou ECF.",IF(D15="não","Entretanto, a Sociedade informou que os saldos negativos de IRPJ e CSLL de anos anteriores divergem daqueles declarados em DIPJ e/ou ECF.",IF(D15="não sei dizer","Inconclusivo."))),IF(D14="não","desabilitar",IF(D14="não sei dizer","desabilitar")))</f>
        <v>Os saldos negativos de IRPJ e CSLL que a Sociedade está utilizando correspondem aqueles gerados e informados em DIPJ e/ou ECF.</v>
      </c>
      <c r="G15" s="9" t="str">
        <f>IF(F15="Inconclusivo.","A Sociedade não tem a informação necessária para responder a questão 9, de forma que não podemos opinar sobre.",IF(F15="desabilitar"," ",CONCATENATE(F15," ","Os saldos negativos de IRPJ e CSLL de anos anteriores compensados via Per/Dcomp devem ser os mesmos que foram informados nas Fichas 12 e 17 da DIPJ e Registros N630 e N670 da ECF de seus respectivos anos calendário.")))</f>
        <v>Os saldos negativos de IRPJ e CSLL que a Sociedade está utilizando correspondem aqueles gerados e informados em DIPJ e/ou ECF. Os saldos negativos de IRPJ e CSLL de anos anteriores compensados via Per/Dcomp devem ser os mesmos que foram informados nas Fichas 12 e 17 da DIPJ e Registros N630 e N670 da ECF de seus respectivos anos calendário.</v>
      </c>
    </row>
    <row r="16" spans="2:8" ht="115.2" x14ac:dyDescent="0.3">
      <c r="B16" s="2">
        <f t="shared" si="0"/>
        <v>10</v>
      </c>
      <c r="C16" s="7" t="s">
        <v>473</v>
      </c>
      <c r="D16" s="3" t="s">
        <v>398</v>
      </c>
      <c r="F16" s="9" t="str">
        <f>IF(D16="sim","Por fim, a Sociedade respondeu que os créditos utilizados na Per/Dcomp são de, há mais de 5 anos.",IF(D16="não","Por fim, a Sociedade respondeu que os créditos utilizados na Per/Dcomp são de, há menos de 5 anos.",IF(D16="não sei dizer","Inconclusivo.")))</f>
        <v>Por fim, a Sociedade respondeu que os créditos utilizados na Per/Dcomp são de, há mais de 5 anos.</v>
      </c>
      <c r="G16" s="9" t="str">
        <f>IF(F16="Inconclusivo.","A Sociedade não tem a informação necessária para responder a questão 10, de forma que não podemos opinar sobre.",CONCATENATE(F16," ","Créditos gerados há mais de 5 anos, de acordo com o Código Tributário Nacional não são passíveis de compensação, restituição ou ressarcimento, exceto, caso os créditos estejam em discussão judicial ou outras formas previstas em Lei específica. "))</f>
        <v xml:space="preserve">Por fim, a Sociedade respondeu que os créditos utilizados na Per/Dcomp são de, há mais de 5 anos. Créditos gerados há mais de 5 anos, de acordo com o Código Tributário Nacional não são passíveis de compensação, restituição ou ressarcimento, exceto, caso os créditos estejam em discussão judicial ou outras formas previstas em Lei específica. </v>
      </c>
      <c r="H16" s="9" t="str">
        <f>IF(D16="sim",CONCATENATE(G16," ","Lembrando que os créditos só podem ser compensados enquanto estiver dentro do prazo prescricional de 5 anos. Se estiver em discussão judicial ou administrativa, o prazo é interrompido até a resolução da questão."),IF(D16="não",CONCATENATE(G16," ","Lembrando que os créditos só podem ser compensados enquanto estiver dentro do prazo prescricional de 5 anos. Se estiver em discussão judicial ou administrativa, o prazo é interrompido até a resolução da questão."),G16))</f>
        <v>Por fim, a Sociedade respondeu que os créditos utilizados na Per/Dcomp são de, há mais de 5 anos. Créditos gerados há mais de 5 anos, de acordo com o Código Tributário Nacional não são passíveis de compensação, restituição ou ressarcimento, exceto, caso os créditos estejam em discussão judicial ou outras formas previstas em Lei específica.  Lembrando que os créditos só podem ser compensados enquanto estiver dentro do prazo prescricional de 5 anos. Se estiver em discussão judicial ou administrativa, o prazo é interrompido até a resolução da questão.</v>
      </c>
    </row>
    <row r="18" spans="6:6" x14ac:dyDescent="0.3">
      <c r="F18" s="61" t="s">
        <v>396</v>
      </c>
    </row>
    <row r="19" spans="6:6" ht="408.6" customHeight="1" x14ac:dyDescent="0.3">
      <c r="F19" s="62" t="str">
        <f>CONCATENATE(H7," ",H8," ",G9," ",G10," ",G11," ",G12," ",H13," ",G14," ",G15," ",H16)</f>
        <v>A Sociedade informou que entregou a ECD nos últimos 5 anos. Lembramos que, dentre outras requisitos, apenas as empresas tributadas no Lucro Real são obrigadas a entegar a ECD. A Escrituração Contábil Digital (ECD) é parte integrante do projeto SPED e tem por objetivo a substituição da escrituração em papel pela escrituração transmitida via arquivo, ou seja, corresponde à obrigação de transmitir, em versão digital os livros: Livro Diário e seus auxiliares se houver, Livro Razão e seus auxiliares se houver, balancetes diários, balanços e fichas de lançamento comprobatórias dos assentamentos nela escritos. A Sociedade informou também que entregou a ECF nos últimos 5 anos. A Escrituração Contábil Fiscal (ECF) substitui a DIPJ, a partir do ano-calendário 2014, com entrega prevista para o último dia útil do mês de julho do ano posterior ao do período da escrituração no ambiente do Sistema Público de Escrituração Digital (Sped). Portanto, a DIPJ está extinta a partir do ano-calendário 2014. De acordo com informações, os dados contábeis da ECD estão divergentes da ECF. Sugerimos rever a questão no intuito de evitar potenciais questionamentos futuros por parte do Fisco. As informações contábeis da ECD devem ser as mesmas constantes na DIPJ e na ECF. No caso da ECF é necessário recuperar os dados em .txt da ECD, sendo que eventuais divergências devem ser apuradas.   Como a ECF traz algumas informações para calcular o  Lucro Real, Presumido e Arbitrado de forma automática sempre é bom conferir se o cálculo da ECF corresponde a memória de cálculo da Sociedade. Cumpre mencionar que a Sociedade entregou ou deixou de entregar alguma obrigação assessória em anos anteriores. Revisitar a questão, principalmente caso haja alguma declaração que não tenha sido entregue, visando evitar potenciais questionamentos futuros. O atraso ou a falta de entrega de alguma declaração pode ocasionar, não só a aplicação de multa e juros como outras sanções, como por exemplo a perda da certidão negativa de débitos. Com relação a DCTF, a Sociedade informou que não transmitiu as declarações do  ano até o momento. Caso a Sociedade esteja dispensada de transmitir a DCTF o procedimento está adequado. A DCTF é a declaração de impostos federais que foram apurados durante os meses do ano calendário e a trasmissão deste é obrigatória por Lei, salvo as dispensas mencionadas na IN 1.599/2015. No que diz respeito a Per/Dcomp, a Sociedade informou que transmitiu pedidos de restituição, ressarcimento ou compensação durante o ano calendário. Caso a Sociedade tenha créditos de impostos federais a restituir, ressarcir ou compensar, a Sociedade pode fazê-los através de uma Per/Dcomp.  Lembrando que os créditos só podem ser compensados com impostos federais de mesma natureza ou de natureza diferente, a depender do tipo do crédito. Os créditos utilizados para compensação são oriundos de saldo negativo de IRPJ e CSLL de anos anteriores. Os saldos negativos de IRPJ e CSLL de anos anteriores podem ser compensados por meio de Per/Dcomp com débitos de mesma natureza ou natureza diferente. Os saldos negativos de IRPJ e CSLL que a Sociedade está utilizando correspondem aqueles gerados e informados em DIPJ e/ou ECF. Os saldos negativos de IRPJ e CSLL de anos anteriores compensados via Per/Dcomp devem ser os mesmos que foram informados nas Fichas 12 e 17 da DIPJ e Registros N630 e N670 da ECF de seus respectivos anos calendário. Por fim, a Sociedade respondeu que os créditos utilizados na Per/Dcomp são de, há mais de 5 anos. Créditos gerados há mais de 5 anos, de acordo com o Código Tributário Nacional não são passíveis de compensação, restituição ou ressarcimento, exceto, caso os créditos estejam em discussão judicial ou outras formas previstas em Lei específica.  Lembrando que os créditos só podem ser compensados enquanto estiver dentro do prazo prescricional de 5 anos. Se estiver em discussão judicial ou administrativa, o prazo é interrompido até a resolução da questão.</v>
      </c>
    </row>
  </sheetData>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1">
        <x14:dataValidation type="list" allowBlank="1" showInputMessage="1" showErrorMessage="1">
          <x14:formula1>
            <xm:f>'Matriz de respostas'!$B$4:$B$6</xm:f>
          </x14:formula1>
          <xm:sqref>D7:D16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I21"/>
  <sheetViews>
    <sheetView showGridLines="0" topLeftCell="B7" zoomScale="70" zoomScaleNormal="70" workbookViewId="0">
      <selection activeCell="G15" sqref="G15"/>
    </sheetView>
  </sheetViews>
  <sheetFormatPr defaultRowHeight="14.4" x14ac:dyDescent="0.3"/>
  <cols>
    <col min="1" max="1" width="2.88671875" customWidth="1"/>
    <col min="2" max="2" width="4.44140625" style="6" customWidth="1"/>
    <col min="3" max="3" width="74.77734375" style="6" customWidth="1"/>
    <col min="4" max="4" width="16.88671875" style="6" customWidth="1"/>
    <col min="5" max="5" width="21.44140625" style="6" customWidth="1"/>
    <col min="6" max="6" width="5.109375" customWidth="1"/>
    <col min="7" max="7" width="89" customWidth="1"/>
    <col min="8" max="8" width="84.33203125" customWidth="1"/>
    <col min="9" max="9" width="59.88671875" customWidth="1"/>
  </cols>
  <sheetData>
    <row r="5" spans="2:9" x14ac:dyDescent="0.3">
      <c r="B5" s="1" t="s">
        <v>495</v>
      </c>
      <c r="C5"/>
      <c r="D5"/>
      <c r="E5"/>
    </row>
    <row r="6" spans="2:9" ht="60" customHeight="1" x14ac:dyDescent="0.3">
      <c r="B6" s="2">
        <v>1</v>
      </c>
      <c r="C6" s="7" t="s">
        <v>475</v>
      </c>
      <c r="D6" s="3" t="s">
        <v>399</v>
      </c>
      <c r="E6"/>
      <c r="G6" s="9" t="str">
        <f>IF(D6="sim","A Sociedade informou que utiliza o benefício fiscal do PAT.",IF(D6="não","A Sociedade informou que não utiliza o benefício fiscal do PAT.",IF(D6="não sei dizer","Inconclusivo.")))</f>
        <v>A Sociedade informou que não utiliza o benefício fiscal do PAT.</v>
      </c>
      <c r="H6" s="9" t="str">
        <f>IF(G6="Inconclusivo.","A Sociedade não tem a informação necessária para responder a questão 1, de forma que não podemos opinar sobre.",CONCATENATE(G6," ","O Programa de Alimentação do Trabalhador (PAT) visa conceder às empresas cadastradas uma redução no valor dos 15% do IRPJ devido, com base em cálculos sobre a despesa de alimentação que determinam o valor da dedução."))</f>
        <v>A Sociedade informou que não utiliza o benefício fiscal do PAT. O Programa de Alimentação do Trabalhador (PAT) visa conceder às empresas cadastradas uma redução no valor dos 15% do IRPJ devido, com base em cálculos sobre a despesa de alimentação que determinam o valor da dedução.</v>
      </c>
    </row>
    <row r="7" spans="2:9" ht="57" customHeight="1" x14ac:dyDescent="0.3">
      <c r="B7" s="2">
        <f t="shared" ref="B7:B8" si="0">B6+1</f>
        <v>2</v>
      </c>
      <c r="C7" s="7" t="s">
        <v>476</v>
      </c>
      <c r="D7" s="3" t="s">
        <v>399</v>
      </c>
      <c r="E7" s="9" t="s">
        <v>477</v>
      </c>
      <c r="G7" s="9" t="str">
        <f>IF(D7="sim"," ",IF(D7="não","A Sociedade informou que não observa os limites de dedução do PAT no IRPJ devido.",IF(D7="não sei dizer","Inconclusivo.")))</f>
        <v>A Sociedade informou que não observa os limites de dedução do PAT no IRPJ devido.</v>
      </c>
      <c r="H7" s="9" t="str">
        <f>IF(G7="Inconclusivo.","A Sociedade não tem a informação necessária para responder a questão 2, de forma que não podemos opinar sobre.",CONCATENATE(G7," ","Atualmente, a dedução do PAT está limitado a 4% aplicado sobre os 15% do IRPJ devido, lembrando que os 4% de dedução não pode ser superior ao total das despesas com alimentação."))</f>
        <v>A Sociedade informou que não observa os limites de dedução do PAT no IRPJ devido. Atualmente, a dedução do PAT está limitado a 4% aplicado sobre os 15% do IRPJ devido, lembrando que os 4% de dedução não pode ser superior ao total das despesas com alimentação.</v>
      </c>
    </row>
    <row r="8" spans="2:9" ht="31.2" customHeight="1" x14ac:dyDescent="0.3">
      <c r="B8" s="2">
        <f t="shared" si="0"/>
        <v>3</v>
      </c>
      <c r="C8" s="7" t="s">
        <v>478</v>
      </c>
      <c r="D8" s="3" t="s">
        <v>398</v>
      </c>
      <c r="E8" s="9"/>
      <c r="G8" s="9" t="str">
        <f>IF(D8="sim"," ",IF(D8="não"," ",IF(D8="não sei dizer","Inconclusivo.")))</f>
        <v xml:space="preserve"> </v>
      </c>
      <c r="H8" s="9" t="str">
        <f>IF(G8="Inconclusivo.","A Sociedade não tem a informação necessária para responder a questão 3, de forma que não podemos opinar sobre.",CONCATENATE(G8," ","As empresas que possuem outros incentivos fiscais podem utilizá-los em conjunto para a dedução do IRPJ devido, obersvando os limites individuais e conjuntas, quando aplicável."))</f>
        <v xml:space="preserve">  As empresas que possuem outros incentivos fiscais podem utilizá-los em conjunto para a dedução do IRPJ devido, obersvando os limites individuais e conjuntas, quando aplicável.</v>
      </c>
    </row>
    <row r="9" spans="2:9" ht="28.8" x14ac:dyDescent="0.3">
      <c r="B9" s="69" t="s">
        <v>3</v>
      </c>
      <c r="C9" s="70" t="s">
        <v>479</v>
      </c>
      <c r="D9" s="3" t="s">
        <v>400</v>
      </c>
      <c r="E9" s="9" t="s">
        <v>480</v>
      </c>
      <c r="G9" t="str">
        <f>IF($D$8="não","desabilitar",IF($D$8="não sei dizer","desabilitar",IF($D$8="sim",IF(D9="sim","A Sociedade informou também que utiliza o benefício fiscal do FUNCAD.",IF(D9="não"," ",IF(D9="não sei dizer","inconclusivo"))))))</f>
        <v>inconclusivo</v>
      </c>
      <c r="H9" s="9" t="str">
        <f>IF(G9="desabilitar"," ",IF(G9="inconclusivo","A Sociedade não tem a informação necessária para responder a questão 3.a), de forma que não podemos opinar sobre.",G9))</f>
        <v>A Sociedade não tem a informação necessária para responder a questão 3.a), de forma que não podemos opinar sobre.</v>
      </c>
    </row>
    <row r="10" spans="2:9" ht="28.8" x14ac:dyDescent="0.3">
      <c r="B10" s="69" t="s">
        <v>9</v>
      </c>
      <c r="C10" s="70" t="s">
        <v>481</v>
      </c>
      <c r="D10" s="3" t="s">
        <v>400</v>
      </c>
      <c r="E10" s="9" t="s">
        <v>480</v>
      </c>
      <c r="G10" s="9" t="str">
        <f>IF($D$8="não","desabilitar",IF($D$8="não sei dizer","desabilitar",IF($D$8="sim",IF(D10="sim","A Sociedade informou também que utiliza o benefício fiscal do Fundo nacional, estadual e/ou municipal do idoso.",IF(D10="não"," ",IF(D10="não sei dizer","inconclusivo"))))))</f>
        <v>inconclusivo</v>
      </c>
      <c r="H10" s="9" t="str">
        <f>IF(G10="desabilitar"," ",IF(G10="inconclusivo","A Sociedade não tem a informação necessária para responder a questão 3.b), de forma que não podemos opinar sobre.",G10))</f>
        <v>A Sociedade não tem a informação necessária para responder a questão 3.b), de forma que não podemos opinar sobre.</v>
      </c>
      <c r="I10" s="9" t="str">
        <f>IF(D8="não"," ",IF(D9="sim",CONCATENATE(H9," ","e dos fundos do idoso, "),G10))</f>
        <v>inconclusivo</v>
      </c>
    </row>
    <row r="11" spans="2:9" ht="28.8" x14ac:dyDescent="0.3">
      <c r="B11" s="69" t="s">
        <v>10</v>
      </c>
      <c r="C11" s="70" t="s">
        <v>482</v>
      </c>
      <c r="D11" s="3" t="s">
        <v>398</v>
      </c>
      <c r="E11" s="9" t="s">
        <v>480</v>
      </c>
      <c r="G11" s="9" t="str">
        <f>IF($D$8="não","desabilitar",IF($D$8="não sei dizer","desabilitar",IF($D$8="sim",IF(D11="sim","A Sociedade informou também que utiliza o benefício fiscal referente as doações ou patrocínios ao PRONON, PRONAS/PCD.",IF(D11="não"," ",IF(D11="não sei dizer","inconclusivo"))))))</f>
        <v>A Sociedade informou também que utiliza o benefício fiscal referente as doações ou patrocínios ao PRONON, PRONAS/PCD.</v>
      </c>
      <c r="H11" s="9" t="str">
        <f>IF(G11="desabilitar"," ",IF(G11="inconclusivo","A Sociedade não tem a informação necessária para responder a questão 3.c), de forma que não podemos opinar sobre.",G11))</f>
        <v>A Sociedade informou também que utiliza o benefício fiscal referente as doações ou patrocínios ao PRONON, PRONAS/PCD.</v>
      </c>
      <c r="I11" s="9" t="e">
        <f>IF(D8="não"," ",IF(D9="SIM",IF(D10="sim",IF(D11="sim",CONCATENATE(I10," ","e das doações ou patrocínios ao PRONON e/ou PRONAS/PCD."),CONCATENATE(H9," ",e das doações ou patrocínios ao PRONON e/ou PRONAS/PCD.))))),IF(D10="não",IF(D11="sim",G11))</f>
        <v>#VALUE!</v>
      </c>
    </row>
    <row r="12" spans="2:9" ht="28.8" x14ac:dyDescent="0.3">
      <c r="B12" s="69" t="s">
        <v>11</v>
      </c>
      <c r="C12" s="70" t="s">
        <v>483</v>
      </c>
      <c r="D12" s="3" t="s">
        <v>398</v>
      </c>
      <c r="E12" s="9" t="s">
        <v>480</v>
      </c>
      <c r="G12" s="9" t="str">
        <f>IF($D$8="não","desabilitar",IF($D$8="não sei dizer","desabilitar",IF($D$8="sim",IF(D12="sim","A Sociedade informou também que utiliza o benefício fiscal referente as doações ou patrocínios a título de apoio a atividades culturais e artísticas.",IF(D12="não"," ",IF(D12="não sei dizer","inconclusivo"))))))</f>
        <v>A Sociedade informou também que utiliza o benefício fiscal referente as doações ou patrocínios a título de apoio a atividades culturais e artísticas.</v>
      </c>
      <c r="H12" s="9" t="str">
        <f>IF(G12="desabilitar"," ",IF(G12="inconclusivo","A Sociedade não tem a informação necessária para responder a questão 3.d), de forma que não podemos opinar sobre.",G12))</f>
        <v>A Sociedade informou também que utiliza o benefício fiscal referente as doações ou patrocínios a título de apoio a atividades culturais e artísticas.</v>
      </c>
    </row>
    <row r="13" spans="2:9" ht="28.8" x14ac:dyDescent="0.3">
      <c r="B13" s="69" t="s">
        <v>12</v>
      </c>
      <c r="C13" s="70" t="s">
        <v>484</v>
      </c>
      <c r="D13" s="3" t="s">
        <v>398</v>
      </c>
      <c r="E13" s="9" t="s">
        <v>485</v>
      </c>
      <c r="G13" s="9" t="str">
        <f>IF($D$8="não","desabilitar",IF($D$8="não sei dizer","desabilitar",IF($D$8="sim",IF(D13="sim","A Sociedade informou também que utiliza o benefício fiscal sobre as doações ou patrocínios a título de apoio a atividades audiovisuais.",IF(D13="não"," ",IF(D13="não sei dizer","inconclusivo"))))))</f>
        <v>A Sociedade informou também que utiliza o benefício fiscal sobre as doações ou patrocínios a título de apoio a atividades audiovisuais.</v>
      </c>
      <c r="H13" s="9" t="str">
        <f>IF(G13="desabilitar"," ",IF(G13="inconclusivo","A Sociedade não tem a informação necessária para responder a questão 3.e), de forma que não podemos opinar sobre.",G13))</f>
        <v>A Sociedade informou também que utiliza o benefício fiscal sobre as doações ou patrocínios a título de apoio a atividades audiovisuais.</v>
      </c>
    </row>
    <row r="14" spans="2:9" ht="72" x14ac:dyDescent="0.3">
      <c r="B14" s="69" t="s">
        <v>486</v>
      </c>
      <c r="C14" s="70" t="s">
        <v>487</v>
      </c>
      <c r="D14" s="3" t="s">
        <v>398</v>
      </c>
      <c r="E14" s="9" t="s">
        <v>488</v>
      </c>
      <c r="G14" s="9" t="str">
        <f>IF($D$8="não","desabilitar",IF($D$8="não sei dizer","desabilitar",IF($D$8="sim",IF(D14="sim","A Sociedade informou também que utiliza o benefício fiscal decorrente de investimentos, aos patrocínios e à aquisição de quotas de Funcines.",IF(D14="não"," ",IF(D14="não sei dizer","inconclusivo"))))))</f>
        <v>A Sociedade informou também que utiliza o benefício fiscal decorrente de investimentos, aos patrocínios e à aquisição de quotas de Funcines.</v>
      </c>
      <c r="H14" s="9" t="str">
        <f>IF(G14="desabilitar"," ",IF(G14="inconclusivo","A Sociedade não tem a informação necessária para responder a questão 3.f), de forma que não podemos opinar sobre.",G14))</f>
        <v>A Sociedade informou também que utiliza o benefício fiscal decorrente de investimentos, aos patrocínios e à aquisição de quotas de Funcines.</v>
      </c>
    </row>
    <row r="15" spans="2:9" ht="28.8" x14ac:dyDescent="0.3">
      <c r="B15" s="69" t="s">
        <v>489</v>
      </c>
      <c r="C15" s="70" t="s">
        <v>503</v>
      </c>
      <c r="D15" s="3" t="s">
        <v>398</v>
      </c>
      <c r="E15" s="9" t="s">
        <v>480</v>
      </c>
      <c r="G15" s="9" t="str">
        <f>IF($D$8="não","desabilitar",IF($D$8="não sei dizer","desabilitar",IF($D$8="sim",IF(D15="sim","A Sociedade informou também que utiliza o benefício fiscal sobre as doações e patrocínios realizados a título de apoio ao esporte.",IF(D15="não"," ",IF(D15="não sei dizer","inconclusivo"))))))</f>
        <v>A Sociedade informou também que utiliza o benefício fiscal sobre as doações e patrocínios realizados a título de apoio ao esporte.</v>
      </c>
      <c r="H15" s="9" t="str">
        <f>IF(G15="desabilitar"," ",IF(G15="inconclusivo","A Sociedade não tem a informação necessária para responder a questão 3.g), de forma que não podemos opinar sobre.",G15))</f>
        <v>A Sociedade informou também que utiliza o benefício fiscal sobre as doações e patrocínios realizados a título de apoio ao esporte.</v>
      </c>
    </row>
    <row r="16" spans="2:9" ht="28.8" x14ac:dyDescent="0.3">
      <c r="B16" s="69" t="s">
        <v>490</v>
      </c>
      <c r="C16" s="70" t="s">
        <v>491</v>
      </c>
      <c r="D16" s="3" t="s">
        <v>398</v>
      </c>
      <c r="E16" s="9" t="s">
        <v>492</v>
      </c>
      <c r="G16" s="9" t="str">
        <f>IF($D$8="não","desabilitar",IF($D$8="não sei dizer","desabilitar",IF($D$8="sim",IF(D16="sim","A Sociedade informou também que utiliza o benefício fiscal sobre à remuneração da empregada paga no período de prorrogação da licença-maternidade.",IF(D16="não"," ",IF(D16="não sei dizer","inconclusivo"))))))</f>
        <v>A Sociedade informou também que utiliza o benefício fiscal sobre à remuneração da empregada paga no período de prorrogação da licença-maternidade.</v>
      </c>
      <c r="H16" s="9" t="str">
        <f>IF(G16="desabilitar"," ",IF(G16="inconclusivo","A Sociedade não tem a informação necessária para responder a questão 3.h), de forma que não podemos opinar sobre.",G16))</f>
        <v>A Sociedade informou também que utiliza o benefício fiscal sobre à remuneração da empregada paga no período de prorrogação da licença-maternidade.</v>
      </c>
    </row>
    <row r="17" spans="2:8" ht="75" customHeight="1" x14ac:dyDescent="0.3">
      <c r="B17" s="2">
        <f>B8+1</f>
        <v>4</v>
      </c>
      <c r="C17" s="7" t="s">
        <v>493</v>
      </c>
      <c r="D17" s="3" t="s">
        <v>398</v>
      </c>
      <c r="E17"/>
      <c r="G17" s="9" t="str">
        <f>IF($D$8="não","desabilitar",IF($D$8="não sei dizer","desabilitar",IF($D$8="sim",IF(D17="sim","Todos os incentivos listados pela Sociedade estão sujeitas a limites individuais e em conjunto. De acordo com a Sociedade, todos os limites estão sendo respeitados.",IF(D17="não","Sugerimos rever os valores deduzidos do IRPJ, pois deduções a maior poderão ocasionar recolhimento da diferença com acréscimo moratório de multa e juros desde o período em que a diferença foi apurada.",IF(D17="não sei dizer","inconclusivo"))))))</f>
        <v>Todos os incentivos listados pela Sociedade estão sujeitas a limites individuais e em conjunto. De acordo com a Sociedade, todos os limites estão sendo respeitados.</v>
      </c>
      <c r="H17" s="9" t="str">
        <f>IF(G17="desabilitar"," ",IF(G17="Inconclusivo.","A Sociedade não tem a informação necessária para responder a questão 4, de forma que não podemos opinar sobre.",CONCATENATE(G17," ","A IN SRF 267/2002 fixa os limites de dedução de diversos incentivos fiscais, bem como a Lei 12.715/2012 estabelece normas para o incentivo fiscal do PRONON PRONAS/PCD. Sugerimos avaliar os normativos e averiguar se os limites utilizados estão de acordo.")))</f>
        <v>Todos os incentivos listados pela Sociedade estão sujeitas a limites individuais e em conjunto. De acordo com a Sociedade, todos os limites estão sendo respeitados. A IN SRF 267/2002 fixa os limites de dedução de diversos incentivos fiscais, bem como a Lei 12.715/2012 estabelece normas para o incentivo fiscal do PRONON PRONAS/PCD. Sugerimos avaliar os normativos e averiguar se os limites utilizados estão de acordo.</v>
      </c>
    </row>
    <row r="18" spans="2:8" ht="57.6" x14ac:dyDescent="0.3">
      <c r="B18" s="2">
        <f t="shared" ref="B18" si="1">B17+1</f>
        <v>5</v>
      </c>
      <c r="C18" s="7" t="s">
        <v>494</v>
      </c>
      <c r="D18" s="3" t="s">
        <v>398</v>
      </c>
      <c r="E18"/>
      <c r="G18" s="9" t="str">
        <f>IF($D$8="não","desabilitar",IF($D$8="não sei dizer","desabilitar",IF($D$8="sim",IF(D18="sim","Além disso, todas as despesas com doações, patrocínios e demais despesas com incentivos aqui listadas devem ser adicionados na base de cálculo do Lucro Real.",IF(D18="não","Ainda, a Sociedade informou que não adiciona as despesas com doações e patrocínios relacionadas com os incentivos utilizados e listados pela Sociedade.",IF(D18="não sei dizer","inconclusivo"))))))</f>
        <v>Além disso, todas as despesas com doações, patrocínios e demais despesas com incentivos aqui listadas devem ser adicionados na base de cálculo do Lucro Real.</v>
      </c>
      <c r="H18" s="9" t="str">
        <f>IF(G17="desabilitar"," ",IF(G18="Inconclusivo.","A Sociedade não tem a informação necessária para responder a questão 4, de forma que não podemos opinar sobre.",CONCATENATE(G18," ","A premissa básica da fruição do benefício fiscal das doações e patrocínios aqui listados na redução do valor do IRPJ devido é a adição integral das despesas no período em que ocorreram.")))</f>
        <v>Além disso, todas as despesas com doações, patrocínios e demais despesas com incentivos aqui listadas devem ser adicionados na base de cálculo do Lucro Real. A premissa básica da fruição do benefício fiscal das doações e patrocínios aqui listados na redução do valor do IRPJ devido é a adição integral das despesas no período em que ocorreram.</v>
      </c>
    </row>
    <row r="19" spans="2:8" x14ac:dyDescent="0.3">
      <c r="H19" s="9"/>
    </row>
    <row r="20" spans="2:8" x14ac:dyDescent="0.3">
      <c r="G20" s="61" t="s">
        <v>396</v>
      </c>
    </row>
    <row r="21" spans="2:8" ht="400.8" customHeight="1" x14ac:dyDescent="0.3">
      <c r="G21" s="62" t="str">
        <f>CONCATENATE(H6," ",H7," ",H8," ",H9,H10," ",H11," ",H12," ",H13," ",H14," ",H15," ",H16," ",H17," ",H18)</f>
        <v>A Sociedade informou que não utiliza o benefício fiscal do PAT. O Programa de Alimentação do Trabalhador (PAT) visa conceder às empresas cadastradas uma redução no valor dos 15% do IRPJ devido, com base em cálculos sobre a despesa de alimentação que determinam o valor da dedução. A Sociedade informou que não observa os limites de dedução do PAT no IRPJ devido. Atualmente, a dedução do PAT está limitado a 4% aplicado sobre os 15% do IRPJ devido, lembrando que os 4% de dedução não pode ser superior ao total das despesas com alimentação.   As empresas que possuem outros incentivos fiscais podem utilizá-los em conjunto para a dedução do IRPJ devido, obersvando os limites individuais e conjuntas, quando aplicável. A Sociedade não tem a informação necessária para responder a questão 3.a), de forma que não podemos opinar sobre.A Sociedade não tem a informação necessária para responder a questão 3.b), de forma que não podemos opinar sobre. A Sociedade informou também que utiliza o benefício fiscal referente as doações ou patrocínios ao PRONON, PRONAS/PCD. A Sociedade informou também que utiliza o benefício fiscal referente as doações ou patrocínios a título de apoio a atividades culturais e artísticas. A Sociedade informou também que utiliza o benefício fiscal sobre as doações ou patrocínios a título de apoio a atividades audiovisuais. A Sociedade informou também que utiliza o benefício fiscal decorrente de investimentos, aos patrocínios e à aquisição de quotas de Funcines. A Sociedade informou também que utiliza o benefício fiscal sobre as doações e patrocínios realizados a título de apoio ao esporte. A Sociedade informou também que utiliza o benefício fiscal sobre à remuneração da empregada paga no período de prorrogação da licença-maternidade. Todos os incentivos listados pela Sociedade estão sujeitas a limites individuais e em conjunto. De acordo com a Sociedade, todos os limites estão sendo respeitados. A IN SRF 267/2002 fixa os limites de dedução de diversos incentivos fiscais, bem como a Lei 12.715/2012 estabelece normas para o incentivo fiscal do PRONON PRONAS/PCD. Sugerimos avaliar os normativos e averiguar se os limites utilizados estão de acordo. Além disso, todas as despesas com doações, patrocínios e demais despesas com incentivos aqui listadas devem ser adicionados na base de cálculo do Lucro Real. A premissa básica da fruição do benefício fiscal das doações e patrocínios aqui listados na redução do valor do IRPJ devido é a adição integral das despesas no período em que ocorreram.</v>
      </c>
    </row>
  </sheetData>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1">
        <x14:dataValidation type="list" allowBlank="1" showInputMessage="1" showErrorMessage="1">
          <x14:formula1>
            <xm:f>'Matriz de respostas'!$B$4:$B$6</xm:f>
          </x14:formula1>
          <xm:sqref>D6:D18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16"/>
  <sheetViews>
    <sheetView showGridLines="0" topLeftCell="A7" zoomScale="70" zoomScaleNormal="70" workbookViewId="0">
      <selection activeCell="F13" sqref="F13"/>
    </sheetView>
  </sheetViews>
  <sheetFormatPr defaultRowHeight="14.4" x14ac:dyDescent="0.3"/>
  <cols>
    <col min="1" max="1" width="2.88671875" customWidth="1"/>
    <col min="2" max="2" width="4.44140625" style="6" customWidth="1"/>
    <col min="3" max="3" width="74.77734375" style="6" customWidth="1"/>
    <col min="4" max="4" width="16.88671875" style="6" customWidth="1"/>
    <col min="5" max="5" width="4.33203125" style="6" customWidth="1"/>
    <col min="6" max="6" width="114.33203125" customWidth="1"/>
    <col min="7" max="7" width="87.6640625" customWidth="1"/>
  </cols>
  <sheetData>
    <row r="5" spans="2:7" x14ac:dyDescent="0.3">
      <c r="B5" s="1" t="s">
        <v>501</v>
      </c>
      <c r="C5"/>
      <c r="D5"/>
      <c r="E5"/>
    </row>
    <row r="6" spans="2:7" ht="58.2" customHeight="1" x14ac:dyDescent="0.3">
      <c r="B6" s="2">
        <v>1</v>
      </c>
      <c r="C6" s="7" t="s">
        <v>496</v>
      </c>
      <c r="D6" s="3" t="s">
        <v>398</v>
      </c>
      <c r="F6" s="9" t="str">
        <f>IF(D6="sim","A Sociedade informou que utiliza o benefício fiscal do cálculo do Lucro da Exploração.",IF(D6="não","A Sociedade informou que não utiliza o benefício fiscal do cálculo do Lucro da Exploração.",IF(D6="não sei dizer","Inconclusivo.")))</f>
        <v>A Sociedade informou que utiliza o benefício fiscal do cálculo do Lucro da Exploração.</v>
      </c>
      <c r="G6" s="9" t="str">
        <f>IF(F6="Inconclusivo.","A Sociedade não tem a informação necessária para responder a questão 1, de forma que não podemos opinar sobre.",CONCATENATE(F6," ","O cálculo do Lucro da Exploração é um incentivo fiscal aplicado a eterminado tipo de produção das empresas que implantaram empreendimentos em zonas consideradas prioritárias pelo Governo para expansão industrial."))</f>
        <v>A Sociedade informou que utiliza o benefício fiscal do cálculo do Lucro da Exploração. O cálculo do Lucro da Exploração é um incentivo fiscal aplicado a eterminado tipo de produção das empresas que implantaram empreendimentos em zonas consideradas prioritárias pelo Governo para expansão industrial.</v>
      </c>
    </row>
    <row r="7" spans="2:7" ht="84.6" customHeight="1" x14ac:dyDescent="0.3">
      <c r="B7" s="2">
        <f t="shared" ref="B7:B13" si="0">B6+1</f>
        <v>2</v>
      </c>
      <c r="C7" s="7" t="s">
        <v>497</v>
      </c>
      <c r="D7" s="3" t="s">
        <v>398</v>
      </c>
      <c r="F7" s="9" t="str">
        <f>IF(D7="sim","A fruição do benefício por parte da Sociedade está suportada por laudo constitutivo expedido pelo órgão competente.",IF(D7="não","A fruição do benefício por parte da Sociedade não está suportada por laudo constitutivo expedido pelo órgão competente. Nesse  cenário, a Sociedade corre o risco de ser questionada pelas autoridades fiscais.",IF(D7="não sei dizer","Inconclusivo.")))</f>
        <v>A fruição do benefício por parte da Sociedade está suportada por laudo constitutivo expedido pelo órgão competente.</v>
      </c>
      <c r="G7" s="9" t="str">
        <f>IF(F7="Inconclusivo.","A Sociedade não tem a informação necessária para responder a questão 2, de forma que não podemos opinar sobre.",CONCATENATE(F7," ","O laudo constitutivo é o fator chave para a fruição do benefício, pois nela consta quais atividades serão incentivadas, o local de abrangência, o percentual de redução ou isenção, dentre outras informações relevantes."))</f>
        <v>A fruição do benefício por parte da Sociedade está suportada por laudo constitutivo expedido pelo órgão competente. O laudo constitutivo é o fator chave para a fruição do benefício, pois nela consta quais atividades serão incentivadas, o local de abrangência, o percentual de redução ou isenção, dentre outras informações relevantes.</v>
      </c>
    </row>
    <row r="8" spans="2:7" ht="84.6" customHeight="1" x14ac:dyDescent="0.3">
      <c r="B8" s="2">
        <f t="shared" si="0"/>
        <v>3</v>
      </c>
      <c r="C8" s="7" t="s">
        <v>506</v>
      </c>
      <c r="D8" s="3" t="s">
        <v>398</v>
      </c>
      <c r="F8" s="9" t="str">
        <f>IF(D7="não","desabilitar",IF(D7="não sei dizer","desabilitar",IF(D8="sim","Cumpre informar que o laudo constitutivo está dentro do prazo fixado para fruição do benefício fiscal do cálculo do Lucro da Exploração.",IF(D8="não","Cumpre informar que o laudo constitutivo não está dentro do prazo fixado para fruição do benefício fiscal do cálculo do Lucro da Exploração. Sugerimos rever o exposto pois a Sociedade corre o risco de estar deduzindo parte do IRPJ indevidamente.",IF(D8="não sei dizer","Inconclusivo.")))))</f>
        <v>Cumpre informar que o laudo constitutivo está dentro do prazo fixado para fruição do benefício fiscal do cálculo do Lucro da Exploração.</v>
      </c>
      <c r="G8" s="9" t="str">
        <f>IF(F8="Inconclusivo.","A Sociedade não tem a informação necessária para responder a questão 3, de forma que não podemos opinar sobre.",CONCATENATE(F8," ","Sempre é importante checar se o laudo ainda está dentro do prazo. Caso esteja próximo de vencer, sugerimos que a Sociedade averigue a possiblidade de renovação."))</f>
        <v>Cumpre informar que o laudo constitutivo está dentro do prazo fixado para fruição do benefício fiscal do cálculo do Lucro da Exploração. Sempre é importante checar se o laudo ainda está dentro do prazo. Caso esteja próximo de vencer, sugerimos que a Sociedade averigue a possiblidade de renovação.</v>
      </c>
    </row>
    <row r="9" spans="2:7" ht="87.6" customHeight="1" x14ac:dyDescent="0.3">
      <c r="B9" s="2">
        <f t="shared" si="0"/>
        <v>4</v>
      </c>
      <c r="C9" s="7" t="s">
        <v>504</v>
      </c>
      <c r="D9" s="3" t="s">
        <v>399</v>
      </c>
      <c r="F9" s="9" t="str">
        <f>IF(D9="sim","Continuando, a Sociedade informou que segrega na contabilidade os resultados incentivados e não incentivados, como, custos, receitas, despesas e receitas financeiras e o que mais for aplicável.",IF(D9="não","Continuando, a Sociedade informou que não segrega na contabilidade os resultados incentivados e não incentivados, como, custos, receitas, despesas e receitas financeiras e o que mais for aplicável.",IF(D9="não sei dizer","Inconclusivo.")))</f>
        <v>Continuando, a Sociedade informou que não segrega na contabilidade os resultados incentivados e não incentivados, como, custos, receitas, despesas e receitas financeiras e o que mais for aplicável.</v>
      </c>
      <c r="G9" s="9" t="str">
        <f>IF(F9="Inconclusivo.","A Sociedade não tem a informação necessária para responder a questão 4, de forma que não podemos opinar sobre.",CONCATENATE(F9," ","Apesar de não ser obrigatório, efetuar a segregação contábil dos resultados incentivados dos não incentivados facilitará à Sociedade compor o cálculo do Lucro da Exploração e, em seguida, o valor correto do benefício."))</f>
        <v>Continuando, a Sociedade informou que não segrega na contabilidade os resultados incentivados e não incentivados, como, custos, receitas, despesas e receitas financeiras e o que mais for aplicável. Apesar de não ser obrigatório, efetuar a segregação contábil dos resultados incentivados dos não incentivados facilitará à Sociedade compor o cálculo do Lucro da Exploração e, em seguida, o valor correto do benefício.</v>
      </c>
    </row>
    <row r="10" spans="2:7" ht="87.6" customHeight="1" x14ac:dyDescent="0.3">
      <c r="B10" s="2">
        <f t="shared" si="0"/>
        <v>5</v>
      </c>
      <c r="C10" s="7" t="s">
        <v>498</v>
      </c>
      <c r="D10" s="3" t="s">
        <v>398</v>
      </c>
      <c r="F10" s="9" t="str">
        <f>IF(D10="sim","Além disso, a Sociedade respondeu que mantém controles que possibilitam calcular os limites de produção e segregar as atividades incentivadas de acordo com seus limites individuais.",IF(D10="não","Continuando, a Sociedade informou que não segrega na contabilidade os resultados incentivados e não incentivados, como, custos, receitas, despesas e receitas financeiras e o que mais for aplicável.",IF(D10="não sei dizer","Inconclusivo.")))</f>
        <v>Além disso, a Sociedade respondeu que mantém controles que possibilitam calcular os limites de produção e segregar as atividades incentivadas de acordo com seus limites individuais.</v>
      </c>
      <c r="G10" s="9" t="str">
        <f>IF(F10="Inconclusivo.","A Sociedade não tem a informação necessária para responder a questão 5, de forma que não podemos opinar sobre.",CONCATENATE(F10," ","O laudo constitutivo informa todas as atividades em que a empresa estará abrangida pelo incentivo. Caso hajam várias atividades incentivadas é necessário que a Sociedade controle individualmente os limites de produção e resultados incentivados."))</f>
        <v>Além disso, a Sociedade respondeu que mantém controles que possibilitam calcular os limites de produção e segregar as atividades incentivadas de acordo com seus limites individuais. O laudo constitutivo informa todas as atividades em que a empresa estará abrangida pelo incentivo. Caso hajam várias atividades incentivadas é necessário que a Sociedade controle individualmente os limites de produção e resultados incentivados.</v>
      </c>
    </row>
    <row r="11" spans="2:7" ht="72" x14ac:dyDescent="0.3">
      <c r="B11" s="2">
        <f t="shared" si="0"/>
        <v>6</v>
      </c>
      <c r="C11" s="7" t="s">
        <v>499</v>
      </c>
      <c r="D11" s="3" t="s">
        <v>398</v>
      </c>
      <c r="F11" s="9" t="str">
        <f>IF(D11="sim","Além disso, a Sociedade respondeu que mantém controles que possibilitam calcular os limites de produção e segregar as atividades incentivadas de acordo com seus limites individuais.",IF(D11="não","Continuando, a Sociedade informou que não segrega na contabilidade os resultados incentivados e não incentivados, como, custos, receitas, despesas e receitas financeiras e o que mais for aplicável.",IF(D11="não sei dizer","Inconclusivo.")))</f>
        <v>Além disso, a Sociedade respondeu que mantém controles que possibilitam calcular os limites de produção e segregar as atividades incentivadas de acordo com seus limites individuais.</v>
      </c>
      <c r="G11" s="9" t="str">
        <f>IF(F11="Inconclusivo.","A Sociedade não tem a informação necessária para responder a questão 6, de forma que não podemos opinar sobre.",CONCATENATE(F11," ","O laudo constitutivo é o fator chave para a fruição do benefício, pois nela consta quais atividades serão incentivadas, o local de abrangência, o percentual de redução ou isenção, dentre outras informações relevantes."))</f>
        <v>Além disso, a Sociedade respondeu que mantém controles que possibilitam calcular os limites de produção e segregar as atividades incentivadas de acordo com seus limites individuais. O laudo constitutivo é o fator chave para a fruição do benefício, pois nela consta quais atividades serão incentivadas, o local de abrangência, o percentual de redução ou isenção, dentre outras informações relevantes.</v>
      </c>
    </row>
    <row r="12" spans="2:7" ht="43.2" x14ac:dyDescent="0.3">
      <c r="B12" s="2">
        <f t="shared" si="0"/>
        <v>7</v>
      </c>
      <c r="C12" s="7" t="s">
        <v>500</v>
      </c>
      <c r="D12" s="3" t="s">
        <v>399</v>
      </c>
      <c r="F12" s="9" t="str">
        <f>IF(D12="sim","A Sociedade respondeu que utiliza o benefício fiscal do Lucro da Exploração referente ao PROUNI.",IF(D12="não","A Sociedade respondeu que não utiliza o benefício fiscal do Lucro da Exploração referente ao PROUNI.",IF(D12="não sei dizer","Inconclusivo.")))</f>
        <v>A Sociedade respondeu que não utiliza o benefício fiscal do Lucro da Exploração referente ao PROUNI.</v>
      </c>
      <c r="G12" s="9" t="str">
        <f>IF(F12="Inconclusivo.","A Sociedade não tem a informação necessária para responder a questão 7, de forma que não podemos opinar sobre.",CONCATENATE(F12," ","O PROUNI também está abrangido pelo benefício fiscal do Lucro da Exploração com metodologias de cálculo e redução do imposto devido e de contribuições devida de forma diferente do tradicional."))</f>
        <v>A Sociedade respondeu que não utiliza o benefício fiscal do Lucro da Exploração referente ao PROUNI. O PROUNI também está abrangido pelo benefício fiscal do Lucro da Exploração com metodologias de cálculo e redução do imposto devido e de contribuições devida de forma diferente do tradicional.</v>
      </c>
    </row>
    <row r="13" spans="2:7" ht="61.2" customHeight="1" x14ac:dyDescent="0.3">
      <c r="B13" s="2">
        <f t="shared" si="0"/>
        <v>8</v>
      </c>
      <c r="C13" s="7" t="s">
        <v>505</v>
      </c>
      <c r="D13" s="3" t="s">
        <v>399</v>
      </c>
      <c r="F13" s="9" t="str">
        <f>IF(D12="não","desabilitar",IF(D13="sim","Cumpre mencionar que a Sociedade observa os critérios de cálculo proporcional de ocupação efetiva.",IF(D13="não","Cumpre mencionar que a Sociedade não observa os critérios de cálculo proporcional de ocupação efetiva. Sugerimos rever o exposto pois a Sociedade corre o risco de não estar utilizando o benefício fiscal da maneira correta.",IF(D13="não sei dizer","Inconclusivo."))))</f>
        <v>desabilitar</v>
      </c>
      <c r="G13" s="9" t="str">
        <f>IF(F13="desabilitar"," ",IF(F13="Inconclusivo.","A Sociedade não tem a informação necessária para responder a questão 8, de forma que não podemos opinar sobre.",CONCATENATE(F13," ","Dentre outros critérios, o Fisco determina a metodologia de cálculo chamado POEB, que visa identificar a taxa média de ocupação de alunos de acordo com as bolsas distribuídas.")))</f>
        <v xml:space="preserve"> </v>
      </c>
    </row>
    <row r="15" spans="2:7" x14ac:dyDescent="0.3">
      <c r="F15" s="61" t="s">
        <v>396</v>
      </c>
    </row>
    <row r="16" spans="2:7" ht="308.39999999999998" customHeight="1" x14ac:dyDescent="0.3">
      <c r="F16" s="62" t="str">
        <f>CONCATENATE(G6," ",G7," ",G9," ",G10," ",G11," ",G12," ",G13)</f>
        <v xml:space="preserve">A Sociedade informou que utiliza o benefício fiscal do cálculo do Lucro da Exploração. O cálculo do Lucro da Exploração é um incentivo fiscal aplicado a eterminado tipo de produção das empresas que implantaram empreendimentos em zonas consideradas prioritárias pelo Governo para expansão industrial. A fruição do benefício por parte da Sociedade está suportada por laudo constitutivo expedido pelo órgão competente. O laudo constitutivo é o fator chave para a fruição do benefício, pois nela consta quais atividades serão incentivadas, o local de abrangência, o percentual de redução ou isenção, dentre outras informações relevantes. Continuando, a Sociedade informou que não segrega na contabilidade os resultados incentivados e não incentivados, como, custos, receitas, despesas e receitas financeiras e o que mais for aplicável. Apesar de não ser obrigatório, efetuar a segregação contábil dos resultados incentivados dos não incentivados facilitará à Sociedade compor o cálculo do Lucro da Exploração e, em seguida, o valor correto do benefício. Além disso, a Sociedade respondeu que mantém controles que possibilitam calcular os limites de produção e segregar as atividades incentivadas de acordo com seus limites individuais. O laudo constitutivo informa todas as atividades em que a empresa estará abrangida pelo incentivo. Caso hajam várias atividades incentivadas é necessário que a Sociedade controle individualmente os limites de produção e resultados incentivados. Além disso, a Sociedade respondeu que mantém controles que possibilitam calcular os limites de produção e segregar as atividades incentivadas de acordo com seus limites individuais. O laudo constitutivo é o fator chave para a fruição do benefício, pois nela consta quais atividades serão incentivadas, o local de abrangência, o percentual de redução ou isenção, dentre outras informações relevantes. A Sociedade respondeu que não utiliza o benefício fiscal do Lucro da Exploração referente ao PROUNI. O PROUNI também está abrangido pelo benefício fiscal do Lucro da Exploração com metodologias de cálculo e redução do imposto devido e de contribuições devida de forma diferente do tradicional.  </v>
      </c>
    </row>
  </sheetData>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1">
        <x14:dataValidation type="list" allowBlank="1" showInputMessage="1" showErrorMessage="1">
          <x14:formula1>
            <xm:f>'Matriz de respostas'!$B$4:$B$6</xm:f>
          </x14:formula1>
          <xm:sqref>D6:D13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Planilha1</vt:lpstr>
      <vt:lpstr>Questionário - Lucro Real</vt:lpstr>
      <vt:lpstr>Questionário - Provisões tempor</vt:lpstr>
      <vt:lpstr>Questionário - Lei 12973</vt:lpstr>
      <vt:lpstr>Taxas de depreciação</vt:lpstr>
      <vt:lpstr>Planilha4</vt:lpstr>
      <vt:lpstr>Obrigações Assessórias</vt:lpstr>
      <vt:lpstr>Benefícios Fiscais</vt:lpstr>
      <vt:lpstr>Lucro da Exploração</vt:lpstr>
      <vt:lpstr>Matriz de respostas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 Diniz</dc:creator>
  <cp:lastModifiedBy>Leandro Diniz</cp:lastModifiedBy>
  <cp:lastPrinted>2017-06-20T22:13:04Z</cp:lastPrinted>
  <dcterms:created xsi:type="dcterms:W3CDTF">2017-06-20T20:24:42Z</dcterms:created>
  <dcterms:modified xsi:type="dcterms:W3CDTF">2017-07-26T19:08:59Z</dcterms:modified>
</cp:coreProperties>
</file>