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Works &amp; Services\Solid Waste\Diversion\Stewardship Programs - EPR\MARR\General\Metal Tonnage Tracking\"/>
    </mc:Choice>
  </mc:AlternateContent>
  <xr:revisionPtr revIDLastSave="0" documentId="13_ncr:1_{4BF78FC3-80D1-4AD0-843B-3A53C91EC18E}" xr6:coauthVersionLast="47" xr6:coauthVersionMax="47" xr10:uidLastSave="{00000000-0000-0000-0000-000000000000}"/>
  <bookViews>
    <workbookView xWindow="27270" yWindow="-16380" windowWidth="29040" windowHeight="15840" firstSheet="1" activeTab="1" xr2:uid="{17D5F3DD-9E9B-43C1-AD97-81F8A0294806}"/>
  </bookViews>
  <sheets>
    <sheet name="2020" sheetId="1" r:id="rId1"/>
    <sheet name="202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C8" i="2"/>
  <c r="AJ23" i="2"/>
  <c r="AK23" i="2"/>
  <c r="AM23" i="2"/>
  <c r="AL23" i="2"/>
  <c r="C5" i="2"/>
  <c r="AU25" i="2"/>
  <c r="AR25" i="2"/>
  <c r="AS25" i="2"/>
  <c r="AT25" i="2"/>
  <c r="C4" i="2"/>
  <c r="I20" i="2"/>
  <c r="I21" i="2"/>
  <c r="AS22" i="2"/>
  <c r="AT22" i="2" s="1"/>
  <c r="AS23" i="2"/>
  <c r="AT23" i="2" s="1"/>
  <c r="AS24" i="2"/>
  <c r="AT24" i="2" s="1"/>
  <c r="AS21" i="2"/>
  <c r="AR21" i="2"/>
  <c r="AR22" i="2"/>
  <c r="AR23" i="2"/>
  <c r="AR24" i="2"/>
  <c r="AZ35" i="2"/>
  <c r="AS17" i="2"/>
  <c r="AK20" i="2"/>
  <c r="AL20" i="2" s="1"/>
  <c r="AK21" i="2"/>
  <c r="AL21" i="2" s="1"/>
  <c r="AK22" i="2"/>
  <c r="AK19" i="2"/>
  <c r="AJ19" i="2"/>
  <c r="AJ20" i="2"/>
  <c r="AJ21" i="2"/>
  <c r="AJ22" i="2"/>
  <c r="AK17" i="2"/>
  <c r="AB22" i="2"/>
  <c r="AC23" i="2"/>
  <c r="AD23" i="2" s="1"/>
  <c r="AC24" i="2"/>
  <c r="AD24" i="2" s="1"/>
  <c r="AC22" i="2"/>
  <c r="AD22" i="2" s="1"/>
  <c r="AB23" i="2"/>
  <c r="AB24" i="2"/>
  <c r="AB25" i="2"/>
  <c r="U85" i="2"/>
  <c r="P69" i="2"/>
  <c r="P70" i="2"/>
  <c r="P71" i="2"/>
  <c r="N69" i="2"/>
  <c r="N70" i="2"/>
  <c r="N71" i="2"/>
  <c r="N72" i="2"/>
  <c r="I41" i="2"/>
  <c r="J41" i="2" s="1"/>
  <c r="I42" i="2"/>
  <c r="G43" i="2"/>
  <c r="G41" i="2"/>
  <c r="G42" i="2"/>
  <c r="G40" i="2"/>
  <c r="BA36" i="2"/>
  <c r="BA37" i="2"/>
  <c r="BA35" i="2"/>
  <c r="BB36" i="2"/>
  <c r="BB37" i="2"/>
  <c r="AZ36" i="2"/>
  <c r="AZ37" i="2"/>
  <c r="AZ38" i="2"/>
  <c r="AZ6" i="2"/>
  <c r="AZ7" i="2"/>
  <c r="AZ8" i="2"/>
  <c r="AZ5" i="2"/>
  <c r="AX31" i="2"/>
  <c r="AD8" i="2"/>
  <c r="AD7" i="2"/>
  <c r="V87" i="2"/>
  <c r="W87" i="2" s="1"/>
  <c r="W67" i="2"/>
  <c r="W68" i="2"/>
  <c r="W69" i="2"/>
  <c r="W70" i="2"/>
  <c r="W71" i="2"/>
  <c r="W72" i="2"/>
  <c r="W73" i="2"/>
  <c r="W74" i="2"/>
  <c r="W75" i="2"/>
  <c r="W66" i="2"/>
  <c r="V85" i="2"/>
  <c r="V86" i="2"/>
  <c r="W86" i="2" s="1"/>
  <c r="U86" i="2"/>
  <c r="U87" i="2"/>
  <c r="U88" i="2"/>
  <c r="N63" i="2"/>
  <c r="I5" i="2"/>
  <c r="I40" i="2" s="1"/>
  <c r="G31" i="2"/>
  <c r="H41" i="2"/>
  <c r="P45" i="2"/>
  <c r="P46" i="2"/>
  <c r="P47" i="2"/>
  <c r="P48" i="2"/>
  <c r="P72" i="2" s="1"/>
  <c r="P44" i="2"/>
  <c r="I43" i="2"/>
  <c r="Q70" i="2"/>
  <c r="Q71" i="2"/>
  <c r="I32" i="1"/>
  <c r="I31" i="1"/>
  <c r="AT21" i="2" l="1"/>
  <c r="AL22" i="2"/>
  <c r="BB38" i="2"/>
  <c r="BB39" i="2" s="1"/>
  <c r="BA38" i="2"/>
  <c r="BA39" i="2" s="1"/>
  <c r="AC25" i="2"/>
  <c r="AD25" i="2" s="1"/>
  <c r="AZ31" i="2"/>
  <c r="AL19" i="2"/>
  <c r="AZ39" i="2"/>
  <c r="AD17" i="2"/>
  <c r="V88" i="2"/>
  <c r="AB26" i="2"/>
  <c r="J43" i="2"/>
  <c r="P63" i="2"/>
  <c r="O69" i="2" s="1"/>
  <c r="I31" i="2"/>
  <c r="J40" i="2"/>
  <c r="J42" i="2"/>
  <c r="H40" i="2"/>
  <c r="H44" i="2" s="1"/>
  <c r="AQ18" i="2"/>
  <c r="AI17" i="2"/>
  <c r="AB17" i="2"/>
  <c r="U89" i="2"/>
  <c r="N72" i="1"/>
  <c r="O72" i="1"/>
  <c r="N65" i="1"/>
  <c r="T81" i="1"/>
  <c r="U81" i="1" s="1"/>
  <c r="AL27" i="1"/>
  <c r="AO27" i="1"/>
  <c r="AM27" i="1"/>
  <c r="AI27" i="1"/>
  <c r="AG27" i="1"/>
  <c r="AF27" i="1"/>
  <c r="AF17" i="1"/>
  <c r="Z17" i="1"/>
  <c r="Q73" i="1"/>
  <c r="T82" i="1"/>
  <c r="W82" i="1"/>
  <c r="AA28" i="1"/>
  <c r="AA27" i="1"/>
  <c r="Z29" i="1"/>
  <c r="AC29" i="1"/>
  <c r="K34" i="1"/>
  <c r="H32" i="1"/>
  <c r="AC26" i="2" l="1"/>
  <c r="V89" i="2"/>
  <c r="W88" i="2"/>
  <c r="O72" i="2"/>
  <c r="O73" i="2" s="1"/>
  <c r="N73" i="2"/>
  <c r="Q72" i="2"/>
  <c r="G44" i="2"/>
  <c r="AA29" i="1"/>
  <c r="U82" i="1"/>
  <c r="I34" i="1"/>
  <c r="H34" i="1"/>
  <c r="Q69" i="2" l="1"/>
  <c r="Q73" i="2" s="1"/>
  <c r="C6" i="2" s="1"/>
  <c r="J44" i="2"/>
  <c r="C7" i="2" s="1"/>
  <c r="I44" i="2"/>
  <c r="AL18" i="1"/>
  <c r="AF19" i="1"/>
  <c r="P73" i="2" l="1"/>
  <c r="N63" i="1"/>
  <c r="T75" i="1"/>
  <c r="H21" i="1" l="1"/>
  <c r="W85" i="2" l="1"/>
  <c r="AD26" i="2" l="1"/>
  <c r="W8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Hannah Shinton</author>
  </authors>
  <commentList>
    <comment ref="C13" authorId="0" shapeId="0" xr:uid="{7265CCCA-7328-483C-89AD-ED9CB195FD17}">
      <text>
        <r>
          <rPr>
            <b/>
            <sz val="9"/>
            <color indexed="81"/>
            <rFont val="Tahoma"/>
            <family val="2"/>
          </rPr>
          <t>Hannah Shinton:</t>
        </r>
        <r>
          <rPr>
            <sz val="9"/>
            <color indexed="81"/>
            <rFont val="Tahoma"/>
            <family val="2"/>
          </rPr>
          <t xml:space="preserve">
For the first two quarters I was using a conversion equivalency for a "long ton" while it should have been for a "short ton" also known as a "Net Ton" as listed on the receipts from ABC. I was not aware there were two different variations of the imperial ton unit.
I have since updates the conversion factors. Please refer to previous versions for first two quarters orignal masses. </t>
        </r>
      </text>
    </comment>
    <comment ref="J46" authorId="0" shapeId="0" xr:uid="{2B7B2E78-44E0-4B27-9D87-B36F1896B9DB}">
      <text>
        <r>
          <rPr>
            <b/>
            <sz val="9"/>
            <color indexed="81"/>
            <rFont val="Tahoma"/>
            <family val="2"/>
          </rPr>
          <t>Hannah Shinton:</t>
        </r>
        <r>
          <rPr>
            <sz val="9"/>
            <color indexed="81"/>
            <rFont val="Tahoma"/>
            <family val="2"/>
          </rPr>
          <t xml:space="preserve">
Previous two quarters will need uppdating for conversion factor for this and all sites. Completed HS.</t>
        </r>
      </text>
    </comment>
  </commentList>
</comments>
</file>

<file path=xl/sharedStrings.xml><?xml version="1.0" encoding="utf-8"?>
<sst xmlns="http://schemas.openxmlformats.org/spreadsheetml/2006/main" count="720" uniqueCount="137">
  <si>
    <t>2020 ABC records</t>
  </si>
  <si>
    <t>2020 Kitwanga Metal ABC Recycling Payment Receipt</t>
  </si>
  <si>
    <t>2020 Hazelton Metal ABC Recycling Payment Receipt</t>
  </si>
  <si>
    <t>2020 Thornhill Metal ABC Recycling Payment Receipt</t>
  </si>
  <si>
    <t>2020 Stewart Metal ABC Recycling Payment Receipt</t>
  </si>
  <si>
    <t>2020 Meziadin Metal ABC Recycling Payment Receipt</t>
  </si>
  <si>
    <t>2020 Rosswood Metal ABC Recycling Payment Receipt</t>
  </si>
  <si>
    <t>Location</t>
  </si>
  <si>
    <t>Weight (lbs)</t>
  </si>
  <si>
    <t>Thornhill</t>
  </si>
  <si>
    <t>Date</t>
  </si>
  <si>
    <t>net weight (pounds)</t>
  </si>
  <si>
    <t>Material</t>
  </si>
  <si>
    <t>Rosswood</t>
  </si>
  <si>
    <t>02/21/2020</t>
  </si>
  <si>
    <t>Fe Tin</t>
  </si>
  <si>
    <t>01/27/2020</t>
  </si>
  <si>
    <t>02/07/2020</t>
  </si>
  <si>
    <t>06/12/2020</t>
  </si>
  <si>
    <t>11/05/2020</t>
  </si>
  <si>
    <t>12/18/2020</t>
  </si>
  <si>
    <t>Hazelton</t>
  </si>
  <si>
    <t>5/11/2020</t>
  </si>
  <si>
    <t>09/18/2020</t>
  </si>
  <si>
    <t>11/19/2020</t>
  </si>
  <si>
    <t>Kitwanga</t>
  </si>
  <si>
    <t>05/13/2020</t>
  </si>
  <si>
    <t>01/31/2020</t>
  </si>
  <si>
    <t>02/28/2020</t>
  </si>
  <si>
    <t>09/25/2020</t>
  </si>
  <si>
    <t>Meziadin</t>
  </si>
  <si>
    <t>06/10/2020</t>
  </si>
  <si>
    <t>03/11/2020</t>
  </si>
  <si>
    <t>Fe tin</t>
  </si>
  <si>
    <t>Iskut</t>
  </si>
  <si>
    <t>03/03/2020</t>
  </si>
  <si>
    <t>11/04/2020</t>
  </si>
  <si>
    <t>Stewart</t>
  </si>
  <si>
    <t>03/16/2020</t>
  </si>
  <si>
    <t>04/16/2020</t>
  </si>
  <si>
    <t>YTD metal tonnages (Dec 18, 2020)</t>
  </si>
  <si>
    <t>07/10/2020</t>
  </si>
  <si>
    <t>7/22/2020</t>
  </si>
  <si>
    <t>04/20/2020</t>
  </si>
  <si>
    <t>8/31/2020</t>
  </si>
  <si>
    <t>9/21/2020</t>
  </si>
  <si>
    <t>04/22/2020</t>
  </si>
  <si>
    <t>10/06/2020</t>
  </si>
  <si>
    <t>Fe #1 Steel</t>
  </si>
  <si>
    <t>10/15/2020</t>
  </si>
  <si>
    <t>05/05/2020</t>
  </si>
  <si>
    <t>10/21/2020</t>
  </si>
  <si>
    <t>05/06/2020</t>
  </si>
  <si>
    <t>05/11/2020</t>
  </si>
  <si>
    <t>Total</t>
  </si>
  <si>
    <t>11/17/2020</t>
  </si>
  <si>
    <t>Remainder</t>
  </si>
  <si>
    <t>Remaining Dates</t>
  </si>
  <si>
    <t>none</t>
  </si>
  <si>
    <t>05/22/2020</t>
  </si>
  <si>
    <t>06/18/2020</t>
  </si>
  <si>
    <t xml:space="preserve">Submission History: </t>
  </si>
  <si>
    <t>05/12/2020</t>
  </si>
  <si>
    <t>Date submitted</t>
  </si>
  <si>
    <t>Pounds</t>
  </si>
  <si>
    <t>Metric Tonnes</t>
  </si>
  <si>
    <t>Period submitted</t>
  </si>
  <si>
    <t>Column1</t>
  </si>
  <si>
    <t>06/30/2020</t>
  </si>
  <si>
    <t>18-01-2020</t>
  </si>
  <si>
    <t>-</t>
  </si>
  <si>
    <t>2020 complete</t>
  </si>
  <si>
    <t>Submission History: Kitwanga</t>
  </si>
  <si>
    <t>07/08/2020</t>
  </si>
  <si>
    <t>05/29/2020</t>
  </si>
  <si>
    <t>07/22/2020</t>
  </si>
  <si>
    <t>08/15/2020</t>
  </si>
  <si>
    <t>08/18/2020</t>
  </si>
  <si>
    <t>08/20/2020</t>
  </si>
  <si>
    <t>08/31/2020</t>
  </si>
  <si>
    <t>07/15/2020</t>
  </si>
  <si>
    <t>07/27/2020</t>
  </si>
  <si>
    <t>09/10/2020</t>
  </si>
  <si>
    <t>07/30/2020</t>
  </si>
  <si>
    <t>11/06/2020</t>
  </si>
  <si>
    <t>11/25/2020</t>
  </si>
  <si>
    <t>09/09/2020</t>
  </si>
  <si>
    <t>09/17/2020</t>
  </si>
  <si>
    <t>11/30/2020</t>
  </si>
  <si>
    <t>09/30/2020</t>
  </si>
  <si>
    <t>12/11/2020</t>
  </si>
  <si>
    <t>10/05/2020</t>
  </si>
  <si>
    <t>10/09/2020</t>
  </si>
  <si>
    <t>10/26/2020</t>
  </si>
  <si>
    <t>12/24/2020</t>
  </si>
  <si>
    <t>10/30/2020</t>
  </si>
  <si>
    <t>Total from receipts</t>
  </si>
  <si>
    <t>12/08/2020</t>
  </si>
  <si>
    <t>Submission History: Hazelton</t>
  </si>
  <si>
    <t>12/14/2020</t>
  </si>
  <si>
    <t>12/22/2020</t>
  </si>
  <si>
    <t>2020 Complete</t>
  </si>
  <si>
    <t>2021 ABC records</t>
  </si>
  <si>
    <t>2021 Kitwanga Metal ABC Recycling Payment Receipt</t>
  </si>
  <si>
    <t>2021 Hazelton Metal ABC Recycling Payment Receipt</t>
  </si>
  <si>
    <t>2021 Thornhill Metal ABC Recycling Payment Receipt</t>
  </si>
  <si>
    <t>2021 Stewart Metal ABC Recycling Payment Receipt</t>
  </si>
  <si>
    <t>2021 Meziadin Metal ABC Recycling Payment Receipt</t>
  </si>
  <si>
    <t>2021 Rosswood Metal ABC Recycling Payment Receipt</t>
  </si>
  <si>
    <t>2021 Iskut Metal ABC Recycling Payment Receipt</t>
  </si>
  <si>
    <t>Weight (MT)</t>
  </si>
  <si>
    <t>Net Tons (NT)</t>
  </si>
  <si>
    <t>Net Weight (NT)</t>
  </si>
  <si>
    <t>net tons (NT)</t>
  </si>
  <si>
    <t>Fe Vehicles</t>
  </si>
  <si>
    <t>Shreddable-Loose</t>
  </si>
  <si>
    <t>Shreddable -Loose</t>
  </si>
  <si>
    <t>Auto</t>
  </si>
  <si>
    <t>07/14/2021</t>
  </si>
  <si>
    <t>Date Range</t>
  </si>
  <si>
    <t>Total NT</t>
  </si>
  <si>
    <t>Total MT</t>
  </si>
  <si>
    <t>Added</t>
  </si>
  <si>
    <t>Q1</t>
  </si>
  <si>
    <t>Submission History: Thornhill</t>
  </si>
  <si>
    <t>Q2</t>
  </si>
  <si>
    <t>Q3</t>
  </si>
  <si>
    <t>Complete</t>
  </si>
  <si>
    <t>Q4</t>
  </si>
  <si>
    <t>2021-12-31</t>
  </si>
  <si>
    <t>2021 complete</t>
  </si>
  <si>
    <t>Total Net Tonnage</t>
  </si>
  <si>
    <t>Total Metric Tonnes</t>
  </si>
  <si>
    <t>Net Tonnage</t>
  </si>
  <si>
    <t>2021 Complete</t>
  </si>
  <si>
    <t xml:space="preserve">Fe Tin 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</si>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</sst>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8D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7"/>
      </left>
      <right style="thin">
        <color theme="7"/>
      </right>
      <top style="double">
        <color theme="7"/>
      </top>
      <bottom style="thin">
        <color theme="7"/>
      </bottom>
      <diagonal/>
    </border>
  </borders>
  <cellStyleXfs count="7">
    <xf numFmtId="0" fontId="0" fillId="0" borderId="0"/>
    <xf numFmtId="0" fontId="5" fillId="16" borderId="12" applyNumberFormat="0" applyAlignment="0" applyProtection="0"/>
    <xf numFmtId="0" fontId="13" fillId="22" borderId="0" applyNumberFormat="0" applyBorder="0" applyAlignment="0" applyProtection="0"/>
    <xf numFmtId="0" fontId="14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4" fillId="28" borderId="0" applyNumberFormat="0" applyBorder="0" applyAlignment="0" applyProtection="0"/>
  </cellStyleXfs>
  <cellXfs count="13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1" fillId="0" borderId="0" xfId="0" applyFont="1"/>
    <xf numFmtId="15" fontId="0" fillId="0" borderId="0" xfId="0" applyNumberFormat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9" borderId="0" xfId="0" applyFont="1" applyFill="1"/>
    <xf numFmtId="0" fontId="3" fillId="0" borderId="5" xfId="0" applyFont="1" applyBorder="1" applyAlignment="1">
      <alignment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/>
    <xf numFmtId="0" fontId="1" fillId="13" borderId="0" xfId="0" applyFont="1" applyFill="1"/>
    <xf numFmtId="0" fontId="0" fillId="14" borderId="0" xfId="0" applyFill="1"/>
    <xf numFmtId="0" fontId="0" fillId="15" borderId="0" xfId="0" applyFill="1"/>
    <xf numFmtId="2" fontId="0" fillId="0" borderId="0" xfId="0" applyNumberFormat="1"/>
    <xf numFmtId="0" fontId="0" fillId="15" borderId="6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1" xfId="0" applyFill="1" applyBorder="1"/>
    <xf numFmtId="0" fontId="6" fillId="0" borderId="13" xfId="0" applyFont="1" applyBorder="1"/>
    <xf numFmtId="15" fontId="0" fillId="17" borderId="0" xfId="0" applyNumberFormat="1" applyFill="1"/>
    <xf numFmtId="0" fontId="0" fillId="17" borderId="0" xfId="0" applyFill="1"/>
    <xf numFmtId="2" fontId="6" fillId="0" borderId="13" xfId="0" applyNumberFormat="1" applyFont="1" applyBorder="1"/>
    <xf numFmtId="0" fontId="5" fillId="16" borderId="12" xfId="1"/>
    <xf numFmtId="3" fontId="0" fillId="14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2" fontId="0" fillId="4" borderId="0" xfId="0" applyNumberFormat="1" applyFill="1"/>
    <xf numFmtId="2" fontId="0" fillId="9" borderId="0" xfId="0" applyNumberFormat="1" applyFill="1"/>
    <xf numFmtId="2" fontId="0" fillId="9" borderId="0" xfId="0" applyNumberFormat="1" applyFill="1" applyAlignment="1">
      <alignment horizontal="center"/>
    </xf>
    <xf numFmtId="2" fontId="0" fillId="5" borderId="0" xfId="0" applyNumberFormat="1" applyFill="1"/>
    <xf numFmtId="2" fontId="3" fillId="0" borderId="4" xfId="0" applyNumberFormat="1" applyFont="1" applyBorder="1" applyAlignment="1">
      <alignment horizontal="right" vertical="center"/>
    </xf>
    <xf numFmtId="2" fontId="3" fillId="3" borderId="4" xfId="0" applyNumberFormat="1" applyFont="1" applyFill="1" applyBorder="1" applyAlignment="1">
      <alignment horizontal="right" vertical="center"/>
    </xf>
    <xf numFmtId="0" fontId="1" fillId="11" borderId="0" xfId="0" applyFont="1" applyFill="1"/>
    <xf numFmtId="2" fontId="0" fillId="6" borderId="0" xfId="0" applyNumberFormat="1" applyFill="1"/>
    <xf numFmtId="2" fontId="0" fillId="11" borderId="0" xfId="0" applyNumberFormat="1" applyFill="1"/>
    <xf numFmtId="0" fontId="8" fillId="21" borderId="0" xfId="0" applyFont="1" applyFill="1"/>
    <xf numFmtId="0" fontId="9" fillId="0" borderId="14" xfId="0" applyFont="1" applyBorder="1"/>
    <xf numFmtId="0" fontId="9" fillId="21" borderId="0" xfId="0" applyFont="1" applyFill="1"/>
    <xf numFmtId="164" fontId="0" fillId="0" borderId="0" xfId="0" applyNumberFormat="1"/>
    <xf numFmtId="0" fontId="8" fillId="0" borderId="0" xfId="0" applyFont="1"/>
    <xf numFmtId="0" fontId="1" fillId="0" borderId="15" xfId="0" applyFont="1" applyBorder="1"/>
    <xf numFmtId="2" fontId="1" fillId="0" borderId="15" xfId="0" applyNumberFormat="1" applyFont="1" applyBorder="1"/>
    <xf numFmtId="164" fontId="3" fillId="3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0" fontId="13" fillId="22" borderId="0" xfId="2"/>
    <xf numFmtId="15" fontId="13" fillId="22" borderId="0" xfId="2" applyNumberFormat="1"/>
    <xf numFmtId="14" fontId="13" fillId="22" borderId="0" xfId="2" applyNumberFormat="1"/>
    <xf numFmtId="14" fontId="13" fillId="22" borderId="0" xfId="2" applyNumberFormat="1" applyAlignment="1">
      <alignment horizontal="right"/>
    </xf>
    <xf numFmtId="0" fontId="13" fillId="22" borderId="15" xfId="2" applyBorder="1"/>
    <xf numFmtId="0" fontId="13" fillId="22" borderId="13" xfId="2" applyBorder="1"/>
    <xf numFmtId="2" fontId="13" fillId="22" borderId="13" xfId="2" applyNumberFormat="1" applyBorder="1"/>
    <xf numFmtId="0" fontId="7" fillId="22" borderId="0" xfId="2" applyFont="1"/>
    <xf numFmtId="2" fontId="7" fillId="22" borderId="0" xfId="2" applyNumberFormat="1" applyFont="1"/>
    <xf numFmtId="2" fontId="7" fillId="22" borderId="0" xfId="2" applyNumberFormat="1" applyFont="1" applyAlignment="1">
      <alignment horizontal="center"/>
    </xf>
    <xf numFmtId="0" fontId="7" fillId="22" borderId="0" xfId="2" applyFont="1" applyAlignment="1">
      <alignment horizontal="center"/>
    </xf>
    <xf numFmtId="15" fontId="7" fillId="22" borderId="0" xfId="2" applyNumberFormat="1" applyFont="1"/>
    <xf numFmtId="14" fontId="7" fillId="22" borderId="0" xfId="2" applyNumberFormat="1" applyFont="1"/>
    <xf numFmtId="0" fontId="7" fillId="24" borderId="0" xfId="4" applyFont="1"/>
    <xf numFmtId="2" fontId="7" fillId="24" borderId="0" xfId="4" applyNumberFormat="1" applyFont="1" applyAlignment="1">
      <alignment horizontal="center"/>
    </xf>
    <xf numFmtId="0" fontId="7" fillId="24" borderId="0" xfId="4" applyFont="1" applyAlignment="1">
      <alignment horizontal="center"/>
    </xf>
    <xf numFmtId="15" fontId="7" fillId="24" borderId="0" xfId="4" applyNumberFormat="1" applyFont="1"/>
    <xf numFmtId="14" fontId="7" fillId="24" borderId="0" xfId="4" applyNumberFormat="1" applyFont="1"/>
    <xf numFmtId="2" fontId="7" fillId="24" borderId="0" xfId="4" applyNumberFormat="1" applyFont="1"/>
    <xf numFmtId="0" fontId="7" fillId="24" borderId="15" xfId="4" applyFont="1" applyBorder="1"/>
    <xf numFmtId="0" fontId="10" fillId="24" borderId="0" xfId="4" applyFont="1"/>
    <xf numFmtId="14" fontId="7" fillId="26" borderId="0" xfId="0" applyNumberFormat="1" applyFont="1" applyFill="1" applyAlignment="1">
      <alignment horizontal="right"/>
    </xf>
    <xf numFmtId="0" fontId="13" fillId="25" borderId="0" xfId="5"/>
    <xf numFmtId="2" fontId="13" fillId="25" borderId="0" xfId="5" applyNumberFormat="1"/>
    <xf numFmtId="2" fontId="13" fillId="25" borderId="0" xfId="5" applyNumberFormat="1" applyAlignment="1">
      <alignment horizontal="center"/>
    </xf>
    <xf numFmtId="0" fontId="13" fillId="25" borderId="0" xfId="5" applyAlignment="1">
      <alignment horizontal="center"/>
    </xf>
    <xf numFmtId="15" fontId="13" fillId="25" borderId="0" xfId="5" applyNumberFormat="1"/>
    <xf numFmtId="14" fontId="13" fillId="25" borderId="0" xfId="5" applyNumberFormat="1"/>
    <xf numFmtId="164" fontId="13" fillId="25" borderId="0" xfId="5" applyNumberFormat="1"/>
    <xf numFmtId="0" fontId="13" fillId="25" borderId="0" xfId="5" applyNumberFormat="1"/>
    <xf numFmtId="14" fontId="13" fillId="25" borderId="0" xfId="5" applyNumberFormat="1" applyAlignment="1">
      <alignment horizontal="right"/>
    </xf>
    <xf numFmtId="0" fontId="13" fillId="25" borderId="15" xfId="5" applyBorder="1"/>
    <xf numFmtId="0" fontId="13" fillId="25" borderId="13" xfId="5" applyBorder="1"/>
    <xf numFmtId="2" fontId="13" fillId="25" borderId="13" xfId="5" applyNumberFormat="1" applyBorder="1"/>
    <xf numFmtId="0" fontId="7" fillId="26" borderId="13" xfId="0" applyFont="1" applyFill="1" applyBorder="1"/>
    <xf numFmtId="2" fontId="7" fillId="26" borderId="13" xfId="0" applyNumberFormat="1" applyFont="1" applyFill="1" applyBorder="1"/>
    <xf numFmtId="0" fontId="0" fillId="24" borderId="0" xfId="4" applyFont="1"/>
    <xf numFmtId="14" fontId="0" fillId="19" borderId="0" xfId="0" applyNumberFormat="1" applyFill="1"/>
    <xf numFmtId="0" fontId="1" fillId="27" borderId="0" xfId="0" applyFont="1" applyFill="1"/>
    <xf numFmtId="0" fontId="0" fillId="27" borderId="0" xfId="0" applyFill="1"/>
    <xf numFmtId="0" fontId="7" fillId="23" borderId="0" xfId="3" applyFont="1"/>
    <xf numFmtId="2" fontId="7" fillId="23" borderId="0" xfId="3" applyNumberFormat="1" applyFont="1"/>
    <xf numFmtId="2" fontId="7" fillId="23" borderId="0" xfId="3" applyNumberFormat="1" applyFont="1" applyAlignment="1">
      <alignment horizontal="center"/>
    </xf>
    <xf numFmtId="0" fontId="7" fillId="23" borderId="0" xfId="3" applyFont="1" applyAlignment="1">
      <alignment horizontal="center"/>
    </xf>
    <xf numFmtId="15" fontId="7" fillId="23" borderId="0" xfId="3" applyNumberFormat="1" applyFont="1"/>
    <xf numFmtId="14" fontId="7" fillId="23" borderId="0" xfId="3" applyNumberFormat="1" applyFont="1"/>
    <xf numFmtId="0" fontId="7" fillId="23" borderId="15" xfId="3" applyFont="1" applyBorder="1"/>
    <xf numFmtId="0" fontId="7" fillId="6" borderId="15" xfId="0" applyFont="1" applyFill="1" applyBorder="1"/>
    <xf numFmtId="2" fontId="7" fillId="6" borderId="15" xfId="0" applyNumberFormat="1" applyFont="1" applyFill="1" applyBorder="1"/>
    <xf numFmtId="0" fontId="7" fillId="0" borderId="0" xfId="2" applyFont="1" applyFill="1"/>
    <xf numFmtId="0" fontId="7" fillId="28" borderId="0" xfId="6" applyFont="1"/>
    <xf numFmtId="15" fontId="7" fillId="28" borderId="0" xfId="6" applyNumberFormat="1" applyFont="1"/>
    <xf numFmtId="14" fontId="7" fillId="28" borderId="0" xfId="6" applyNumberFormat="1" applyFont="1"/>
    <xf numFmtId="2" fontId="7" fillId="28" borderId="0" xfId="6" applyNumberFormat="1" applyFont="1"/>
    <xf numFmtId="14" fontId="7" fillId="28" borderId="0" xfId="6" applyNumberFormat="1" applyFont="1" applyAlignment="1">
      <alignment horizontal="right"/>
    </xf>
    <xf numFmtId="0" fontId="7" fillId="28" borderId="15" xfId="6" applyFont="1" applyBorder="1"/>
    <xf numFmtId="2" fontId="7" fillId="28" borderId="13" xfId="6" applyNumberFormat="1" applyFont="1" applyBorder="1"/>
    <xf numFmtId="0" fontId="7" fillId="13" borderId="0" xfId="6" applyFont="1" applyFill="1"/>
    <xf numFmtId="15" fontId="7" fillId="13" borderId="0" xfId="6" applyNumberFormat="1" applyFont="1" applyFill="1"/>
    <xf numFmtId="14" fontId="7" fillId="13" borderId="0" xfId="6" applyNumberFormat="1" applyFont="1" applyFill="1"/>
    <xf numFmtId="2" fontId="7" fillId="13" borderId="0" xfId="6" applyNumberFormat="1" applyFont="1" applyFill="1"/>
    <xf numFmtId="14" fontId="7" fillId="13" borderId="0" xfId="6" applyNumberFormat="1" applyFont="1" applyFill="1" applyAlignment="1">
      <alignment horizontal="right"/>
    </xf>
    <xf numFmtId="0" fontId="7" fillId="13" borderId="15" xfId="6" applyFont="1" applyFill="1" applyBorder="1"/>
    <xf numFmtId="2" fontId="7" fillId="13" borderId="13" xfId="6" applyNumberFormat="1" applyFont="1" applyFill="1" applyBorder="1"/>
    <xf numFmtId="0" fontId="10" fillId="13" borderId="0" xfId="6" applyFont="1" applyFill="1"/>
    <xf numFmtId="2" fontId="10" fillId="13" borderId="0" xfId="6" applyNumberFormat="1" applyFont="1" applyFill="1" applyAlignment="1">
      <alignment horizontal="center"/>
    </xf>
    <xf numFmtId="0" fontId="10" fillId="13" borderId="0" xfId="6" applyFont="1" applyFill="1" applyAlignment="1">
      <alignment horizontal="center"/>
    </xf>
    <xf numFmtId="0" fontId="10" fillId="28" borderId="0" xfId="6" applyFont="1"/>
    <xf numFmtId="2" fontId="10" fillId="28" borderId="0" xfId="6" applyNumberFormat="1" applyFont="1" applyAlignment="1">
      <alignment horizontal="center"/>
    </xf>
    <xf numFmtId="0" fontId="10" fillId="28" borderId="0" xfId="6" applyFont="1" applyAlignment="1">
      <alignment horizontal="center"/>
    </xf>
    <xf numFmtId="0" fontId="0" fillId="10" borderId="0" xfId="0" applyFill="1" applyAlignment="1"/>
  </cellXfs>
  <cellStyles count="7">
    <cellStyle name="40% - Accent1" xfId="2" builtinId="31"/>
    <cellStyle name="40% - Accent2" xfId="4" builtinId="35"/>
    <cellStyle name="40% - Accent4" xfId="5" builtinId="43"/>
    <cellStyle name="Accent2" xfId="3" builtinId="33"/>
    <cellStyle name="Accent4" xfId="6" builtinId="41"/>
    <cellStyle name="Calculation" xfId="1" builtinId="22"/>
    <cellStyle name="Normal" xfId="0" builtinId="0"/>
  </cellStyles>
  <dxfs count="90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/>
        </patternFill>
      </fill>
      <border diagonalUp="0" diagonalDown="0" outline="0">
        <left style="thin">
          <color theme="7"/>
        </left>
        <right style="thin">
          <color theme="7"/>
        </right>
        <top style="double">
          <color theme="7"/>
        </top>
        <bottom style="thin">
          <color theme="7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5"/>
        </patternFill>
      </fill>
      <border diagonalUp="0" diagonalDown="0" outline="0">
        <left style="thin">
          <color theme="7"/>
        </left>
        <right style="thin">
          <color theme="7"/>
        </right>
        <top style="double">
          <color theme="7"/>
        </top>
        <bottom style="thin">
          <color theme="7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5"/>
        </patternFill>
      </fill>
      <border diagonalUp="0" diagonalDown="0" outline="0">
        <left style="thin">
          <color theme="7"/>
        </left>
        <right style="thin">
          <color theme="7"/>
        </right>
        <top style="double">
          <color theme="7"/>
        </top>
        <bottom style="thin">
          <color theme="7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/>
        </patternFill>
      </fill>
      <border diagonalUp="0" diagonalDown="0" outline="0">
        <left style="thin">
          <color theme="7"/>
        </left>
        <right style="thin">
          <color theme="7"/>
        </right>
        <top style="double">
          <color theme="7"/>
        </top>
        <bottom style="thin">
          <color theme="7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/>
        </patternFill>
      </fill>
      <border diagonalUp="0" diagonalDown="0" outline="0">
        <left style="thin">
          <color theme="7"/>
        </left>
        <right style="thin">
          <color theme="7"/>
        </right>
        <top style="double">
          <color theme="7"/>
        </top>
        <bottom style="thin">
          <color theme="7"/>
        </bottom>
      </border>
    </dxf>
    <dxf>
      <border outline="0">
        <top style="double">
          <color theme="7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 outline="0">
        <left/>
        <right/>
        <top style="thin">
          <color theme="7"/>
        </top>
        <bottom style="thin">
          <color theme="7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border diagonalUp="0" diagonalDown="0" outline="0">
        <left/>
        <right/>
        <top style="thin">
          <color theme="7"/>
        </top>
        <bottom style="thin">
          <color theme="7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 outline="0">
        <left/>
        <right/>
        <top style="thin">
          <color theme="7"/>
        </top>
        <bottom style="thin">
          <color theme="7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 outline="0">
        <left/>
        <right/>
        <top style="thin">
          <color theme="7"/>
        </top>
        <bottom style="thin">
          <color theme="7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yyyy/mm/dd"/>
      <fill>
        <patternFill patternType="solid">
          <fgColor indexed="64"/>
          <bgColor theme="5" tint="0.5999938962981048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dd/mmm/yy"/>
    </dxf>
    <dxf>
      <border diagonalUp="0" diagonalDown="0" outline="0">
        <left/>
        <right/>
        <top style="thin">
          <color theme="7"/>
        </top>
        <bottom style="thin">
          <color theme="7"/>
        </bottom>
      </border>
    </dxf>
    <dxf>
      <numFmt numFmtId="2" formatCode="0.00"/>
    </dxf>
    <dxf>
      <numFmt numFmtId="2" formatCode="0.00"/>
      <border diagonalUp="0" diagonalDown="0" outline="0">
        <left/>
        <right/>
        <top style="thin">
          <color theme="7"/>
        </top>
        <bottom style="thin">
          <color theme="7"/>
        </bottom>
      </border>
    </dxf>
    <dxf>
      <numFmt numFmtId="0" formatCode="General"/>
    </dxf>
    <dxf>
      <border diagonalUp="0" diagonalDown="0" outline="0">
        <left/>
        <right/>
        <top style="thin">
          <color theme="7"/>
        </top>
        <bottom style="thin">
          <color theme="7"/>
        </bottom>
      </border>
    </dxf>
    <dxf>
      <numFmt numFmtId="0" formatCode="General"/>
    </dxf>
    <dxf>
      <border diagonalUp="0" diagonalDown="0" outline="0">
        <left/>
        <right/>
        <top style="thin">
          <color theme="7"/>
        </top>
        <bottom style="thin">
          <color theme="7"/>
        </bottom>
      </border>
    </dxf>
    <dxf>
      <numFmt numFmtId="0" formatCode="General"/>
    </dxf>
    <dxf>
      <border diagonalUp="0" diagonalDown="0" outline="0">
        <left/>
        <right/>
        <top style="thin">
          <color theme="7"/>
        </top>
        <bottom style="thin">
          <color theme="7"/>
        </bottom>
      </border>
    </dxf>
    <dxf>
      <numFmt numFmtId="166" formatCode="yyyy/mm/dd"/>
    </dxf>
    <dxf>
      <numFmt numFmtId="166" formatCode="yyyy/mm/dd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7"/>
        </left>
        <right style="thin">
          <color theme="7"/>
        </right>
        <top style="double">
          <color theme="7"/>
        </top>
        <bottom style="thin">
          <color theme="7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 style="thin">
          <color theme="7"/>
        </left>
        <right style="thin">
          <color theme="7"/>
        </right>
        <top style="double">
          <color theme="7"/>
        </top>
        <bottom style="thin">
          <color theme="7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 style="thin">
          <color theme="7"/>
        </left>
        <right style="thin">
          <color theme="7"/>
        </right>
        <top style="double">
          <color theme="7"/>
        </top>
        <bottom style="thin">
          <color theme="7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 style="thin">
          <color theme="7"/>
        </left>
        <right style="thin">
          <color theme="7"/>
        </right>
        <top style="double">
          <color theme="7"/>
        </top>
        <bottom style="thin">
          <color theme="7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7"/>
        </left>
        <right style="thin">
          <color theme="7"/>
        </right>
        <top style="double">
          <color theme="7"/>
        </top>
        <bottom style="thin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7"/>
        </left>
        <right style="thin">
          <color theme="7"/>
        </right>
        <top style="double">
          <color theme="7"/>
        </top>
        <bottom style="thin">
          <color theme="7"/>
        </bottom>
      </border>
    </dxf>
    <dxf>
      <border outline="0">
        <top style="double">
          <color theme="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</dxf>
    <dxf>
      <numFmt numFmtId="165" formatCode="dd/mmm/yy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numFmt numFmtId="2" formatCode="0.00"/>
    </dxf>
    <dxf>
      <fill>
        <patternFill patternType="solid">
          <fgColor indexed="64"/>
          <bgColor theme="4" tint="0.59999389629810485"/>
        </patternFill>
      </fill>
    </dxf>
    <dxf>
      <numFmt numFmtId="2" formatCode="0.00"/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99FF"/>
      <color rgb="FFEB8DDE"/>
      <color rgb="FFE569D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6BB0A-6F7A-4401-9021-0AB2B6E592FE}" name="Table2" displayName="Table2" ref="G4:I21" totalsRowCount="1">
  <autoFilter ref="G4:I20" xr:uid="{726DB82F-A370-438A-A47E-F37AF7D60324}"/>
  <tableColumns count="3">
    <tableColumn id="1" xr3:uid="{8B4E8F09-9E17-4238-8E45-7AA4CAF55CE7}" name="Date" totalsRowLabel="Total"/>
    <tableColumn id="2" xr3:uid="{DF454275-9B2C-49FD-A34B-A68203941211}" name="net weight (pounds)" totalsRowFunction="sum"/>
    <tableColumn id="3" xr3:uid="{1AE5CA28-DD8E-4DA8-8626-38744C50E9D1}" name="Material" dataDxfId="88" totalsRowDxfId="89"/>
  </tableColumns>
  <tableStyleInfo name="TableStyleLight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D9AF4E2-EB4B-4C34-A90D-13910416A9BB}" name="Table10" displayName="Table10" ref="M70:Q73" totalsRowCount="1" headerRowDxfId="74">
  <autoFilter ref="M70:Q72" xr:uid="{8B46E9BB-61C7-4B5F-B295-ADFAF58D86CD}"/>
  <tableColumns count="5">
    <tableColumn id="1" xr3:uid="{B0C6A518-3B06-4BFF-A7F2-A8A007559B13}" name="Date submitted" totalsRowLabel="Total" dataDxfId="73"/>
    <tableColumn id="2" xr3:uid="{794C856E-5400-42CC-9EDD-015D0338AD35}" name="Pounds"/>
    <tableColumn id="3" xr3:uid="{C7A43501-B7D1-455B-943D-C83D8A515C6A}" name="Metric Tonnes"/>
    <tableColumn id="4" xr3:uid="{3C7F636C-39CD-46E2-B278-B6094C3A6B25}" name="Period submitted" totalsRowLabel="2020 Complete"/>
    <tableColumn id="5" xr3:uid="{DB2AC285-EF52-4935-A54E-4B03BD1427F0}" name="Column1" totalsRowFunction="count"/>
  </tableColumns>
  <tableStyleInfo name="TableStyleLight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20B11D4-B397-42B8-83D8-CCC48F8F90F7}" name="Table212" displayName="Table212" ref="F4:I32" totalsRowCount="1" totalsRowDxfId="72" totalsRowBorderDxfId="71">
  <autoFilter ref="F4:I31" xr:uid="{5CA54D57-99C0-4F3A-B441-DA24F3F3927F}"/>
  <tableColumns count="4">
    <tableColumn id="1" xr3:uid="{2ABCDB1F-BE34-4AE7-B53B-5AA73B543E1D}" name="Date" totalsRowDxfId="70"/>
    <tableColumn id="2" xr3:uid="{F7AAC509-A39D-4132-8BDA-776A9AB1CC08}" name="net weight (pounds)" totalsRowDxfId="69"/>
    <tableColumn id="3" xr3:uid="{B1923C01-93BA-4B7F-A730-FC843EF5BB1B}" name="Material" dataDxfId="67" totalsRowDxfId="68"/>
    <tableColumn id="4" xr3:uid="{E15B2ADF-2B30-4D7B-9F63-9E70DFF8F8AB}" name="Net Tons (NT)" dataDxfId="65" totalsRowDxfId="66"/>
  </tableColumns>
  <tableStyleInfo name="TableStyleLight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6AD3381-1F58-4265-978C-2B30ECCD0E3A}" name="Table713" displayName="Table713" ref="F39:K44" totalsRowCount="1" headerRowDxfId="64" totalsRowDxfId="63" totalsRowBorderDxfId="62">
  <autoFilter ref="F39:K43" xr:uid="{0AA0F615-51D3-47CA-B102-03FE10DE38BB}"/>
  <tableColumns count="6">
    <tableColumn id="1" xr3:uid="{01B1B769-436B-4DAB-9243-CB990E085F61}" name="Date Range" totalsRowDxfId="61"/>
    <tableColumn id="2" xr3:uid="{EB95FC83-9DAF-42FC-AD95-C61E7D0757AB}" name="Pounds" totalsRowFunction="sum" dataDxfId="59" totalsRowDxfId="60">
      <calculatedColumnFormula>SUMIFS($G$5:$G$30,$F$5:$F$30,"&gt;"&amp;E40,$F$5:$F$30,"&lt;="&amp;Table713[[#This Row],[Date Range]])</calculatedColumnFormula>
    </tableColumn>
    <tableColumn id="3" xr3:uid="{DBDBABD8-90C1-4081-8C70-823530E27B15}" name="Net Tonnage" totalsRowFunction="sum" dataDxfId="57" totalsRowDxfId="58"/>
    <tableColumn id="6" xr3:uid="{F6378E0C-1E0C-46A6-B9C7-D598251AA18B}" name="Total Net Tonnage" totalsRowFunction="sum" dataDxfId="55" totalsRowDxfId="56">
      <calculatedColumnFormula>SUMIFS($I$5:$I$30,$F$5:$F$30,"&gt;"&amp;E40,$F$5:$F$30,"&lt;="&amp;Table713[[#This Row],[Date Range]])</calculatedColumnFormula>
    </tableColumn>
    <tableColumn id="4" xr3:uid="{2784D081-0C06-4CDF-B85E-73BBECE3871B}" name="Total Metric Tonnes" totalsRowFunction="sum" dataDxfId="53" totalsRowDxfId="54"/>
    <tableColumn id="5" xr3:uid="{421C6C1C-BF39-43EA-8198-5C1B5BD3D6EB}" name="Added" totalsRowLabel="2021 Complete" totalsRowDxfId="52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6767C49-9BFC-4CB8-9CDE-FA08BB3122A2}" name="Table2414" displayName="Table2414" ref="M4:P63" totalsRowCount="1">
  <autoFilter ref="M4:P62" xr:uid="{4F088653-46D7-4175-BC0B-F35BE028F021}"/>
  <tableColumns count="4">
    <tableColumn id="1" xr3:uid="{AECE5514-16C5-4B8F-97C0-A80653656B2B}" name="Date"/>
    <tableColumn id="2" xr3:uid="{5258B0DF-9951-4FD6-9142-2111DFAF7CA0}" name="net weight (pounds)" totalsRowFunction="sum"/>
    <tableColumn id="3" xr3:uid="{523FAE7C-FCA7-478A-A741-6975004971F7}" name="Material" dataDxfId="50" totalsRowDxfId="51"/>
    <tableColumn id="4" xr3:uid="{7319B4C9-8CD1-4794-B836-2D5696F610F1}" name="Net Weight (NT)" totalsRowFunction="sum" dataDxfId="49"/>
  </tableColumns>
  <tableStyleInfo name="TableStyleLight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5427B8-9174-4D83-9BD3-907B3F8DD182}" name="Table1015" displayName="Table1015" ref="M68:R73" totalsRowCount="1" headerRowCellStyle="40% - Accent4" dataCellStyle="40% - Accent4" totalsRowCellStyle="40% - Accent4">
  <autoFilter ref="M68:R72" xr:uid="{83A924D6-9997-49FA-BCDD-4FFD424753CB}"/>
  <tableColumns count="6">
    <tableColumn id="1" xr3:uid="{438A45E5-5AB5-4E21-B9C7-462E33F3F99B}" name="Date Range" totalsRowLabel="2021-12-31" dataDxfId="47" totalsRowDxfId="48" dataCellStyle="40% - Accent4" totalsRowCellStyle="40% - Accent4"/>
    <tableColumn id="2" xr3:uid="{70F6AE23-9926-498D-9202-2BA2158F5505}" name="Pounds" totalsRowFunction="sum" dataDxfId="45" totalsRowDxfId="46" dataCellStyle="40% - Accent4" totalsRowCellStyle="40% - Accent4">
      <calculatedColumnFormula>SUMIFS($N$5:$N$61,$M$5:$M$61,"&gt;"&amp;L69,$M$5:$M$61,"&lt;="&amp;Table1015[[#This Row],[Date Range]])</calculatedColumnFormula>
    </tableColumn>
    <tableColumn id="3" xr3:uid="{0D886970-2173-4AC3-A74D-15554793E9CA}" name="Net Tonnage" totalsRowFunction="sum" dataDxfId="43" totalsRowDxfId="44" dataCellStyle="40% - Accent4" totalsRowCellStyle="40% - Accent4">
      <calculatedColumnFormula>Table2414[[#Totals],[Net Weight (NT)]]</calculatedColumnFormula>
    </tableColumn>
    <tableColumn id="6" xr3:uid="{E676B306-F75C-411D-AD39-7F1D691679DC}" name="Total NT" totalsRowFunction="sum" dataDxfId="41" totalsRowDxfId="42" dataCellStyle="40% - Accent4" totalsRowCellStyle="40% - Accent4">
      <calculatedColumnFormula>SUMIFS($P$5:$P$61,$M$5:$M$61,"&gt;"&amp;L69,$M$5:$M$61,"&lt;="&amp;Table1015[[#This Row],[Date Range]])</calculatedColumnFormula>
    </tableColumn>
    <tableColumn id="4" xr3:uid="{2A43160A-76C5-4C7B-9A17-194D4D201960}" name="Total MT" totalsRowFunction="sum" dataDxfId="39" totalsRowDxfId="40" dataCellStyle="40% - Accent4" totalsRowCellStyle="40% - Accent4">
      <calculatedColumnFormula>Table1015[[#This Row],[Total NT]]*1.01605</calculatedColumnFormula>
    </tableColumn>
    <tableColumn id="5" xr3:uid="{F8370D19-0985-45F9-99E6-C0D8402CFE30}" name="Added" totalsRowLabel="2021 Complete" dataDxfId="37" totalsRowDxfId="38" dataCellStyle="40% - Accent4" totalsRowCellStyle="40% - Accent4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0053D9B-D5B2-4537-8B08-B4A845BCB49B}" name="Table24516" displayName="Table24516" ref="T4:W78" totalsRowShown="0">
  <autoFilter ref="T4:W78" xr:uid="{A26E3110-304C-49B1-909E-677EB5A20FB5}"/>
  <tableColumns count="4">
    <tableColumn id="1" xr3:uid="{B686043B-36A8-43F4-B742-F348EB909F8A}" name="Date"/>
    <tableColumn id="2" xr3:uid="{FC432621-4FE0-4842-8A9F-28B50AC9C1DC}" name="net weight (pounds)"/>
    <tableColumn id="3" xr3:uid="{79AA5A24-37AB-414E-A9FE-2F525EA69974}" name="Material" dataDxfId="35" totalsRowDxfId="36"/>
    <tableColumn id="4" xr3:uid="{8DE880F7-243A-40C8-AC14-D35BD2D715CE}" name="Net Weight (NT)" dataDxfId="34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9BD49CD-572B-400A-81EA-E3C9A8B52F83}" name="Table917" displayName="Table917" ref="T84:X89" totalsRowCount="1" headerRowDxfId="33" dataDxfId="32" totalsRowDxfId="31" headerRowCellStyle="40% - Accent2" dataCellStyle="40% - Accent2" totalsRowCellStyle="40% - Accent2">
  <autoFilter ref="T84:X88" xr:uid="{000763E3-F78D-4AF8-AE69-E487160F3EA7}"/>
  <tableColumns count="5">
    <tableColumn id="1" xr3:uid="{57362112-EB36-4289-9D12-556BEAB1A3B9}" name="Date Range" totalsRowLabel="2021-12-31" dataDxfId="29" totalsRowDxfId="30" dataCellStyle="40% - Accent2"/>
    <tableColumn id="2" xr3:uid="{92921201-FEFD-46EB-A361-345568434184}" name="Pounds" totalsRowFunction="sum" dataDxfId="27" totalsRowDxfId="28" dataCellStyle="40% - Accent2">
      <calculatedColumnFormula>SUMIFS($U5:$U78,$T5:$T78,"&gt;"&amp;S85,$T5:$T78,"&lt;="&amp;Table917[[#This Row],[Date Range]])</calculatedColumnFormula>
    </tableColumn>
    <tableColumn id="6" xr3:uid="{E53CFD1B-8903-4604-A2EE-E7A8722088C1}" name="Total NT" totalsRowFunction="sum" dataDxfId="25" totalsRowDxfId="26" dataCellStyle="40% - Accent2">
      <calculatedColumnFormula>SUMIFS($W2:$W73,$T2:$T73,"&gt;"&amp;S85,$T2:$T73,"&lt;="&amp;Table917[[#This Row],[Date Range]])</calculatedColumnFormula>
    </tableColumn>
    <tableColumn id="4" xr3:uid="{119F8C3E-0ADD-4C59-B69D-84FDB01B6952}" name="Total MT" totalsRowFunction="sum" dataDxfId="23" totalsRowDxfId="24" dataCellStyle="40% - Accent2">
      <calculatedColumnFormula>Table917[[#This Row],[Total NT]]*0.90718</calculatedColumnFormula>
    </tableColumn>
    <tableColumn id="5" xr3:uid="{88F9C32B-1B94-4166-97E8-4DC9DC4D3CAD}" name="Added" totalsRowLabel="2021 complete" dataDxfId="21" totalsRowDxfId="22" dataCellStyle="40% - Accent2"/>
  </tableColumns>
  <tableStyleInfo name="TableStyleLight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293DD39-513E-4B4B-95A6-3E7ACF093C3A}" name="Table245618" displayName="Table245618" ref="AA4:AD17" totalsRowCount="1">
  <autoFilter ref="AA4:AD16" xr:uid="{A15EA9EB-B9B6-468E-A3E7-DB4AFA6AF42B}"/>
  <tableColumns count="4">
    <tableColumn id="1" xr3:uid="{B051FC84-8006-4567-8723-FB9FB3903F96}" name="Date"/>
    <tableColumn id="2" xr3:uid="{8AFB3EA1-BF47-40BA-83BE-D3EAB0A0F24A}" name="net weight (pounds)" totalsRowFunction="sum"/>
    <tableColumn id="3" xr3:uid="{E35FB91E-3E61-4E76-8D31-0751B28F0A87}" name="Material" dataDxfId="19" totalsRowDxfId="20"/>
    <tableColumn id="4" xr3:uid="{84306F91-CD2B-4D09-9EA4-BC37AA419BB8}" name="Net Weight (NT)" totalsRowFunction="custom" dataDxfId="18">
      <totalsRowFormula>SUM(Table245618[Net Weight (NT)])</totalsRowFormula>
    </tableColumn>
  </tableColumns>
  <tableStyleInfo name="TableStyleLight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C9B32D2-4473-4FB8-9F50-0072810D9CFA}" name="Table245720" displayName="Table245720" ref="AH4:AK17" totalsRowCount="1">
  <autoFilter ref="AH4:AK16" xr:uid="{B0531811-1938-4B3D-9B9D-011819F7E002}"/>
  <tableColumns count="4">
    <tableColumn id="1" xr3:uid="{D0FCBF68-B151-402D-970D-1AF2596E1C0D}" name="Date"/>
    <tableColumn id="2" xr3:uid="{9EF30437-1F5F-4A5B-995D-A3C6D15CAD5C}" name="net weight (pounds)" totalsRowFunction="sum"/>
    <tableColumn id="3" xr3:uid="{5D1E1323-1B3D-47E6-8BAB-175284A858C4}" name="Material" dataDxfId="16" totalsRowDxfId="17"/>
    <tableColumn id="4" xr3:uid="{2F42F226-F173-463D-916A-F28524A1607F}" name="net tons (NT)" totalsRowFunction="custom">
      <totalsRowFormula>SUBTOTAL(109,Table245720[net weight (pounds)])</totalsRowFormula>
    </tableColumn>
  </tableColumns>
  <tableStyleInfo name="TableStyleLight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A59C53F-E059-4222-ACFF-F86F5A55F589}" name="Table121" displayName="Table121" ref="AP4:AS18" totalsRowCount="1">
  <autoFilter ref="AP4:AS17" xr:uid="{44C6FB09-9C58-4377-AFB4-8347BC9684E3}"/>
  <tableColumns count="4">
    <tableColumn id="1" xr3:uid="{32BA9B58-4856-41B5-A784-B551EF3985D0}" name="Date" totalsRowLabel="Total"/>
    <tableColumn id="2" xr3:uid="{B722CDB1-D713-40FA-B307-6A2199617FD4}" name="net weight (pounds)" totalsRowFunction="sum"/>
    <tableColumn id="3" xr3:uid="{84B54624-8706-407E-9804-6946A7DBB39F}" name="Material"/>
    <tableColumn id="4" xr3:uid="{B4131227-46DD-48A9-B1A6-40C03B9F0DFC}" name="net tons (NT)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0736EF-EFFF-48CB-93DB-318E972009BB}" name="Table24" displayName="Table24" ref="M4:O63" totalsRowCount="1">
  <autoFilter ref="M4:O62" xr:uid="{50696304-6F9E-4FA8-B51F-A43D7D29B464}"/>
  <tableColumns count="3">
    <tableColumn id="1" xr3:uid="{273C3114-9B01-421B-BD7D-249BC1368BEE}" name="Date" totalsRowLabel="Total from receipts"/>
    <tableColumn id="2" xr3:uid="{AC01C2ED-FC64-49B3-8F15-E357E1B161FB}" name="net weight (pounds)" totalsRowFunction="sum"/>
    <tableColumn id="3" xr3:uid="{6AE6837F-9BB2-4000-9280-47EF450CF28D}" name="Material" dataDxfId="86" totalsRowDxfId="87"/>
  </tableColumns>
  <tableStyleInfo name="TableStyleLight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2818AC5-F0A0-455A-BFB5-96AC3BBA8F68}" name="Table22" displayName="Table22" ref="AW4:AZ31" totalsRowShown="0">
  <autoFilter ref="AW4:AZ31" xr:uid="{72818AC5-F0A0-455A-BFB5-96AC3BBA8F68}"/>
  <tableColumns count="4">
    <tableColumn id="1" xr3:uid="{6D0D81F0-4FA0-4DD6-BB9E-C91194DF65C3}" name="Date"/>
    <tableColumn id="2" xr3:uid="{FDA525B2-C434-4414-AD9A-8CC1DCFF4267}" name="net weight (pounds)"/>
    <tableColumn id="3" xr3:uid="{C2A256C5-8A90-47CF-8398-8F820EAD842A}" name="Material" dataDxfId="15"/>
    <tableColumn id="4" xr3:uid="{B3E18756-4870-40CB-9767-23ACA22F3DCF}" name="Net Tons (NT)" dataDxfId="14"/>
  </tableColumns>
  <tableStyleInfo name="TableStyleDark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7AD5252-7040-44CC-A233-A4CAE7DDCEFD}" name="Table71324" displayName="Table71324" ref="AY34:BC39" totalsRowCount="1" headerRowDxfId="13" dataDxfId="12" totalsRowDxfId="11" totalsRowBorderDxfId="10" headerRowCellStyle="Accent2" dataCellStyle="Accent2" totalsRowCellStyle="Accent2">
  <autoFilter ref="AY34:BC38" xr:uid="{87AD5252-7040-44CC-A233-A4CAE7DDCEFD}"/>
  <tableColumns count="5">
    <tableColumn id="1" xr3:uid="{AE4F81A5-F43C-49A1-B05A-1A40D132F130}" name="Date Range" dataDxfId="8" totalsRowDxfId="9" dataCellStyle="Accent2"/>
    <tableColumn id="2" xr3:uid="{74B82E88-E388-41D3-804C-4304DD49E984}" name="Pounds" totalsRowFunction="sum" dataDxfId="6" totalsRowDxfId="7" dataCellStyle="Accent2">
      <calculatedColumnFormula>SUMIFS($AX$5:$AX$30,$AW$5:$AW$30,"&gt;"&amp;AX35,$AW$5:$AW$30,"&lt;="&amp;Table71324[[#This Row],[Date Range]])</calculatedColumnFormula>
    </tableColumn>
    <tableColumn id="6" xr3:uid="{7DA55E0B-A9AA-4546-822B-87173B92A3EA}" name="Total Net Tonnage" totalsRowFunction="sum" dataDxfId="4" totalsRowDxfId="5" dataCellStyle="Accent2">
      <calculatedColumnFormula>SUMIFS($AZ$5:$AZ$30,$AW$5:$AW$30,"&gt;"&amp;AX35,$AW$5:$AW$30,"&lt;="&amp;Table71324[[#This Row],[Date Range]])</calculatedColumnFormula>
    </tableColumn>
    <tableColumn id="4" xr3:uid="{DF9FAA99-8640-4DB3-88B9-70AF28E2D9FC}" name="Total Metric Tonnes" totalsRowFunction="sum" dataDxfId="2" totalsRowDxfId="3" dataCellStyle="Accent2">
      <calculatedColumnFormula>SUMIFS($AZ$5:$AZ$30,$AW$5:$AW$30,"&gt;"&amp;AX35,$AW$5:$AW$30,"&lt;="&amp;Table71324[[#This Row],[Date Range]])</calculatedColumnFormula>
    </tableColumn>
    <tableColumn id="5" xr3:uid="{E43A47E1-0642-4435-ADC6-C1FF565E4E11}" name="Added" totalsRowLabel="2021 Complete" dataDxfId="0" totalsRowDxfId="1" dataCellStyle="Accent2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F587DB-16E6-457F-932A-B1B70998358D}" name="Table245" displayName="Table245" ref="S4:U75" totalsRowCount="1">
  <autoFilter ref="S4:U74" xr:uid="{9247EA29-8460-442B-A8BC-787D954F35B2}"/>
  <tableColumns count="3">
    <tableColumn id="1" xr3:uid="{651CDBF4-9B8E-44C9-94AD-79C6B46CF80B}" name="Date"/>
    <tableColumn id="2" xr3:uid="{FE0861E9-EE40-4911-B897-06312074BD34}" name="net weight (pounds)" totalsRowFunction="sum"/>
    <tableColumn id="3" xr3:uid="{70B0EC04-C73C-4D69-B5B6-E6408FE2DE5B}" name="Material" dataDxfId="84" totalsRowDxfId="85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BCF401-F195-4B64-88B6-834FB39CBD7B}" name="Table2456" displayName="Table2456" ref="Y4:AA17" totalsRowCount="1">
  <autoFilter ref="Y4:AA16" xr:uid="{9FA60F22-A156-4377-89AA-035A0A6E44C1}"/>
  <tableColumns count="3">
    <tableColumn id="1" xr3:uid="{C39910B3-DD05-4207-B5D0-67A1EAA951AF}" name="Date"/>
    <tableColumn id="2" xr3:uid="{F2C4785B-0D38-45D6-8AA0-3EBD7610E332}" name="net weight (pounds)" totalsRowFunction="sum"/>
    <tableColumn id="3" xr3:uid="{B4A683A9-538C-4D9D-B5B6-BE8F7D8ED472}" name="Material" dataDxfId="82" totalsRowDxfId="83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58D838-CCEF-40D3-9749-6B5BB6A8CB45}" name="Table2457" displayName="Table2457" ref="AE4:AG17" totalsRowCount="1">
  <autoFilter ref="AE4:AG16" xr:uid="{D8E9EB86-1104-46A7-BADB-50443477340B}"/>
  <tableColumns count="3">
    <tableColumn id="1" xr3:uid="{90AD5827-E20D-40B6-8F4A-CB2FAC5077CD}" name="Date"/>
    <tableColumn id="2" xr3:uid="{A532D370-4E68-4C93-AB2D-8F7E24DE104D}" name="net weight (pounds)" totalsRowFunction="sum"/>
    <tableColumn id="3" xr3:uid="{AC9692EF-8564-4C7C-833E-32D0ACEFC450}" name="Material" dataDxfId="80" totalsRowDxfId="81"/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DF5236-624E-4D80-84F1-43AEC7DBAE5D}" name="Table1" displayName="Table1" ref="AK4:AM18" totalsRowCount="1">
  <autoFilter ref="AK4:AM17" xr:uid="{7DD94BC4-D37F-45A0-81E9-88145D480394}"/>
  <tableColumns count="3">
    <tableColumn id="1" xr3:uid="{1801ED3D-745F-4C54-BD8B-A32343505570}" name="Date" totalsRowLabel="Total"/>
    <tableColumn id="2" xr3:uid="{99FA1DA7-DFFF-48C9-B87D-2D08A9010F3B}" name="net weight (pounds)" totalsRowFunction="sum"/>
    <tableColumn id="3" xr3:uid="{21E8336C-4D23-473E-902C-7B6C7C8CBA46}" name="Material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365AD7-CD00-466A-8C1F-2EF0861B6923}" name="Table7" displayName="Table7" ref="G30:K34" totalsRowCount="1" headerRowDxfId="79">
  <autoFilter ref="G30:K33" xr:uid="{8E07963B-B671-463C-85B7-8007C8C79805}"/>
  <tableColumns count="5">
    <tableColumn id="1" xr3:uid="{2095A7E6-D353-40D3-B322-6C899903CBD0}" name="Date submitted" totalsRowLabel="Total"/>
    <tableColumn id="2" xr3:uid="{910D58AF-EDA1-4454-93BB-81234D128648}" name="Pounds" totalsRowFunction="sum"/>
    <tableColumn id="3" xr3:uid="{2E940B0D-FDA0-4E5F-BB68-CC26356CB249}" name="Metric Tonnes" totalsRowFunction="sum" totalsRowDxfId="78"/>
    <tableColumn id="4" xr3:uid="{A17D72A2-6B21-46D7-8579-C9E5CDD69E48}" name="Period submitted" totalsRowLabel="2020 complete"/>
    <tableColumn id="5" xr3:uid="{EC987B17-ABF6-45E6-A0E2-89C32DD3B3D6}" name="Column1" totalsRowFunction="count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5A7D1F-E125-498C-8C3D-A573E933B7B4}" name="Table8" displayName="Table8" ref="Y25:AC29" totalsRowCount="1" headerRowDxfId="77">
  <autoFilter ref="Y25:AC28" xr:uid="{B94A0063-C630-4991-B172-7378E58397A1}"/>
  <tableColumns count="5">
    <tableColumn id="1" xr3:uid="{CC677C70-D326-4143-8185-83AB7C80FB59}" name="Date submitted" totalsRowLabel="Total"/>
    <tableColumn id="2" xr3:uid="{575EA6A7-9F71-4852-88E9-2E5D1684EE2A}" name="Pounds" totalsRowFunction="sum"/>
    <tableColumn id="3" xr3:uid="{58B9EED1-153C-4A68-9EA0-3443A1A250B6}" name="Metric Tonnes" totalsRowFunction="sum" totalsRowDxfId="76"/>
    <tableColumn id="4" xr3:uid="{1359CA78-D53C-4BB8-B869-E20CEA32D86C}" name="Period submitted" totalsRowLabel="2020 complete"/>
    <tableColumn id="5" xr3:uid="{8CBB566F-6B3D-495B-B405-AD55F726FCD6}" name="Column1" totalsRowFunction="count"/>
  </tableColumns>
  <tableStyleInfo name="TableStyleLight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86AD39-218A-480B-AB71-8A0C13F21CB5}" name="Table9" displayName="Table9" ref="S79:W82" totalsRowCount="1" headerRowDxfId="75">
  <autoFilter ref="S79:W81" xr:uid="{39780FAB-5502-477D-BDBC-2BBAB31D8E1C}"/>
  <tableColumns count="5">
    <tableColumn id="1" xr3:uid="{9A097F94-728D-47D3-AB56-898DACABA550}" name="Date submitted" totalsRowLabel="Total"/>
    <tableColumn id="2" xr3:uid="{9EACA71B-27FD-484D-BC15-65580439B88D}" name="Pounds" totalsRowFunction="sum"/>
    <tableColumn id="3" xr3:uid="{EF9E768B-B324-4953-8613-6397B5D1475E}" name="Metric Tonnes" totalsRowFunction="sum"/>
    <tableColumn id="4" xr3:uid="{55C515E3-6F44-4B8D-9E6E-BA3FDA398D59}" name="Period submitted" totalsRowLabel="2020 complete"/>
    <tableColumn id="5" xr3:uid="{444739E7-3EFA-4E67-BE2C-582A290039E5}" name="Column1" totalsRowFunction="count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7ADC-D275-4F3F-8044-E2DB4B5B45E1}">
  <dimension ref="B2:AP82"/>
  <sheetViews>
    <sheetView topLeftCell="A34" zoomScale="80" zoomScaleNormal="80" workbookViewId="0">
      <pane xSplit="4" topLeftCell="E1" activePane="topRight" state="frozen"/>
      <selection pane="topRight" activeCell="K26" sqref="K26"/>
    </sheetView>
  </sheetViews>
  <sheetFormatPr defaultRowHeight="14.45"/>
  <cols>
    <col min="2" max="2" width="16.140625" bestFit="1" customWidth="1"/>
    <col min="3" max="3" width="12" bestFit="1" customWidth="1"/>
    <col min="7" max="7" width="19.5703125" customWidth="1"/>
    <col min="8" max="8" width="21.140625" customWidth="1"/>
    <col min="9" max="9" width="14.7109375" customWidth="1"/>
    <col min="10" max="10" width="16.85546875" customWidth="1"/>
    <col min="11" max="11" width="11.5703125" bestFit="1" customWidth="1"/>
    <col min="13" max="13" width="26.7109375" customWidth="1"/>
    <col min="14" max="14" width="16.5703125" customWidth="1"/>
    <col min="15" max="15" width="17" customWidth="1"/>
    <col min="16" max="16" width="20" customWidth="1"/>
    <col min="17" max="17" width="12.7109375" customWidth="1"/>
    <col min="19" max="19" width="22.42578125" customWidth="1"/>
    <col min="20" max="20" width="21.5703125" bestFit="1" customWidth="1"/>
    <col min="21" max="21" width="14.7109375" customWidth="1"/>
    <col min="22" max="22" width="16.85546875" customWidth="1"/>
    <col min="23" max="23" width="12.140625" customWidth="1"/>
    <col min="25" max="25" width="15.5703125" customWidth="1"/>
    <col min="26" max="26" width="21.5703125" bestFit="1" customWidth="1"/>
    <col min="27" max="27" width="14.7109375" customWidth="1"/>
    <col min="28" max="28" width="16.85546875" customWidth="1"/>
    <col min="29" max="29" width="12.42578125" bestFit="1" customWidth="1"/>
    <col min="30" max="30" width="8.5703125" customWidth="1"/>
    <col min="31" max="31" width="15.85546875" customWidth="1"/>
    <col min="32" max="32" width="21.5703125" bestFit="1" customWidth="1"/>
    <col min="33" max="33" width="12.85546875" customWidth="1"/>
    <col min="34" max="34" width="16.28515625" customWidth="1"/>
    <col min="35" max="35" width="11.28515625" customWidth="1"/>
    <col min="37" max="37" width="14.28515625" customWidth="1"/>
    <col min="38" max="38" width="22" customWidth="1"/>
    <col min="39" max="39" width="14.85546875" customWidth="1"/>
    <col min="40" max="40" width="13.85546875" customWidth="1"/>
    <col min="41" max="41" width="12.5703125" customWidth="1"/>
  </cols>
  <sheetData>
    <row r="2" spans="2:42" ht="15" thickBot="1">
      <c r="B2" s="7" t="s">
        <v>0</v>
      </c>
      <c r="G2" s="9" t="s">
        <v>1</v>
      </c>
      <c r="H2" s="9"/>
      <c r="I2" s="10"/>
      <c r="J2" s="10"/>
      <c r="K2" s="10"/>
      <c r="M2" s="11" t="s">
        <v>2</v>
      </c>
      <c r="N2" s="11"/>
      <c r="O2" s="12"/>
      <c r="P2" s="12"/>
      <c r="Q2" s="12"/>
      <c r="S2" s="13" t="s">
        <v>3</v>
      </c>
      <c r="T2" s="13"/>
      <c r="U2" s="14"/>
      <c r="V2" s="14"/>
      <c r="W2" s="14"/>
      <c r="Y2" s="15" t="s">
        <v>4</v>
      </c>
      <c r="Z2" s="15"/>
      <c r="AA2" s="16"/>
      <c r="AB2" s="16"/>
      <c r="AC2" s="16"/>
      <c r="AE2" s="17" t="s">
        <v>5</v>
      </c>
      <c r="AF2" s="17"/>
      <c r="AG2" s="18"/>
      <c r="AH2" s="18"/>
      <c r="AI2" s="18"/>
      <c r="AK2" s="30" t="s">
        <v>6</v>
      </c>
      <c r="AL2" s="29"/>
      <c r="AM2" s="29"/>
      <c r="AN2" s="29"/>
      <c r="AO2" s="29"/>
      <c r="AP2" s="29"/>
    </row>
    <row r="3" spans="2:42" ht="15" thickBot="1">
      <c r="B3" s="1" t="s">
        <v>7</v>
      </c>
      <c r="C3" s="2" t="s">
        <v>8</v>
      </c>
    </row>
    <row r="4" spans="2:42" ht="15" thickBot="1">
      <c r="B4" s="3" t="s">
        <v>9</v>
      </c>
      <c r="C4" s="4">
        <v>439784</v>
      </c>
      <c r="G4" t="s">
        <v>10</v>
      </c>
      <c r="H4" t="s">
        <v>11</v>
      </c>
      <c r="I4" t="s">
        <v>12</v>
      </c>
      <c r="M4" t="s">
        <v>10</v>
      </c>
      <c r="N4" t="s">
        <v>11</v>
      </c>
      <c r="O4" t="s">
        <v>12</v>
      </c>
      <c r="S4" t="s">
        <v>10</v>
      </c>
      <c r="T4" t="s">
        <v>11</v>
      </c>
      <c r="U4" t="s">
        <v>12</v>
      </c>
      <c r="Y4" t="s">
        <v>10</v>
      </c>
      <c r="Z4" t="s">
        <v>11</v>
      </c>
      <c r="AA4" t="s">
        <v>12</v>
      </c>
      <c r="AE4" t="s">
        <v>10</v>
      </c>
      <c r="AF4" t="s">
        <v>11</v>
      </c>
      <c r="AG4" t="s">
        <v>12</v>
      </c>
      <c r="AK4" t="s">
        <v>10</v>
      </c>
      <c r="AL4" t="s">
        <v>11</v>
      </c>
      <c r="AM4" t="s">
        <v>12</v>
      </c>
    </row>
    <row r="5" spans="2:42" ht="15" thickBot="1">
      <c r="B5" s="5" t="s">
        <v>13</v>
      </c>
      <c r="C5" s="6">
        <v>0</v>
      </c>
      <c r="G5" t="s">
        <v>14</v>
      </c>
      <c r="H5">
        <v>4910</v>
      </c>
      <c r="I5" t="s">
        <v>15</v>
      </c>
      <c r="M5" t="s">
        <v>16</v>
      </c>
      <c r="N5">
        <v>7850</v>
      </c>
      <c r="O5" t="s">
        <v>15</v>
      </c>
      <c r="S5" t="s">
        <v>17</v>
      </c>
      <c r="T5">
        <v>10760</v>
      </c>
      <c r="U5" t="s">
        <v>15</v>
      </c>
      <c r="Y5" t="s">
        <v>18</v>
      </c>
      <c r="Z5">
        <v>21140</v>
      </c>
      <c r="AA5" t="s">
        <v>15</v>
      </c>
      <c r="AE5" t="s">
        <v>19</v>
      </c>
      <c r="AF5">
        <v>48500</v>
      </c>
      <c r="AG5" t="s">
        <v>15</v>
      </c>
      <c r="AK5" t="s">
        <v>20</v>
      </c>
      <c r="AL5">
        <v>20440</v>
      </c>
      <c r="AM5" t="s">
        <v>15</v>
      </c>
    </row>
    <row r="6" spans="2:42" ht="15" thickBot="1">
      <c r="B6" s="3" t="s">
        <v>21</v>
      </c>
      <c r="C6" s="4">
        <v>490320</v>
      </c>
      <c r="G6" t="s">
        <v>22</v>
      </c>
      <c r="H6">
        <v>9610</v>
      </c>
      <c r="I6" t="s">
        <v>15</v>
      </c>
      <c r="M6" t="s">
        <v>16</v>
      </c>
      <c r="N6">
        <v>10930</v>
      </c>
      <c r="O6" t="s">
        <v>15</v>
      </c>
      <c r="S6" t="s">
        <v>17</v>
      </c>
      <c r="T6">
        <v>8900</v>
      </c>
      <c r="U6" t="s">
        <v>15</v>
      </c>
      <c r="Y6" t="s">
        <v>23</v>
      </c>
      <c r="Z6">
        <v>19160</v>
      </c>
      <c r="AA6" t="s">
        <v>15</v>
      </c>
      <c r="AE6" t="s">
        <v>24</v>
      </c>
      <c r="AF6">
        <v>43780</v>
      </c>
      <c r="AK6" t="s">
        <v>20</v>
      </c>
      <c r="AL6">
        <v>25060</v>
      </c>
      <c r="AM6" t="s">
        <v>15</v>
      </c>
    </row>
    <row r="7" spans="2:42" ht="15" thickBot="1">
      <c r="B7" s="5" t="s">
        <v>25</v>
      </c>
      <c r="C7" s="6">
        <v>131510</v>
      </c>
      <c r="G7" t="s">
        <v>26</v>
      </c>
      <c r="H7">
        <v>4500</v>
      </c>
      <c r="I7" t="s">
        <v>15</v>
      </c>
      <c r="L7" s="7"/>
      <c r="M7" t="s">
        <v>27</v>
      </c>
      <c r="N7">
        <v>8230</v>
      </c>
      <c r="O7" t="s">
        <v>15</v>
      </c>
      <c r="S7" t="s">
        <v>28</v>
      </c>
      <c r="T7">
        <v>7300</v>
      </c>
      <c r="U7" t="s">
        <v>15</v>
      </c>
      <c r="Y7" t="s">
        <v>29</v>
      </c>
      <c r="Z7">
        <v>29740</v>
      </c>
      <c r="AA7" t="s">
        <v>15</v>
      </c>
    </row>
    <row r="8" spans="2:42" ht="15" thickBot="1">
      <c r="B8" s="3" t="s">
        <v>30</v>
      </c>
      <c r="C8" s="4">
        <v>92280</v>
      </c>
      <c r="G8" t="s">
        <v>31</v>
      </c>
      <c r="H8">
        <v>6170</v>
      </c>
      <c r="I8" t="s">
        <v>15</v>
      </c>
      <c r="M8" t="s">
        <v>27</v>
      </c>
      <c r="N8">
        <v>11880</v>
      </c>
      <c r="O8" t="s">
        <v>15</v>
      </c>
      <c r="S8" t="s">
        <v>32</v>
      </c>
      <c r="T8">
        <v>4210</v>
      </c>
      <c r="U8" t="s">
        <v>15</v>
      </c>
      <c r="Y8" s="32" t="s">
        <v>23</v>
      </c>
      <c r="Z8" s="32">
        <v>19820</v>
      </c>
      <c r="AA8" s="32" t="s">
        <v>33</v>
      </c>
    </row>
    <row r="9" spans="2:42" ht="15" thickBot="1">
      <c r="B9" s="5" t="s">
        <v>34</v>
      </c>
      <c r="C9" s="6">
        <v>0</v>
      </c>
      <c r="G9" t="s">
        <v>31</v>
      </c>
      <c r="H9">
        <v>6130</v>
      </c>
      <c r="I9" t="s">
        <v>15</v>
      </c>
      <c r="M9" t="s">
        <v>35</v>
      </c>
      <c r="N9">
        <v>9510</v>
      </c>
      <c r="O9" t="s">
        <v>15</v>
      </c>
      <c r="S9" t="s">
        <v>32</v>
      </c>
      <c r="T9">
        <v>5380</v>
      </c>
      <c r="U9" t="s">
        <v>15</v>
      </c>
      <c r="Y9" s="32" t="s">
        <v>36</v>
      </c>
      <c r="Z9" s="32">
        <v>25920</v>
      </c>
      <c r="AA9" s="32" t="s">
        <v>15</v>
      </c>
    </row>
    <row r="10" spans="2:42" ht="15" thickBot="1">
      <c r="B10" s="3" t="s">
        <v>37</v>
      </c>
      <c r="C10" s="4">
        <v>115780</v>
      </c>
      <c r="G10" t="s">
        <v>31</v>
      </c>
      <c r="H10">
        <v>6340</v>
      </c>
      <c r="I10" t="s">
        <v>15</v>
      </c>
      <c r="M10" t="s">
        <v>38</v>
      </c>
      <c r="N10">
        <v>8870</v>
      </c>
      <c r="O10" t="s">
        <v>15</v>
      </c>
      <c r="S10" t="s">
        <v>39</v>
      </c>
      <c r="T10">
        <v>4830</v>
      </c>
      <c r="U10" t="s">
        <v>15</v>
      </c>
    </row>
    <row r="11" spans="2:42">
      <c r="B11" s="24" t="s">
        <v>40</v>
      </c>
      <c r="G11" t="s">
        <v>41</v>
      </c>
      <c r="H11">
        <v>7620</v>
      </c>
      <c r="I11" t="s">
        <v>15</v>
      </c>
      <c r="M11" t="s">
        <v>38</v>
      </c>
      <c r="N11">
        <v>8620</v>
      </c>
      <c r="O11" t="s">
        <v>15</v>
      </c>
      <c r="S11" t="s">
        <v>39</v>
      </c>
      <c r="T11">
        <v>4190</v>
      </c>
      <c r="U11" t="s">
        <v>15</v>
      </c>
    </row>
    <row r="12" spans="2:42">
      <c r="G12" t="s">
        <v>42</v>
      </c>
      <c r="H12">
        <v>8060</v>
      </c>
      <c r="I12" t="s">
        <v>15</v>
      </c>
      <c r="M12" t="s">
        <v>39</v>
      </c>
      <c r="N12">
        <v>8000</v>
      </c>
      <c r="O12" t="s">
        <v>15</v>
      </c>
      <c r="S12" t="s">
        <v>43</v>
      </c>
      <c r="T12">
        <v>4250</v>
      </c>
      <c r="U12" t="s">
        <v>15</v>
      </c>
    </row>
    <row r="13" spans="2:42">
      <c r="G13" t="s">
        <v>44</v>
      </c>
      <c r="H13">
        <v>9010</v>
      </c>
      <c r="I13" t="s">
        <v>15</v>
      </c>
      <c r="M13" t="s">
        <v>39</v>
      </c>
      <c r="N13">
        <v>7400</v>
      </c>
      <c r="O13" t="s">
        <v>15</v>
      </c>
      <c r="S13" t="s">
        <v>43</v>
      </c>
      <c r="T13">
        <v>6240</v>
      </c>
      <c r="U13" t="s">
        <v>15</v>
      </c>
    </row>
    <row r="14" spans="2:42">
      <c r="G14" t="s">
        <v>45</v>
      </c>
      <c r="H14">
        <v>9360</v>
      </c>
      <c r="I14" t="s">
        <v>15</v>
      </c>
      <c r="M14" t="s">
        <v>46</v>
      </c>
      <c r="N14">
        <v>4030</v>
      </c>
      <c r="O14" t="s">
        <v>15</v>
      </c>
      <c r="S14" t="s">
        <v>46</v>
      </c>
      <c r="T14">
        <v>6040</v>
      </c>
      <c r="U14" t="s">
        <v>15</v>
      </c>
    </row>
    <row r="15" spans="2:42">
      <c r="G15" t="s">
        <v>47</v>
      </c>
      <c r="H15">
        <v>14480</v>
      </c>
      <c r="I15" t="s">
        <v>48</v>
      </c>
      <c r="M15" t="s">
        <v>46</v>
      </c>
      <c r="N15">
        <v>11020</v>
      </c>
      <c r="O15" t="s">
        <v>15</v>
      </c>
      <c r="S15" t="s">
        <v>46</v>
      </c>
      <c r="T15">
        <v>3400</v>
      </c>
      <c r="U15" t="s">
        <v>15</v>
      </c>
    </row>
    <row r="16" spans="2:42">
      <c r="G16" t="s">
        <v>49</v>
      </c>
      <c r="H16">
        <v>10620</v>
      </c>
      <c r="I16" t="s">
        <v>15</v>
      </c>
      <c r="M16" t="s">
        <v>46</v>
      </c>
      <c r="N16">
        <v>11270</v>
      </c>
      <c r="O16" t="s">
        <v>15</v>
      </c>
      <c r="S16" t="s">
        <v>50</v>
      </c>
      <c r="T16">
        <v>3395</v>
      </c>
      <c r="U16" t="s">
        <v>15</v>
      </c>
    </row>
    <row r="17" spans="7:41">
      <c r="G17" s="32" t="s">
        <v>51</v>
      </c>
      <c r="H17" s="32">
        <v>6480</v>
      </c>
      <c r="I17" s="32" t="s">
        <v>15</v>
      </c>
      <c r="M17" t="s">
        <v>52</v>
      </c>
      <c r="N17">
        <v>7420</v>
      </c>
      <c r="O17" t="s">
        <v>15</v>
      </c>
      <c r="S17" t="s">
        <v>50</v>
      </c>
      <c r="T17">
        <v>4917</v>
      </c>
      <c r="U17" t="s">
        <v>15</v>
      </c>
      <c r="Z17">
        <f>SUBTOTAL(109,Table2456[net weight (pounds)])</f>
        <v>115780</v>
      </c>
      <c r="AF17">
        <f>SUBTOTAL(109,Table2457[net weight (pounds)])</f>
        <v>92280</v>
      </c>
    </row>
    <row r="18" spans="7:41">
      <c r="G18" s="32" t="s">
        <v>36</v>
      </c>
      <c r="H18" s="32">
        <v>10840</v>
      </c>
      <c r="I18" s="32" t="s">
        <v>15</v>
      </c>
      <c r="M18" t="s">
        <v>53</v>
      </c>
      <c r="N18">
        <v>5240</v>
      </c>
      <c r="O18" t="s">
        <v>15</v>
      </c>
      <c r="S18" t="s">
        <v>50</v>
      </c>
      <c r="T18">
        <v>2844</v>
      </c>
      <c r="U18" t="s">
        <v>15</v>
      </c>
      <c r="AK18" t="s">
        <v>54</v>
      </c>
      <c r="AL18">
        <f>SUBTOTAL(109,Table1[net weight (pounds)])</f>
        <v>45500</v>
      </c>
    </row>
    <row r="19" spans="7:41">
      <c r="G19" s="32" t="s">
        <v>55</v>
      </c>
      <c r="H19" s="32">
        <v>8060</v>
      </c>
      <c r="I19" s="32" t="s">
        <v>15</v>
      </c>
      <c r="M19" t="s">
        <v>53</v>
      </c>
      <c r="N19">
        <v>6470</v>
      </c>
      <c r="O19" t="s">
        <v>15</v>
      </c>
      <c r="S19" t="s">
        <v>50</v>
      </c>
      <c r="T19">
        <v>6048</v>
      </c>
      <c r="U19" t="s">
        <v>15</v>
      </c>
      <c r="AE19" t="s">
        <v>56</v>
      </c>
      <c r="AF19">
        <f>C8-Table2457[[#Totals],[net weight (pounds)]]</f>
        <v>0</v>
      </c>
    </row>
    <row r="20" spans="7:41">
      <c r="G20" s="32" t="s">
        <v>24</v>
      </c>
      <c r="H20" s="32">
        <v>9320</v>
      </c>
      <c r="I20" s="32" t="s">
        <v>15</v>
      </c>
      <c r="M20" t="s">
        <v>26</v>
      </c>
      <c r="N20">
        <v>8850</v>
      </c>
      <c r="O20" t="s">
        <v>15</v>
      </c>
      <c r="S20" t="s">
        <v>52</v>
      </c>
      <c r="T20">
        <v>3400</v>
      </c>
      <c r="U20" t="s">
        <v>15</v>
      </c>
      <c r="Y20" t="s">
        <v>57</v>
      </c>
      <c r="Z20" s="8">
        <v>43831</v>
      </c>
      <c r="AA20" s="8">
        <v>43994</v>
      </c>
      <c r="AB20" s="8"/>
      <c r="AC20" s="8"/>
      <c r="AE20" t="s">
        <v>57</v>
      </c>
      <c r="AF20" s="8"/>
      <c r="AG20" s="8">
        <v>44196</v>
      </c>
      <c r="AK20" t="s">
        <v>56</v>
      </c>
    </row>
    <row r="21" spans="7:41">
      <c r="G21" t="s">
        <v>54</v>
      </c>
      <c r="H21">
        <f>SUBTOTAL(109,Table2[net weight (pounds)])</f>
        <v>131510</v>
      </c>
      <c r="M21" t="s">
        <v>26</v>
      </c>
      <c r="N21">
        <v>6820</v>
      </c>
      <c r="O21" t="s">
        <v>15</v>
      </c>
      <c r="S21" t="s">
        <v>52</v>
      </c>
      <c r="T21">
        <v>4850</v>
      </c>
      <c r="U21" t="s">
        <v>15</v>
      </c>
      <c r="Z21" s="8">
        <v>44099</v>
      </c>
      <c r="AA21" s="8">
        <v>44196</v>
      </c>
      <c r="AB21" s="8"/>
      <c r="AC21" s="8"/>
      <c r="AK21" t="s">
        <v>57</v>
      </c>
      <c r="AL21" t="s">
        <v>58</v>
      </c>
    </row>
    <row r="22" spans="7:41">
      <c r="M22" t="s">
        <v>59</v>
      </c>
      <c r="N22">
        <v>2740</v>
      </c>
      <c r="O22" t="s">
        <v>15</v>
      </c>
      <c r="S22" t="s">
        <v>52</v>
      </c>
      <c r="T22">
        <v>6530</v>
      </c>
      <c r="U22" t="s">
        <v>15</v>
      </c>
    </row>
    <row r="23" spans="7:41">
      <c r="M23" t="s">
        <v>59</v>
      </c>
      <c r="N23">
        <v>9850</v>
      </c>
      <c r="O23" t="s">
        <v>15</v>
      </c>
      <c r="S23" t="s">
        <v>53</v>
      </c>
      <c r="T23">
        <v>10230</v>
      </c>
      <c r="U23" t="s">
        <v>15</v>
      </c>
    </row>
    <row r="24" spans="7:41">
      <c r="M24" t="s">
        <v>60</v>
      </c>
      <c r="N24">
        <v>11030</v>
      </c>
      <c r="O24" t="s">
        <v>15</v>
      </c>
      <c r="S24" t="s">
        <v>53</v>
      </c>
      <c r="T24">
        <v>8050</v>
      </c>
      <c r="U24" t="s">
        <v>15</v>
      </c>
      <c r="Y24" s="22" t="s">
        <v>61</v>
      </c>
      <c r="Z24" s="22"/>
      <c r="AA24" s="22"/>
      <c r="AB24" s="22"/>
      <c r="AC24" s="22"/>
      <c r="AE24" s="20" t="s">
        <v>61</v>
      </c>
      <c r="AF24" s="20"/>
      <c r="AG24" s="20"/>
      <c r="AH24" s="20"/>
      <c r="AI24" s="20"/>
      <c r="AK24" s="46" t="s">
        <v>61</v>
      </c>
      <c r="AL24" s="46"/>
      <c r="AM24" s="46"/>
      <c r="AN24" s="46"/>
      <c r="AO24" s="46"/>
    </row>
    <row r="25" spans="7:41">
      <c r="M25" t="s">
        <v>60</v>
      </c>
      <c r="N25">
        <v>4700</v>
      </c>
      <c r="O25" t="s">
        <v>15</v>
      </c>
      <c r="S25" t="s">
        <v>62</v>
      </c>
      <c r="T25">
        <v>9900</v>
      </c>
      <c r="U25" t="s">
        <v>15</v>
      </c>
      <c r="Y25" s="22" t="s">
        <v>63</v>
      </c>
      <c r="Z25" s="22" t="s">
        <v>64</v>
      </c>
      <c r="AA25" s="22" t="s">
        <v>65</v>
      </c>
      <c r="AB25" s="28" t="s">
        <v>66</v>
      </c>
      <c r="AC25" s="28" t="s">
        <v>67</v>
      </c>
      <c r="AE25" s="20" t="s">
        <v>63</v>
      </c>
      <c r="AF25" s="26" t="s">
        <v>64</v>
      </c>
      <c r="AG25" s="20" t="s">
        <v>65</v>
      </c>
      <c r="AH25" s="137" t="s">
        <v>66</v>
      </c>
      <c r="AI25" s="137"/>
      <c r="AK25" s="46" t="s">
        <v>63</v>
      </c>
      <c r="AL25" s="46" t="s">
        <v>64</v>
      </c>
      <c r="AM25" s="46" t="s">
        <v>65</v>
      </c>
      <c r="AN25" s="46" t="s">
        <v>66</v>
      </c>
      <c r="AO25" s="46"/>
    </row>
    <row r="26" spans="7:41">
      <c r="H26" s="8"/>
      <c r="I26" s="8"/>
      <c r="M26" t="s">
        <v>68</v>
      </c>
      <c r="N26">
        <v>15200</v>
      </c>
      <c r="O26" t="s">
        <v>15</v>
      </c>
      <c r="S26" t="s">
        <v>62</v>
      </c>
      <c r="T26">
        <v>900</v>
      </c>
      <c r="U26" t="s">
        <v>15</v>
      </c>
      <c r="Y26" s="8">
        <v>44209</v>
      </c>
      <c r="Z26">
        <v>70040</v>
      </c>
      <c r="AA26">
        <v>31.77</v>
      </c>
      <c r="AB26" s="8">
        <v>43994</v>
      </c>
      <c r="AC26" s="8">
        <v>44099</v>
      </c>
      <c r="AE26" s="41">
        <v>44214</v>
      </c>
      <c r="AF26" s="42">
        <v>92280</v>
      </c>
      <c r="AG26" s="42">
        <v>41.86</v>
      </c>
      <c r="AH26" s="42" t="s">
        <v>19</v>
      </c>
      <c r="AI26" s="42" t="s">
        <v>24</v>
      </c>
      <c r="AK26" s="31" t="s">
        <v>69</v>
      </c>
      <c r="AL26" s="45">
        <v>45500</v>
      </c>
      <c r="AM26" s="31">
        <v>20.64</v>
      </c>
      <c r="AN26" s="31" t="s">
        <v>20</v>
      </c>
      <c r="AO26" s="31" t="s">
        <v>20</v>
      </c>
    </row>
    <row r="27" spans="7:41">
      <c r="M27" t="s">
        <v>68</v>
      </c>
      <c r="N27">
        <v>7000</v>
      </c>
      <c r="O27" t="s">
        <v>15</v>
      </c>
      <c r="S27" t="s">
        <v>62</v>
      </c>
      <c r="T27">
        <v>8510</v>
      </c>
      <c r="U27" t="s">
        <v>15</v>
      </c>
      <c r="Y27" s="8">
        <v>44211</v>
      </c>
      <c r="Z27">
        <v>19820</v>
      </c>
      <c r="AA27" s="33">
        <f>Table8[[#This Row],[Pounds]]/2205</f>
        <v>8.9886621315192752</v>
      </c>
      <c r="AB27" s="8" t="s">
        <v>23</v>
      </c>
      <c r="AC27" s="8" t="s">
        <v>70</v>
      </c>
      <c r="AE27" s="40" t="s">
        <v>54</v>
      </c>
      <c r="AF27" s="40">
        <f>SUBTOTAL(109,AF26)</f>
        <v>92280</v>
      </c>
      <c r="AG27" s="43">
        <f>SUBTOTAL(109,AG26)</f>
        <v>41.86</v>
      </c>
      <c r="AH27" s="40" t="s">
        <v>71</v>
      </c>
      <c r="AI27" s="40">
        <f>SUBTOTAL(103,AI26)</f>
        <v>1</v>
      </c>
      <c r="AK27" s="44" t="s">
        <v>54</v>
      </c>
      <c r="AL27" s="44">
        <f>SUBTOTAL(109,AL26)</f>
        <v>45500</v>
      </c>
      <c r="AM27" s="44">
        <f>SUBTOTAL(109,AM26)</f>
        <v>20.64</v>
      </c>
      <c r="AN27" s="44" t="s">
        <v>71</v>
      </c>
      <c r="AO27" s="44">
        <f>SUBTOTAL(103,AO26)</f>
        <v>1</v>
      </c>
    </row>
    <row r="28" spans="7:41">
      <c r="M28" t="s">
        <v>68</v>
      </c>
      <c r="N28">
        <v>13140</v>
      </c>
      <c r="O28" t="s">
        <v>15</v>
      </c>
      <c r="S28" t="s">
        <v>59</v>
      </c>
      <c r="T28">
        <v>5690</v>
      </c>
      <c r="U28" t="s">
        <v>15</v>
      </c>
      <c r="Y28" s="8">
        <v>44211</v>
      </c>
      <c r="Z28">
        <v>25920</v>
      </c>
      <c r="AA28" s="33">
        <f>Table8[[#This Row],[Pounds]]/2205</f>
        <v>11.755102040816327</v>
      </c>
      <c r="AB28" t="s">
        <v>36</v>
      </c>
      <c r="AC28" t="s">
        <v>70</v>
      </c>
    </row>
    <row r="29" spans="7:41">
      <c r="G29" s="23" t="s">
        <v>72</v>
      </c>
      <c r="H29" s="19"/>
      <c r="I29" s="19"/>
      <c r="J29" s="19"/>
      <c r="K29" s="19"/>
      <c r="M29" t="s">
        <v>73</v>
      </c>
      <c r="N29">
        <v>4830</v>
      </c>
      <c r="O29" t="s">
        <v>15</v>
      </c>
      <c r="S29" t="s">
        <v>59</v>
      </c>
      <c r="T29">
        <v>4780</v>
      </c>
      <c r="U29" t="s">
        <v>15</v>
      </c>
      <c r="Y29" t="s">
        <v>54</v>
      </c>
      <c r="Z29">
        <f>SUBTOTAL(109,Table8[Pounds])</f>
        <v>115780</v>
      </c>
      <c r="AA29" s="33">
        <f>SUBTOTAL(109,Table8[Metric Tonnes])</f>
        <v>52.513764172335598</v>
      </c>
      <c r="AB29" t="s">
        <v>71</v>
      </c>
      <c r="AC29">
        <f>SUBTOTAL(103,Table8[Column1])</f>
        <v>3</v>
      </c>
    </row>
    <row r="30" spans="7:41">
      <c r="G30" s="19" t="s">
        <v>63</v>
      </c>
      <c r="H30" s="19" t="s">
        <v>64</v>
      </c>
      <c r="I30" s="19" t="s">
        <v>65</v>
      </c>
      <c r="J30" s="25" t="s">
        <v>66</v>
      </c>
      <c r="K30" s="25" t="s">
        <v>67</v>
      </c>
      <c r="M30" t="s">
        <v>41</v>
      </c>
      <c r="N30">
        <v>15080</v>
      </c>
      <c r="O30" t="s">
        <v>15</v>
      </c>
      <c r="S30" t="s">
        <v>74</v>
      </c>
      <c r="T30">
        <v>9090</v>
      </c>
      <c r="U30" t="s">
        <v>15</v>
      </c>
    </row>
    <row r="31" spans="7:41">
      <c r="G31" s="8">
        <v>44208</v>
      </c>
      <c r="H31">
        <v>96810</v>
      </c>
      <c r="I31" s="33">
        <f>H31/2205</f>
        <v>43.904761904761905</v>
      </c>
      <c r="J31" s="8">
        <v>43882</v>
      </c>
      <c r="K31" s="8">
        <v>44119</v>
      </c>
      <c r="M31" t="s">
        <v>41</v>
      </c>
      <c r="N31">
        <v>9130</v>
      </c>
      <c r="O31" t="s">
        <v>15</v>
      </c>
      <c r="S31" t="s">
        <v>60</v>
      </c>
      <c r="T31">
        <v>5220</v>
      </c>
      <c r="U31" t="s">
        <v>15</v>
      </c>
    </row>
    <row r="32" spans="7:41">
      <c r="G32" s="8">
        <v>44211</v>
      </c>
      <c r="H32">
        <f>SUM(H17:H20)</f>
        <v>34700</v>
      </c>
      <c r="I32" s="33">
        <f>H32/2205</f>
        <v>15.736961451247165</v>
      </c>
      <c r="J32" s="8">
        <v>44125</v>
      </c>
      <c r="K32" s="8">
        <v>44154</v>
      </c>
      <c r="M32" t="s">
        <v>75</v>
      </c>
      <c r="N32">
        <v>9740</v>
      </c>
      <c r="O32" t="s">
        <v>15</v>
      </c>
      <c r="S32" t="s">
        <v>60</v>
      </c>
      <c r="T32">
        <v>2360</v>
      </c>
      <c r="U32" t="s">
        <v>15</v>
      </c>
    </row>
    <row r="33" spans="7:21">
      <c r="M33" t="s">
        <v>76</v>
      </c>
      <c r="N33">
        <v>22140</v>
      </c>
      <c r="O33" t="s">
        <v>15</v>
      </c>
      <c r="S33" t="s">
        <v>68</v>
      </c>
      <c r="T33">
        <v>3990</v>
      </c>
      <c r="U33" t="s">
        <v>15</v>
      </c>
    </row>
    <row r="34" spans="7:21">
      <c r="G34" t="s">
        <v>54</v>
      </c>
      <c r="H34">
        <f>SUBTOTAL(109,Table7[Pounds])</f>
        <v>131510</v>
      </c>
      <c r="I34" s="33">
        <f>SUBTOTAL(109,Table7[Metric Tonnes])</f>
        <v>59.641723356009066</v>
      </c>
      <c r="J34" t="s">
        <v>71</v>
      </c>
      <c r="K34">
        <f>SUBTOTAL(103,Table7[Column1])</f>
        <v>2</v>
      </c>
      <c r="M34" t="s">
        <v>77</v>
      </c>
      <c r="N34">
        <v>13700</v>
      </c>
      <c r="O34" t="s">
        <v>15</v>
      </c>
      <c r="S34" t="s">
        <v>68</v>
      </c>
      <c r="T34">
        <v>5140</v>
      </c>
      <c r="U34" t="s">
        <v>15</v>
      </c>
    </row>
    <row r="35" spans="7:21">
      <c r="M35" t="s">
        <v>77</v>
      </c>
      <c r="N35">
        <v>8120</v>
      </c>
      <c r="O35" t="s">
        <v>15</v>
      </c>
      <c r="S35" t="s">
        <v>73</v>
      </c>
      <c r="T35">
        <v>7080</v>
      </c>
      <c r="U35" t="s">
        <v>15</v>
      </c>
    </row>
    <row r="36" spans="7:21">
      <c r="M36" t="s">
        <v>77</v>
      </c>
      <c r="N36">
        <v>11210</v>
      </c>
      <c r="O36" t="s">
        <v>15</v>
      </c>
      <c r="S36" t="s">
        <v>73</v>
      </c>
      <c r="T36">
        <v>3550</v>
      </c>
      <c r="U36" t="s">
        <v>15</v>
      </c>
    </row>
    <row r="37" spans="7:21">
      <c r="M37" t="s">
        <v>78</v>
      </c>
      <c r="N37">
        <v>8620</v>
      </c>
      <c r="O37" t="s">
        <v>15</v>
      </c>
      <c r="S37" t="s">
        <v>73</v>
      </c>
      <c r="T37">
        <v>8470</v>
      </c>
      <c r="U37" t="s">
        <v>15</v>
      </c>
    </row>
    <row r="38" spans="7:21">
      <c r="M38" t="s">
        <v>78</v>
      </c>
      <c r="N38">
        <v>5640</v>
      </c>
      <c r="O38" t="s">
        <v>15</v>
      </c>
      <c r="S38" t="s">
        <v>41</v>
      </c>
      <c r="T38">
        <v>10010</v>
      </c>
      <c r="U38" t="s">
        <v>15</v>
      </c>
    </row>
    <row r="39" spans="7:21">
      <c r="M39" t="s">
        <v>79</v>
      </c>
      <c r="N39">
        <v>7100</v>
      </c>
      <c r="O39" t="s">
        <v>15</v>
      </c>
      <c r="S39" t="s">
        <v>80</v>
      </c>
      <c r="T39">
        <v>5050</v>
      </c>
      <c r="U39" t="s">
        <v>15</v>
      </c>
    </row>
    <row r="40" spans="7:21">
      <c r="M40" t="s">
        <v>79</v>
      </c>
      <c r="N40">
        <v>10220</v>
      </c>
      <c r="O40" t="s">
        <v>15</v>
      </c>
      <c r="S40" t="s">
        <v>81</v>
      </c>
      <c r="T40">
        <v>12500</v>
      </c>
      <c r="U40" t="s">
        <v>15</v>
      </c>
    </row>
    <row r="41" spans="7:21">
      <c r="M41" t="s">
        <v>82</v>
      </c>
      <c r="N41">
        <v>5200</v>
      </c>
      <c r="O41" t="s">
        <v>15</v>
      </c>
      <c r="S41" t="s">
        <v>81</v>
      </c>
      <c r="T41">
        <v>5160</v>
      </c>
      <c r="U41" t="s">
        <v>15</v>
      </c>
    </row>
    <row r="42" spans="7:21">
      <c r="M42" t="s">
        <v>82</v>
      </c>
      <c r="N42">
        <v>8390</v>
      </c>
      <c r="O42" t="s">
        <v>15</v>
      </c>
      <c r="S42" t="s">
        <v>83</v>
      </c>
      <c r="T42">
        <v>3730</v>
      </c>
      <c r="U42" t="s">
        <v>15</v>
      </c>
    </row>
    <row r="43" spans="7:21">
      <c r="M43" t="s">
        <v>47</v>
      </c>
      <c r="N43">
        <v>11180</v>
      </c>
      <c r="O43" t="s">
        <v>15</v>
      </c>
      <c r="S43" t="s">
        <v>83</v>
      </c>
      <c r="T43">
        <v>4630</v>
      </c>
      <c r="U43" t="s">
        <v>15</v>
      </c>
    </row>
    <row r="44" spans="7:21">
      <c r="M44" s="32" t="s">
        <v>51</v>
      </c>
      <c r="N44" s="32">
        <v>11020</v>
      </c>
      <c r="O44" s="32" t="s">
        <v>15</v>
      </c>
      <c r="S44" t="s">
        <v>83</v>
      </c>
      <c r="T44">
        <v>11970</v>
      </c>
      <c r="U44" t="s">
        <v>15</v>
      </c>
    </row>
    <row r="45" spans="7:21">
      <c r="M45" s="32" t="s">
        <v>51</v>
      </c>
      <c r="N45" s="32">
        <v>10120</v>
      </c>
      <c r="O45" s="32" t="s">
        <v>15</v>
      </c>
      <c r="S45" t="s">
        <v>76</v>
      </c>
      <c r="T45">
        <v>5950</v>
      </c>
      <c r="U45" t="s">
        <v>15</v>
      </c>
    </row>
    <row r="46" spans="7:21">
      <c r="M46" s="32" t="s">
        <v>84</v>
      </c>
      <c r="N46" s="32">
        <v>8740</v>
      </c>
      <c r="O46" s="32" t="s">
        <v>15</v>
      </c>
      <c r="S46" t="s">
        <v>76</v>
      </c>
      <c r="T46">
        <v>4610</v>
      </c>
      <c r="U46" t="s">
        <v>15</v>
      </c>
    </row>
    <row r="47" spans="7:21">
      <c r="M47" s="32" t="s">
        <v>84</v>
      </c>
      <c r="N47" s="32">
        <v>10110</v>
      </c>
      <c r="O47" s="32" t="s">
        <v>15</v>
      </c>
      <c r="S47" t="s">
        <v>78</v>
      </c>
      <c r="T47">
        <v>8750</v>
      </c>
      <c r="U47" t="s">
        <v>15</v>
      </c>
    </row>
    <row r="48" spans="7:21">
      <c r="M48" s="32" t="s">
        <v>84</v>
      </c>
      <c r="N48" s="32">
        <v>11210</v>
      </c>
      <c r="O48" s="32" t="s">
        <v>15</v>
      </c>
      <c r="S48" t="s">
        <v>78</v>
      </c>
      <c r="T48">
        <v>10010</v>
      </c>
      <c r="U48" t="s">
        <v>15</v>
      </c>
    </row>
    <row r="49" spans="13:23">
      <c r="M49" s="32" t="s">
        <v>85</v>
      </c>
      <c r="N49" s="32">
        <v>7950</v>
      </c>
      <c r="O49" s="32" t="s">
        <v>15</v>
      </c>
      <c r="S49" t="s">
        <v>86</v>
      </c>
      <c r="T49">
        <v>2400</v>
      </c>
      <c r="U49" t="s">
        <v>15</v>
      </c>
    </row>
    <row r="50" spans="13:23">
      <c r="M50" s="32" t="s">
        <v>85</v>
      </c>
      <c r="N50" s="32">
        <v>8020</v>
      </c>
      <c r="O50" s="32" t="s">
        <v>15</v>
      </c>
      <c r="S50" t="s">
        <v>87</v>
      </c>
      <c r="T50">
        <v>11640</v>
      </c>
      <c r="U50" t="s">
        <v>15</v>
      </c>
    </row>
    <row r="51" spans="13:23">
      <c r="M51" s="32" t="s">
        <v>88</v>
      </c>
      <c r="N51" s="32">
        <v>11030</v>
      </c>
      <c r="O51" s="32" t="s">
        <v>15</v>
      </c>
      <c r="S51" t="s">
        <v>87</v>
      </c>
      <c r="T51">
        <v>5890</v>
      </c>
      <c r="U51" t="s">
        <v>15</v>
      </c>
    </row>
    <row r="52" spans="13:23">
      <c r="M52" s="32" t="s">
        <v>88</v>
      </c>
      <c r="N52" s="32">
        <v>9530</v>
      </c>
      <c r="O52" s="32" t="s">
        <v>15</v>
      </c>
      <c r="P52" s="8"/>
      <c r="Q52" s="8"/>
      <c r="S52" t="s">
        <v>89</v>
      </c>
      <c r="T52">
        <v>8710</v>
      </c>
      <c r="U52" t="s">
        <v>15</v>
      </c>
    </row>
    <row r="53" spans="13:23">
      <c r="M53" s="32" t="s">
        <v>90</v>
      </c>
      <c r="N53" s="32">
        <v>8120</v>
      </c>
      <c r="O53" s="32" t="s">
        <v>15</v>
      </c>
      <c r="S53" t="s">
        <v>89</v>
      </c>
      <c r="T53">
        <v>3810</v>
      </c>
      <c r="U53" t="s">
        <v>15</v>
      </c>
    </row>
    <row r="54" spans="13:23">
      <c r="M54" s="32" t="s">
        <v>90</v>
      </c>
      <c r="N54" s="32">
        <v>11820</v>
      </c>
      <c r="O54" s="32" t="s">
        <v>15</v>
      </c>
      <c r="S54" t="s">
        <v>91</v>
      </c>
      <c r="T54">
        <v>4340</v>
      </c>
      <c r="U54" t="s">
        <v>15</v>
      </c>
    </row>
    <row r="55" spans="13:23">
      <c r="M55" s="32" t="s">
        <v>20</v>
      </c>
      <c r="N55" s="32">
        <v>9340</v>
      </c>
      <c r="O55" s="32" t="s">
        <v>15</v>
      </c>
      <c r="S55" t="s">
        <v>92</v>
      </c>
      <c r="T55">
        <v>4090</v>
      </c>
      <c r="U55" t="s">
        <v>15</v>
      </c>
    </row>
    <row r="56" spans="13:23">
      <c r="M56" s="32" t="s">
        <v>20</v>
      </c>
      <c r="N56" s="32">
        <v>11520</v>
      </c>
      <c r="O56" s="32" t="s">
        <v>15</v>
      </c>
      <c r="S56" t="s">
        <v>49</v>
      </c>
      <c r="T56">
        <v>3530</v>
      </c>
      <c r="U56" t="s">
        <v>15</v>
      </c>
    </row>
    <row r="57" spans="13:23">
      <c r="M57" s="32" t="s">
        <v>20</v>
      </c>
      <c r="N57" s="32">
        <v>5420</v>
      </c>
      <c r="O57" s="32" t="s">
        <v>15</v>
      </c>
      <c r="S57" s="37" t="s">
        <v>93</v>
      </c>
      <c r="T57" s="37">
        <v>4120</v>
      </c>
      <c r="U57" s="34" t="s">
        <v>15</v>
      </c>
    </row>
    <row r="58" spans="13:23">
      <c r="M58" s="32" t="s">
        <v>94</v>
      </c>
      <c r="N58" s="32">
        <v>6490</v>
      </c>
      <c r="O58" s="32" t="s">
        <v>15</v>
      </c>
      <c r="S58" s="38" t="s">
        <v>95</v>
      </c>
      <c r="T58" s="38">
        <v>7120</v>
      </c>
      <c r="U58" s="35" t="s">
        <v>15</v>
      </c>
    </row>
    <row r="59" spans="13:23">
      <c r="S59" s="38" t="s">
        <v>95</v>
      </c>
      <c r="T59" s="38">
        <v>5400</v>
      </c>
      <c r="U59" s="35" t="s">
        <v>15</v>
      </c>
    </row>
    <row r="60" spans="13:23">
      <c r="S60" s="38" t="s">
        <v>84</v>
      </c>
      <c r="T60" s="38">
        <v>7250</v>
      </c>
      <c r="U60" s="35" t="s">
        <v>15</v>
      </c>
    </row>
    <row r="61" spans="13:23">
      <c r="S61" s="38" t="s">
        <v>24</v>
      </c>
      <c r="T61" s="38">
        <v>12390</v>
      </c>
      <c r="U61" s="35" t="s">
        <v>15</v>
      </c>
    </row>
    <row r="62" spans="13:23">
      <c r="S62" s="38" t="s">
        <v>85</v>
      </c>
      <c r="T62" s="38">
        <v>12060</v>
      </c>
      <c r="U62" s="35" t="s">
        <v>15</v>
      </c>
    </row>
    <row r="63" spans="13:23">
      <c r="M63" t="s">
        <v>96</v>
      </c>
      <c r="N63">
        <f>SUBTOTAL(109,Table24[net weight (pounds)])</f>
        <v>496810</v>
      </c>
      <c r="S63" s="38" t="s">
        <v>85</v>
      </c>
      <c r="T63" s="38">
        <v>7980</v>
      </c>
      <c r="U63" s="35" t="s">
        <v>15</v>
      </c>
    </row>
    <row r="64" spans="13:23">
      <c r="S64" s="38" t="s">
        <v>85</v>
      </c>
      <c r="T64" s="38">
        <v>8050</v>
      </c>
      <c r="U64" s="35" t="s">
        <v>15</v>
      </c>
      <c r="V64" s="8"/>
      <c r="W64" s="8"/>
    </row>
    <row r="65" spans="13:23">
      <c r="M65" t="s">
        <v>56</v>
      </c>
      <c r="N65">
        <f>C6-Table24[[#Totals],[net weight (pounds)]]</f>
        <v>-6490</v>
      </c>
      <c r="S65" s="38" t="s">
        <v>85</v>
      </c>
      <c r="T65" s="38">
        <v>6000</v>
      </c>
      <c r="U65" s="35" t="s">
        <v>15</v>
      </c>
    </row>
    <row r="66" spans="13:23">
      <c r="M66" t="s">
        <v>57</v>
      </c>
      <c r="N66" s="8">
        <v>44111</v>
      </c>
      <c r="O66" s="8">
        <v>44196</v>
      </c>
      <c r="S66" s="38" t="s">
        <v>88</v>
      </c>
      <c r="T66" s="38">
        <v>15790</v>
      </c>
      <c r="U66" s="35" t="s">
        <v>15</v>
      </c>
    </row>
    <row r="67" spans="13:23">
      <c r="S67" s="38" t="s">
        <v>97</v>
      </c>
      <c r="T67" s="38">
        <v>9570</v>
      </c>
      <c r="U67" s="35" t="s">
        <v>15</v>
      </c>
    </row>
    <row r="68" spans="13:23">
      <c r="S68" s="38" t="s">
        <v>97</v>
      </c>
      <c r="T68" s="38">
        <v>4940</v>
      </c>
      <c r="U68" s="35" t="s">
        <v>15</v>
      </c>
    </row>
    <row r="69" spans="13:23">
      <c r="M69" s="20" t="s">
        <v>98</v>
      </c>
      <c r="N69" s="20"/>
      <c r="O69" s="20"/>
      <c r="P69" s="20"/>
      <c r="Q69" s="20"/>
      <c r="S69" s="38" t="s">
        <v>90</v>
      </c>
      <c r="T69" s="38">
        <v>7120</v>
      </c>
      <c r="U69" s="35" t="s">
        <v>15</v>
      </c>
    </row>
    <row r="70" spans="13:23">
      <c r="M70" s="20" t="s">
        <v>63</v>
      </c>
      <c r="N70" s="20" t="s">
        <v>64</v>
      </c>
      <c r="O70" s="20" t="s">
        <v>65</v>
      </c>
      <c r="P70" s="26" t="s">
        <v>66</v>
      </c>
      <c r="Q70" s="26" t="s">
        <v>67</v>
      </c>
      <c r="S70" s="38" t="s">
        <v>90</v>
      </c>
      <c r="T70" s="38">
        <v>10380</v>
      </c>
      <c r="U70" s="35" t="s">
        <v>15</v>
      </c>
    </row>
    <row r="71" spans="13:23">
      <c r="M71" s="8">
        <v>43842</v>
      </c>
      <c r="N71">
        <v>356370</v>
      </c>
      <c r="O71">
        <v>161.65</v>
      </c>
      <c r="P71" s="8">
        <v>43857</v>
      </c>
      <c r="Q71" s="8">
        <v>44110</v>
      </c>
      <c r="S71" s="38" t="s">
        <v>99</v>
      </c>
      <c r="T71" s="38">
        <v>4390</v>
      </c>
      <c r="U71" s="35" t="s">
        <v>15</v>
      </c>
    </row>
    <row r="72" spans="13:23">
      <c r="M72" s="8">
        <v>44211</v>
      </c>
      <c r="N72">
        <f>SUM(N44:N58)</f>
        <v>140440</v>
      </c>
      <c r="O72" s="33">
        <f>Table10[[#This Row],[Pounds]]/2205</f>
        <v>63.691609977324262</v>
      </c>
      <c r="P72" s="8">
        <v>44125</v>
      </c>
      <c r="Q72" s="8">
        <v>44196</v>
      </c>
      <c r="S72" s="38" t="s">
        <v>100</v>
      </c>
      <c r="T72" s="38">
        <v>10820</v>
      </c>
      <c r="U72" s="35" t="s">
        <v>15</v>
      </c>
    </row>
    <row r="73" spans="13:23">
      <c r="M73" t="s">
        <v>54</v>
      </c>
      <c r="P73" t="s">
        <v>101</v>
      </c>
      <c r="Q73">
        <f>SUBTOTAL(103,Table10[Column1])</f>
        <v>2</v>
      </c>
      <c r="S73" s="39" t="s">
        <v>100</v>
      </c>
      <c r="T73" s="39">
        <v>2450</v>
      </c>
      <c r="U73" s="36" t="s">
        <v>15</v>
      </c>
    </row>
    <row r="75" spans="13:23">
      <c r="T75">
        <f>SUBTOTAL(109,Table245[net weight (pounds)])</f>
        <v>453054</v>
      </c>
    </row>
    <row r="78" spans="13:23">
      <c r="S78" s="21" t="s">
        <v>61</v>
      </c>
      <c r="T78" s="21"/>
      <c r="U78" s="21"/>
      <c r="V78" s="21"/>
      <c r="W78" s="21"/>
    </row>
    <row r="79" spans="13:23">
      <c r="S79" s="21" t="s">
        <v>63</v>
      </c>
      <c r="T79" s="21" t="s">
        <v>64</v>
      </c>
      <c r="U79" s="21" t="s">
        <v>65</v>
      </c>
      <c r="V79" s="27" t="s">
        <v>66</v>
      </c>
      <c r="W79" s="27" t="s">
        <v>67</v>
      </c>
    </row>
    <row r="80" spans="13:23">
      <c r="S80" s="8">
        <v>44209</v>
      </c>
      <c r="T80">
        <v>317224</v>
      </c>
      <c r="U80">
        <v>143.88999999999999</v>
      </c>
      <c r="V80" s="8">
        <v>43868</v>
      </c>
      <c r="W80" s="8">
        <v>44119</v>
      </c>
    </row>
    <row r="81" spans="19:23">
      <c r="S81" s="8">
        <v>44211</v>
      </c>
      <c r="T81">
        <f>SUM(T57:T73)</f>
        <v>135830</v>
      </c>
      <c r="U81" s="33">
        <f>Table9[[#This Row],[Pounds]]/2205</f>
        <v>61.600907029478456</v>
      </c>
      <c r="V81" s="8">
        <v>44130</v>
      </c>
      <c r="W81" s="8">
        <v>44187</v>
      </c>
    </row>
    <row r="82" spans="19:23">
      <c r="S82" t="s">
        <v>54</v>
      </c>
      <c r="T82">
        <f>SUBTOTAL(109,Table9[Pounds])</f>
        <v>453054</v>
      </c>
      <c r="U82">
        <f>SUBTOTAL(109,Table9[Metric Tonnes])</f>
        <v>205.49090702947845</v>
      </c>
      <c r="V82" t="s">
        <v>71</v>
      </c>
      <c r="W82">
        <f>SUBTOTAL(103,Table9[Column1])</f>
        <v>2</v>
      </c>
    </row>
  </sheetData>
  <mergeCells count="1">
    <mergeCell ref="AH25:AI25"/>
  </mergeCells>
  <phoneticPr fontId="4" type="noConversion"/>
  <pageMargins left="0.7" right="0.7" top="0.75" bottom="0.75" header="0.3" footer="0.3"/>
  <pageSetup orientation="portrait" verticalDpi="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2962-798D-4961-9152-FDBDBB66841F}">
  <dimension ref="B2:BC89"/>
  <sheetViews>
    <sheetView tabSelected="1" topLeftCell="AN1" zoomScaleNormal="100" workbookViewId="0">
      <selection activeCell="I21" sqref="I21"/>
    </sheetView>
  </sheetViews>
  <sheetFormatPr defaultRowHeight="14.45"/>
  <cols>
    <col min="2" max="2" width="12.140625" customWidth="1"/>
    <col min="3" max="3" width="18.42578125" customWidth="1"/>
    <col min="5" max="6" width="12" customWidth="1"/>
    <col min="7" max="7" width="20.140625" customWidth="1"/>
    <col min="8" max="8" width="14.7109375" customWidth="1"/>
    <col min="9" max="9" width="23.85546875" customWidth="1"/>
    <col min="10" max="10" width="16.85546875" style="33" customWidth="1"/>
    <col min="11" max="11" width="13.140625" customWidth="1"/>
    <col min="12" max="12" width="15.7109375" customWidth="1"/>
    <col min="13" max="13" width="19" customWidth="1"/>
    <col min="14" max="14" width="19.5703125" customWidth="1"/>
    <col min="15" max="15" width="14.42578125" customWidth="1"/>
    <col min="16" max="16" width="17.85546875" customWidth="1"/>
    <col min="17" max="17" width="16.42578125" style="33" customWidth="1"/>
    <col min="18" max="18" width="13.7109375" customWidth="1"/>
    <col min="19" max="19" width="12.42578125" customWidth="1"/>
    <col min="20" max="20" width="12.5703125" customWidth="1"/>
    <col min="21" max="21" width="19.140625" customWidth="1"/>
    <col min="22" max="23" width="14.5703125" customWidth="1"/>
    <col min="24" max="24" width="15" style="33" customWidth="1"/>
    <col min="25" max="25" width="10.85546875" customWidth="1"/>
    <col min="26" max="26" width="12.7109375" customWidth="1"/>
    <col min="27" max="27" width="15.5703125" customWidth="1"/>
    <col min="28" max="28" width="20" customWidth="1"/>
    <col min="29" max="29" width="13" customWidth="1"/>
    <col min="30" max="31" width="15.85546875" customWidth="1"/>
    <col min="32" max="32" width="12.85546875" customWidth="1"/>
    <col min="33" max="33" width="15" customWidth="1"/>
    <col min="34" max="34" width="20" customWidth="1"/>
    <col min="35" max="35" width="12.85546875" customWidth="1"/>
    <col min="36" max="36" width="14.7109375" customWidth="1"/>
    <col min="37" max="37" width="13.85546875" customWidth="1"/>
    <col min="39" max="39" width="16.42578125" customWidth="1"/>
    <col min="41" max="41" width="15.5703125" customWidth="1"/>
    <col min="42" max="42" width="15.42578125" customWidth="1"/>
    <col min="43" max="43" width="14" customWidth="1"/>
    <col min="45" max="45" width="16.140625" customWidth="1"/>
    <col min="47" max="47" width="12" customWidth="1"/>
    <col min="48" max="48" width="21.140625" customWidth="1"/>
    <col min="49" max="49" width="13.42578125" customWidth="1"/>
    <col min="50" max="50" width="22.85546875" customWidth="1"/>
    <col min="51" max="51" width="17.85546875" customWidth="1"/>
    <col min="52" max="52" width="18.28515625" customWidth="1"/>
    <col min="53" max="53" width="19.85546875" customWidth="1"/>
    <col min="54" max="54" width="20.85546875" customWidth="1"/>
  </cols>
  <sheetData>
    <row r="2" spans="2:52" ht="15" thickBot="1">
      <c r="B2" s="7" t="s">
        <v>102</v>
      </c>
      <c r="F2" s="9" t="s">
        <v>103</v>
      </c>
      <c r="G2" s="9"/>
      <c r="H2" s="10"/>
      <c r="I2" s="10"/>
      <c r="J2" s="49"/>
      <c r="K2" s="10"/>
      <c r="M2" s="11" t="s">
        <v>104</v>
      </c>
      <c r="N2" s="11"/>
      <c r="O2" s="12"/>
      <c r="P2" s="12"/>
      <c r="Q2" s="52"/>
      <c r="R2" s="12"/>
      <c r="T2" s="13" t="s">
        <v>105</v>
      </c>
      <c r="U2" s="13"/>
      <c r="V2" s="14"/>
      <c r="W2" s="14"/>
      <c r="X2" s="56"/>
      <c r="Y2" s="14"/>
      <c r="AA2" s="15" t="s">
        <v>106</v>
      </c>
      <c r="AB2" s="15"/>
      <c r="AC2" s="16"/>
      <c r="AD2" s="16"/>
      <c r="AE2" s="16"/>
      <c r="AH2" s="17" t="s">
        <v>107</v>
      </c>
      <c r="AI2" s="17"/>
      <c r="AJ2" s="18"/>
      <c r="AK2" s="18"/>
      <c r="AL2" s="18"/>
      <c r="AP2" s="30" t="s">
        <v>108</v>
      </c>
      <c r="AQ2" s="29"/>
      <c r="AR2" s="29"/>
      <c r="AS2" s="29"/>
      <c r="AT2" s="29"/>
      <c r="AW2" s="105" t="s">
        <v>109</v>
      </c>
      <c r="AX2" s="105"/>
      <c r="AY2" s="106"/>
      <c r="AZ2" s="106"/>
    </row>
    <row r="3" spans="2:52" ht="15" thickBot="1">
      <c r="B3" s="1" t="s">
        <v>7</v>
      </c>
      <c r="C3" s="2" t="s">
        <v>110</v>
      </c>
    </row>
    <row r="4" spans="2:52" ht="15" thickBot="1">
      <c r="B4" s="3" t="s">
        <v>9</v>
      </c>
      <c r="C4" s="54">
        <f>W89</f>
        <v>174.69383823999999</v>
      </c>
      <c r="F4" t="s">
        <v>10</v>
      </c>
      <c r="G4" t="s">
        <v>11</v>
      </c>
      <c r="H4" t="s">
        <v>12</v>
      </c>
      <c r="I4" t="s">
        <v>111</v>
      </c>
      <c r="M4" t="s">
        <v>10</v>
      </c>
      <c r="N4" t="s">
        <v>11</v>
      </c>
      <c r="O4" t="s">
        <v>12</v>
      </c>
      <c r="P4" t="s">
        <v>112</v>
      </c>
      <c r="T4" t="s">
        <v>10</v>
      </c>
      <c r="U4" t="s">
        <v>11</v>
      </c>
      <c r="V4" t="s">
        <v>12</v>
      </c>
      <c r="W4" t="s">
        <v>112</v>
      </c>
      <c r="AA4" t="s">
        <v>10</v>
      </c>
      <c r="AB4" t="s">
        <v>11</v>
      </c>
      <c r="AC4" t="s">
        <v>12</v>
      </c>
      <c r="AD4" t="s">
        <v>112</v>
      </c>
      <c r="AH4" t="s">
        <v>10</v>
      </c>
      <c r="AI4" t="s">
        <v>11</v>
      </c>
      <c r="AJ4" t="s">
        <v>12</v>
      </c>
      <c r="AK4" t="s">
        <v>113</v>
      </c>
      <c r="AP4" t="s">
        <v>10</v>
      </c>
      <c r="AQ4" t="s">
        <v>11</v>
      </c>
      <c r="AR4" t="s">
        <v>12</v>
      </c>
      <c r="AS4" t="s">
        <v>113</v>
      </c>
      <c r="AW4" t="s">
        <v>10</v>
      </c>
      <c r="AX4" t="s">
        <v>11</v>
      </c>
      <c r="AY4" t="s">
        <v>12</v>
      </c>
      <c r="AZ4" t="s">
        <v>111</v>
      </c>
    </row>
    <row r="5" spans="2:52" ht="15" thickBot="1">
      <c r="B5" s="5" t="s">
        <v>13</v>
      </c>
      <c r="C5" s="53">
        <f>AT25</f>
        <v>0</v>
      </c>
      <c r="E5" s="66"/>
      <c r="F5" s="66">
        <v>44223</v>
      </c>
      <c r="G5">
        <v>6540</v>
      </c>
      <c r="H5" t="s">
        <v>15</v>
      </c>
      <c r="I5">
        <f>Table212[[#This Row],[net weight (pounds)]]/2000</f>
        <v>3.27</v>
      </c>
      <c r="M5" s="66">
        <v>44202</v>
      </c>
      <c r="N5">
        <v>14300</v>
      </c>
      <c r="O5" t="s">
        <v>15</v>
      </c>
      <c r="T5" s="66">
        <v>44209</v>
      </c>
      <c r="U5">
        <v>12540</v>
      </c>
      <c r="V5" t="s">
        <v>114</v>
      </c>
      <c r="AA5" s="66">
        <v>44364</v>
      </c>
      <c r="AC5" t="s">
        <v>15</v>
      </c>
      <c r="AD5">
        <v>16.82</v>
      </c>
      <c r="AE5" t="s">
        <v>115</v>
      </c>
      <c r="AW5" s="66">
        <v>44516</v>
      </c>
      <c r="AX5">
        <v>22490</v>
      </c>
      <c r="AY5" t="s">
        <v>15</v>
      </c>
      <c r="AZ5">
        <f>Table22[[#This Row],[net weight (pounds)]]/2000</f>
        <v>11.244999999999999</v>
      </c>
    </row>
    <row r="6" spans="2:52" ht="15" thickBot="1">
      <c r="B6" s="3" t="s">
        <v>21</v>
      </c>
      <c r="C6" s="54">
        <f>Q73</f>
        <v>176.25017029999998</v>
      </c>
      <c r="E6" s="66"/>
      <c r="F6" s="66">
        <v>44267</v>
      </c>
      <c r="H6" t="s">
        <v>15</v>
      </c>
      <c r="I6">
        <v>3.52</v>
      </c>
      <c r="J6" s="33" t="s">
        <v>116</v>
      </c>
      <c r="M6" s="66">
        <v>44204</v>
      </c>
      <c r="N6">
        <v>7280</v>
      </c>
      <c r="O6" t="s">
        <v>15</v>
      </c>
      <c r="T6" s="66">
        <v>44209</v>
      </c>
      <c r="U6">
        <v>9440</v>
      </c>
      <c r="V6" t="s">
        <v>15</v>
      </c>
      <c r="AA6" s="66">
        <v>44364</v>
      </c>
      <c r="AC6" t="s">
        <v>15</v>
      </c>
      <c r="AD6">
        <v>9.31</v>
      </c>
      <c r="AW6" s="66">
        <v>44516</v>
      </c>
      <c r="AX6">
        <v>19040</v>
      </c>
      <c r="AY6" t="s">
        <v>15</v>
      </c>
      <c r="AZ6">
        <f>Table22[[#This Row],[net weight (pounds)]]/2000</f>
        <v>9.52</v>
      </c>
    </row>
    <row r="7" spans="2:52" ht="15" thickBot="1">
      <c r="B7" s="5" t="s">
        <v>25</v>
      </c>
      <c r="C7" s="53">
        <f>J44</f>
        <v>54.938820800000002</v>
      </c>
      <c r="E7" s="66"/>
      <c r="F7" s="66">
        <v>44302</v>
      </c>
      <c r="H7" t="s">
        <v>15</v>
      </c>
      <c r="I7">
        <v>3.36</v>
      </c>
      <c r="M7" s="66">
        <v>44217</v>
      </c>
      <c r="N7">
        <v>13400</v>
      </c>
      <c r="O7" t="s">
        <v>15</v>
      </c>
      <c r="T7" s="66">
        <v>44211</v>
      </c>
      <c r="U7">
        <v>4870</v>
      </c>
      <c r="V7" t="s">
        <v>15</v>
      </c>
      <c r="AA7" s="66">
        <v>44477</v>
      </c>
      <c r="AB7">
        <v>19200</v>
      </c>
      <c r="AC7" t="s">
        <v>15</v>
      </c>
      <c r="AD7">
        <f>Table245618[[#This Row],[net weight (pounds)]]/2000</f>
        <v>9.6</v>
      </c>
      <c r="AW7" s="66">
        <v>44517</v>
      </c>
      <c r="AX7">
        <v>35780</v>
      </c>
      <c r="AY7" t="s">
        <v>117</v>
      </c>
      <c r="AZ7">
        <f>Table22[[#This Row],[net weight (pounds)]]/2000</f>
        <v>17.89</v>
      </c>
    </row>
    <row r="8" spans="2:52" ht="15" thickBot="1">
      <c r="B8" s="3" t="s">
        <v>30</v>
      </c>
      <c r="C8" s="54">
        <f>AM23</f>
        <v>0</v>
      </c>
      <c r="E8" s="66"/>
      <c r="F8" s="66">
        <v>44312</v>
      </c>
      <c r="H8" t="s">
        <v>15</v>
      </c>
      <c r="I8">
        <v>2.93</v>
      </c>
      <c r="M8" s="66">
        <v>44217</v>
      </c>
      <c r="N8">
        <v>10480</v>
      </c>
      <c r="O8" t="s">
        <v>15</v>
      </c>
      <c r="T8" s="66">
        <v>44223</v>
      </c>
      <c r="U8">
        <v>6080</v>
      </c>
      <c r="V8" t="s">
        <v>15</v>
      </c>
      <c r="AA8" s="104">
        <v>44477</v>
      </c>
      <c r="AB8" s="47">
        <v>18300</v>
      </c>
      <c r="AC8" t="s">
        <v>15</v>
      </c>
      <c r="AD8">
        <f>Table245618[[#This Row],[net weight (pounds)]]/2000</f>
        <v>9.15</v>
      </c>
      <c r="AW8" s="66">
        <v>44517</v>
      </c>
      <c r="AX8">
        <v>20580</v>
      </c>
      <c r="AY8" t="s">
        <v>15</v>
      </c>
      <c r="AZ8">
        <f>Table22[[#This Row],[net weight (pounds)]]/2000</f>
        <v>10.29</v>
      </c>
    </row>
    <row r="9" spans="2:52" ht="15" thickBot="1">
      <c r="B9" s="5" t="s">
        <v>34</v>
      </c>
      <c r="C9" s="53">
        <f>Table71324[[#Totals],[Total Metric Tonnes]]</f>
        <v>48.945</v>
      </c>
      <c r="E9" s="66"/>
      <c r="F9" s="66">
        <v>44315</v>
      </c>
      <c r="H9" t="s">
        <v>15</v>
      </c>
      <c r="I9">
        <v>3.45</v>
      </c>
      <c r="M9" s="66">
        <v>44217</v>
      </c>
      <c r="N9">
        <v>12000</v>
      </c>
      <c r="O9" t="s">
        <v>15</v>
      </c>
      <c r="T9" s="66">
        <v>44245</v>
      </c>
      <c r="U9">
        <v>9260</v>
      </c>
      <c r="V9" t="s">
        <v>15</v>
      </c>
      <c r="AA9" s="48"/>
      <c r="AB9" s="48"/>
      <c r="AC9" s="48"/>
      <c r="AD9" s="48"/>
      <c r="AW9" s="66"/>
    </row>
    <row r="10" spans="2:52" ht="15" thickBot="1">
      <c r="B10" s="3" t="s">
        <v>37</v>
      </c>
      <c r="C10" s="65">
        <f>Table245618[[#Totals],[Net Weight (NT)]]</f>
        <v>44.88</v>
      </c>
      <c r="E10" s="66"/>
      <c r="F10" s="66">
        <v>44315</v>
      </c>
      <c r="H10" t="s">
        <v>15</v>
      </c>
      <c r="I10">
        <v>4.74</v>
      </c>
      <c r="M10" s="66">
        <v>44257</v>
      </c>
      <c r="O10" t="s">
        <v>15</v>
      </c>
      <c r="P10">
        <v>2.85</v>
      </c>
      <c r="Q10" s="33" t="s">
        <v>116</v>
      </c>
      <c r="T10" s="66">
        <v>44260</v>
      </c>
      <c r="V10" t="s">
        <v>15</v>
      </c>
      <c r="W10">
        <v>2.8769999999999998</v>
      </c>
      <c r="X10" s="33" t="s">
        <v>116</v>
      </c>
      <c r="AW10" s="66"/>
    </row>
    <row r="11" spans="2:52">
      <c r="E11" s="66"/>
      <c r="F11" s="66">
        <v>44316</v>
      </c>
      <c r="H11" t="s">
        <v>15</v>
      </c>
      <c r="I11">
        <v>2.95</v>
      </c>
      <c r="M11" s="66">
        <v>44267</v>
      </c>
      <c r="O11" t="s">
        <v>15</v>
      </c>
      <c r="P11">
        <v>4.62</v>
      </c>
      <c r="Q11" s="33" t="s">
        <v>116</v>
      </c>
      <c r="T11" s="66">
        <v>44270</v>
      </c>
      <c r="V11" t="s">
        <v>15</v>
      </c>
      <c r="W11">
        <v>2.82</v>
      </c>
      <c r="X11" s="33" t="s">
        <v>116</v>
      </c>
      <c r="AW11" s="66"/>
    </row>
    <row r="12" spans="2:52">
      <c r="E12" s="66"/>
      <c r="F12" s="66">
        <v>44328</v>
      </c>
      <c r="H12" t="s">
        <v>15</v>
      </c>
      <c r="I12">
        <v>5.04</v>
      </c>
      <c r="M12" s="66">
        <v>44267</v>
      </c>
      <c r="O12" t="s">
        <v>15</v>
      </c>
      <c r="P12">
        <v>4.76</v>
      </c>
      <c r="Q12" s="33" t="s">
        <v>116</v>
      </c>
      <c r="T12" s="66">
        <v>44271</v>
      </c>
      <c r="V12" t="s">
        <v>15</v>
      </c>
      <c r="W12">
        <v>2.48</v>
      </c>
      <c r="X12" s="33" t="s">
        <v>116</v>
      </c>
      <c r="AW12" s="66"/>
    </row>
    <row r="13" spans="2:52">
      <c r="E13" s="66"/>
      <c r="F13" s="66">
        <v>44335</v>
      </c>
      <c r="H13" t="s">
        <v>15</v>
      </c>
      <c r="I13">
        <v>3.28</v>
      </c>
      <c r="M13" s="66">
        <v>44267</v>
      </c>
      <c r="O13" t="s">
        <v>15</v>
      </c>
      <c r="P13">
        <v>3.82</v>
      </c>
      <c r="Q13" s="33" t="s">
        <v>116</v>
      </c>
      <c r="T13" s="66">
        <v>44285</v>
      </c>
      <c r="V13" t="s">
        <v>15</v>
      </c>
      <c r="W13">
        <v>5.7110000000000003</v>
      </c>
      <c r="X13" s="33" t="s">
        <v>116</v>
      </c>
      <c r="AW13" s="66"/>
    </row>
    <row r="14" spans="2:52">
      <c r="E14" s="66"/>
      <c r="F14" s="66">
        <v>44335</v>
      </c>
      <c r="H14" t="s">
        <v>15</v>
      </c>
      <c r="I14">
        <v>2.95</v>
      </c>
      <c r="M14" s="66">
        <v>44312</v>
      </c>
      <c r="O14" t="s">
        <v>15</v>
      </c>
      <c r="P14">
        <v>3.42</v>
      </c>
      <c r="T14" s="66">
        <v>44285</v>
      </c>
      <c r="V14" t="s">
        <v>15</v>
      </c>
      <c r="W14">
        <v>2.79</v>
      </c>
      <c r="X14" s="33" t="s">
        <v>116</v>
      </c>
      <c r="AW14" s="66"/>
    </row>
    <row r="15" spans="2:52">
      <c r="E15" s="66"/>
      <c r="F15" s="66">
        <v>44342</v>
      </c>
      <c r="H15" t="s">
        <v>15</v>
      </c>
      <c r="I15">
        <v>1.1499999999999999</v>
      </c>
      <c r="M15" s="66">
        <v>44312</v>
      </c>
      <c r="O15" t="s">
        <v>15</v>
      </c>
      <c r="P15">
        <v>6.66</v>
      </c>
      <c r="T15" s="66">
        <v>44285</v>
      </c>
      <c r="V15" t="s">
        <v>15</v>
      </c>
      <c r="W15">
        <v>5.5E-2</v>
      </c>
      <c r="X15" s="33" t="s">
        <v>116</v>
      </c>
      <c r="AW15" s="66"/>
    </row>
    <row r="16" spans="2:52">
      <c r="E16" s="66"/>
      <c r="F16" s="66">
        <v>44427</v>
      </c>
      <c r="H16" t="s">
        <v>15</v>
      </c>
      <c r="I16">
        <v>2.25</v>
      </c>
      <c r="M16" s="66">
        <v>44312</v>
      </c>
      <c r="O16" t="s">
        <v>15</v>
      </c>
      <c r="P16">
        <v>5.1100000000000003</v>
      </c>
      <c r="T16" s="66">
        <v>44300</v>
      </c>
      <c r="V16" t="s">
        <v>15</v>
      </c>
      <c r="W16">
        <v>1.52</v>
      </c>
      <c r="AW16" s="66"/>
    </row>
    <row r="17" spans="5:52">
      <c r="E17" s="66"/>
      <c r="F17" s="66">
        <v>44427</v>
      </c>
      <c r="H17" t="s">
        <v>15</v>
      </c>
      <c r="I17">
        <v>3.52</v>
      </c>
      <c r="M17" s="66">
        <v>44315</v>
      </c>
      <c r="O17" t="s">
        <v>15</v>
      </c>
      <c r="P17">
        <v>4.54</v>
      </c>
      <c r="T17" s="66">
        <v>44300</v>
      </c>
      <c r="V17" t="s">
        <v>15</v>
      </c>
      <c r="W17">
        <v>3.9350000000000001</v>
      </c>
      <c r="Z17" t="s">
        <v>118</v>
      </c>
      <c r="AB17">
        <f>SUBTOTAL(109,Table245618[net weight (pounds)])</f>
        <v>37500</v>
      </c>
      <c r="AD17">
        <f>SUM(Table245618[Net Weight (NT)])</f>
        <v>44.88</v>
      </c>
      <c r="AI17">
        <f>SUBTOTAL(109,Table245720[net weight (pounds)])</f>
        <v>0</v>
      </c>
      <c r="AK17">
        <f>SUBTOTAL(109,Table245720[net weight (pounds)])</f>
        <v>0</v>
      </c>
      <c r="AS17">
        <f>SUBTOTAL(109,Table245720[net weight (pounds)])</f>
        <v>0</v>
      </c>
      <c r="AW17" s="66"/>
    </row>
    <row r="18" spans="5:52">
      <c r="E18" s="66"/>
      <c r="F18" s="66">
        <v>44439</v>
      </c>
      <c r="H18" t="s">
        <v>15</v>
      </c>
      <c r="I18">
        <v>5.0599999999999996</v>
      </c>
      <c r="M18" s="66">
        <v>44316</v>
      </c>
      <c r="O18" t="s">
        <v>15</v>
      </c>
      <c r="P18">
        <v>3.63</v>
      </c>
      <c r="T18" s="66">
        <v>44300</v>
      </c>
      <c r="V18" t="s">
        <v>15</v>
      </c>
      <c r="W18">
        <v>4.7750000000000004</v>
      </c>
      <c r="AG18" s="134" t="s">
        <v>63</v>
      </c>
      <c r="AH18" s="134" t="s">
        <v>119</v>
      </c>
      <c r="AI18" s="134" t="s">
        <v>119</v>
      </c>
      <c r="AJ18" s="134" t="s">
        <v>64</v>
      </c>
      <c r="AK18" s="134" t="s">
        <v>120</v>
      </c>
      <c r="AL18" s="135" t="s">
        <v>121</v>
      </c>
      <c r="AM18" s="136" t="s">
        <v>122</v>
      </c>
      <c r="AP18" t="s">
        <v>54</v>
      </c>
      <c r="AQ18">
        <f>SUBTOTAL(109,Table121[net weight (pounds)])</f>
        <v>0</v>
      </c>
      <c r="AW18" s="66"/>
    </row>
    <row r="19" spans="5:52">
      <c r="E19" s="66"/>
      <c r="F19" s="66">
        <v>44452</v>
      </c>
      <c r="H19" t="s">
        <v>15</v>
      </c>
      <c r="I19">
        <v>2.8</v>
      </c>
      <c r="M19" s="66">
        <v>44316</v>
      </c>
      <c r="O19" t="s">
        <v>15</v>
      </c>
      <c r="P19">
        <v>5.01</v>
      </c>
      <c r="T19" s="66">
        <v>44307</v>
      </c>
      <c r="V19" t="s">
        <v>15</v>
      </c>
      <c r="W19">
        <v>7.4999999999999997E-2</v>
      </c>
      <c r="AG19" s="118" t="s">
        <v>123</v>
      </c>
      <c r="AH19" s="119">
        <v>44197</v>
      </c>
      <c r="AI19" s="119">
        <v>44286</v>
      </c>
      <c r="AJ19" s="117">
        <f>SUMIFS($AI$5:$AI$15,$AH$5:$AH$15,"&gt;"&amp;AH19,$AH$5:$AH$15,"&lt;="&amp;AI19)</f>
        <v>0</v>
      </c>
      <c r="AK19" s="117">
        <f>SUMIFS($AK$5:$AK$15,$AH$5:$AH$15,"&gt;"&amp;AH19,$AH$5:$AH$15,"&lt;="&amp;AI19)</f>
        <v>0</v>
      </c>
      <c r="AL19" s="120">
        <f>AK19*0.90718</f>
        <v>0</v>
      </c>
      <c r="AM19" s="118"/>
      <c r="AW19" s="66"/>
    </row>
    <row r="20" spans="5:52">
      <c r="F20" s="66">
        <v>44473</v>
      </c>
      <c r="G20">
        <v>11780</v>
      </c>
      <c r="H20" t="s">
        <v>15</v>
      </c>
      <c r="I20">
        <f>Table212[[#This Row],[net weight (pounds)]]/2000</f>
        <v>5.89</v>
      </c>
      <c r="M20" s="66">
        <v>44328</v>
      </c>
      <c r="O20" t="s">
        <v>15</v>
      </c>
      <c r="P20">
        <v>5.34</v>
      </c>
      <c r="T20" s="66">
        <v>44307</v>
      </c>
      <c r="V20" t="s">
        <v>15</v>
      </c>
      <c r="W20">
        <v>2.4449999999999998</v>
      </c>
      <c r="Y20" s="74"/>
      <c r="Z20" s="74"/>
      <c r="AA20" s="74" t="s">
        <v>124</v>
      </c>
      <c r="AB20" s="74"/>
      <c r="AC20" s="74"/>
      <c r="AD20" s="74"/>
      <c r="AE20" s="75"/>
      <c r="AF20" s="116"/>
      <c r="AG20" s="118" t="s">
        <v>125</v>
      </c>
      <c r="AH20" s="119">
        <v>44287</v>
      </c>
      <c r="AI20" s="119">
        <v>44377</v>
      </c>
      <c r="AJ20" s="117">
        <f t="shared" ref="AJ20:AJ22" si="0">SUMIFS($AI$5:$AI$15,$AH$5:$AH$15,"&gt;"&amp;AH20,$AH$5:$AH$15,"&lt;="&amp;AI20)</f>
        <v>0</v>
      </c>
      <c r="AK20" s="117">
        <f t="shared" ref="AK20:AK22" si="1">SUMIFS($AK$5:$AK$15,$AH$5:$AH$15,"&gt;"&amp;AH20,$AH$5:$AH$15,"&lt;="&amp;AI20)</f>
        <v>0</v>
      </c>
      <c r="AL20" s="120">
        <f>AK20*0.90718</f>
        <v>0</v>
      </c>
      <c r="AM20" s="118"/>
      <c r="AO20" s="131" t="s">
        <v>63</v>
      </c>
      <c r="AP20" s="131" t="s">
        <v>119</v>
      </c>
      <c r="AQ20" s="131" t="s">
        <v>119</v>
      </c>
      <c r="AR20" s="131" t="s">
        <v>64</v>
      </c>
      <c r="AS20" s="131" t="s">
        <v>120</v>
      </c>
      <c r="AT20" s="132" t="s">
        <v>121</v>
      </c>
      <c r="AU20" s="133" t="s">
        <v>122</v>
      </c>
      <c r="AW20" s="66"/>
    </row>
    <row r="21" spans="5:52">
      <c r="F21" s="66">
        <v>44495</v>
      </c>
      <c r="G21">
        <v>8800</v>
      </c>
      <c r="H21" t="s">
        <v>15</v>
      </c>
      <c r="I21">
        <f>Table212[[#This Row],[net weight (pounds)]]/2000</f>
        <v>4.4000000000000004</v>
      </c>
      <c r="M21" s="66">
        <v>44328</v>
      </c>
      <c r="O21" t="s">
        <v>15</v>
      </c>
      <c r="P21">
        <v>4.41</v>
      </c>
      <c r="T21" s="66">
        <v>44307</v>
      </c>
      <c r="V21" t="s">
        <v>15</v>
      </c>
      <c r="W21">
        <v>2.9649999999999999</v>
      </c>
      <c r="Y21" s="74" t="s">
        <v>63</v>
      </c>
      <c r="Z21" s="74" t="s">
        <v>119</v>
      </c>
      <c r="AA21" s="74" t="s">
        <v>119</v>
      </c>
      <c r="AB21" s="74" t="s">
        <v>64</v>
      </c>
      <c r="AC21" s="74" t="s">
        <v>120</v>
      </c>
      <c r="AD21" s="76" t="s">
        <v>121</v>
      </c>
      <c r="AE21" s="77" t="s">
        <v>122</v>
      </c>
      <c r="AG21" s="117" t="s">
        <v>126</v>
      </c>
      <c r="AH21" s="119">
        <v>44378</v>
      </c>
      <c r="AI21" s="119">
        <v>44469</v>
      </c>
      <c r="AJ21" s="117">
        <f t="shared" si="0"/>
        <v>0</v>
      </c>
      <c r="AK21" s="117">
        <f t="shared" si="1"/>
        <v>0</v>
      </c>
      <c r="AL21" s="120">
        <f>AK21*0.90718</f>
        <v>0</v>
      </c>
      <c r="AM21" s="118"/>
      <c r="AO21" s="125" t="s">
        <v>123</v>
      </c>
      <c r="AP21" s="126">
        <v>44197</v>
      </c>
      <c r="AQ21" s="126">
        <v>44286</v>
      </c>
      <c r="AR21" s="124">
        <f>SUMIFS($AQ$5:$AQ$16,$AP$5:$AP$16,"&gt;"&amp;AP21,$AP$5:$AP$16,"&lt;="&amp;AQ21)</f>
        <v>0</v>
      </c>
      <c r="AS21" s="124">
        <f>SUMIFS($AS$5:$AS$16,$AP$5:$AP$16,"&gt;"&amp;AP21,$AP$5:$AP$16,"&lt;="&amp;AQ21)</f>
        <v>0</v>
      </c>
      <c r="AT21" s="127">
        <f>AS21*0.90718</f>
        <v>0</v>
      </c>
      <c r="AU21" s="125"/>
      <c r="AW21" s="66"/>
    </row>
    <row r="22" spans="5:52" ht="15" thickBot="1">
      <c r="M22" s="66">
        <v>44328</v>
      </c>
      <c r="O22" t="s">
        <v>15</v>
      </c>
      <c r="P22">
        <v>5.84</v>
      </c>
      <c r="T22" s="66">
        <v>44307</v>
      </c>
      <c r="V22" t="s">
        <v>15</v>
      </c>
      <c r="W22">
        <v>2.2400000000000002</v>
      </c>
      <c r="Y22" s="78" t="s">
        <v>123</v>
      </c>
      <c r="Z22" s="79">
        <v>44197</v>
      </c>
      <c r="AA22" s="79">
        <v>44286</v>
      </c>
      <c r="AB22" s="74">
        <f>SUMIFS($AB$5:$AB$15,$AA$5:$AA$15,"&gt;"&amp;Z22,$AA$5:$AA$15,"&lt;="&amp;AA22)</f>
        <v>0</v>
      </c>
      <c r="AC22" s="74">
        <f>SUMIFS($AD$5:$AD$15,$AA$5:$AA$15,"&gt;"&amp;Z22,$AA$5:$AA$15,"&lt;="&amp;AA22)</f>
        <v>0</v>
      </c>
      <c r="AD22" s="75">
        <f>AC22*0.90718</f>
        <v>0</v>
      </c>
      <c r="AE22" s="78" t="s">
        <v>127</v>
      </c>
      <c r="AG22" s="117" t="s">
        <v>128</v>
      </c>
      <c r="AH22" s="119">
        <v>44470</v>
      </c>
      <c r="AI22" s="121" t="s">
        <v>129</v>
      </c>
      <c r="AJ22" s="117">
        <f t="shared" si="0"/>
        <v>0</v>
      </c>
      <c r="AK22" s="117">
        <f t="shared" si="1"/>
        <v>0</v>
      </c>
      <c r="AL22" s="120">
        <f>AK22*0.90718</f>
        <v>0</v>
      </c>
      <c r="AM22" s="118"/>
      <c r="AO22" s="125" t="s">
        <v>125</v>
      </c>
      <c r="AP22" s="126">
        <v>44287</v>
      </c>
      <c r="AQ22" s="126">
        <v>44377</v>
      </c>
      <c r="AR22" s="124">
        <f t="shared" ref="AR22:AR24" si="2">SUMIFS($AQ$5:$AQ$16,$AP$5:$AP$16,"&gt;"&amp;AP22,$AP$5:$AP$16,"&lt;="&amp;AQ22)</f>
        <v>0</v>
      </c>
      <c r="AS22" s="124">
        <f t="shared" ref="AS22:AS24" si="3">SUMIFS($AS$5:$AS$16,$AP$5:$AP$16,"&gt;"&amp;AP22,$AP$5:$AP$16,"&lt;="&amp;AQ22)</f>
        <v>0</v>
      </c>
      <c r="AT22" s="127">
        <f>AS22*0.90718</f>
        <v>0</v>
      </c>
      <c r="AU22" s="125"/>
    </row>
    <row r="23" spans="5:52" ht="15" thickTop="1">
      <c r="M23" s="66">
        <v>44341</v>
      </c>
      <c r="O23" t="s">
        <v>15</v>
      </c>
      <c r="P23">
        <v>3.83</v>
      </c>
      <c r="T23" s="66">
        <v>44316</v>
      </c>
      <c r="V23" t="s">
        <v>15</v>
      </c>
      <c r="W23">
        <v>2.67</v>
      </c>
      <c r="Y23" s="78" t="s">
        <v>125</v>
      </c>
      <c r="Z23" s="79">
        <v>44287</v>
      </c>
      <c r="AA23" s="79">
        <v>44377</v>
      </c>
      <c r="AB23" s="74">
        <f t="shared" ref="AB23:AB25" si="4">SUMIFS($AB$5:$AB$15,$AA$5:$AA$15,"&gt;"&amp;Z23,$AA$5:$AA$15,"&lt;="&amp;AA23)</f>
        <v>0</v>
      </c>
      <c r="AC23" s="74">
        <f t="shared" ref="AC23:AC25" si="5">SUMIFS($AD$5:$AD$15,$AA$5:$AA$15,"&gt;"&amp;Z23,$AA$5:$AA$15,"&lt;="&amp;AA23)</f>
        <v>26.130000000000003</v>
      </c>
      <c r="AD23" s="75">
        <f t="shared" ref="AD23:AD25" si="6">AC23*0.90718</f>
        <v>23.704613400000003</v>
      </c>
      <c r="AE23" s="78" t="s">
        <v>127</v>
      </c>
      <c r="AG23" s="122" t="s">
        <v>54</v>
      </c>
      <c r="AH23" s="122"/>
      <c r="AI23" s="121" t="s">
        <v>129</v>
      </c>
      <c r="AJ23" s="123">
        <f>SUM(AJ19:AJ22)</f>
        <v>0</v>
      </c>
      <c r="AK23" s="123">
        <f>SUM(AK19:AK22)</f>
        <v>0</v>
      </c>
      <c r="AL23" s="123">
        <f>SUM(AL19:AL22)</f>
        <v>0</v>
      </c>
      <c r="AM23" s="123">
        <f>SUM(AM19:AM22)</f>
        <v>0</v>
      </c>
      <c r="AO23" s="124" t="s">
        <v>126</v>
      </c>
      <c r="AP23" s="126">
        <v>44378</v>
      </c>
      <c r="AQ23" s="126">
        <v>44469</v>
      </c>
      <c r="AR23" s="124">
        <f t="shared" si="2"/>
        <v>0</v>
      </c>
      <c r="AS23" s="124">
        <f t="shared" si="3"/>
        <v>0</v>
      </c>
      <c r="AT23" s="127">
        <f>AS23*0.90718</f>
        <v>0</v>
      </c>
      <c r="AU23" s="125"/>
    </row>
    <row r="24" spans="5:52" ht="15" thickBot="1">
      <c r="M24" s="66">
        <v>44341</v>
      </c>
      <c r="O24" t="s">
        <v>15</v>
      </c>
      <c r="P24">
        <v>4.26</v>
      </c>
      <c r="T24" s="66">
        <v>44316</v>
      </c>
      <c r="V24" t="s">
        <v>15</v>
      </c>
      <c r="W24">
        <v>3.11</v>
      </c>
      <c r="Y24" s="74" t="s">
        <v>126</v>
      </c>
      <c r="Z24" s="79">
        <v>44378</v>
      </c>
      <c r="AA24" s="79">
        <v>44469</v>
      </c>
      <c r="AB24" s="74">
        <f t="shared" si="4"/>
        <v>0</v>
      </c>
      <c r="AC24" s="74">
        <f t="shared" si="5"/>
        <v>0</v>
      </c>
      <c r="AD24" s="75">
        <f t="shared" si="6"/>
        <v>0</v>
      </c>
      <c r="AE24" s="78"/>
      <c r="AO24" s="124" t="s">
        <v>128</v>
      </c>
      <c r="AP24" s="126">
        <v>44470</v>
      </c>
      <c r="AQ24" s="128" t="s">
        <v>129</v>
      </c>
      <c r="AR24" s="124">
        <f t="shared" si="2"/>
        <v>0</v>
      </c>
      <c r="AS24" s="124">
        <f t="shared" si="3"/>
        <v>0</v>
      </c>
      <c r="AT24" s="127">
        <f>AS24*0.90718</f>
        <v>0</v>
      </c>
      <c r="AU24" s="125"/>
    </row>
    <row r="25" spans="5:52" ht="15.6" thickTop="1" thickBot="1">
      <c r="M25" s="66">
        <v>44341</v>
      </c>
      <c r="O25" t="s">
        <v>15</v>
      </c>
      <c r="P25">
        <v>4.53</v>
      </c>
      <c r="T25" s="66">
        <v>44316</v>
      </c>
      <c r="V25" t="s">
        <v>15</v>
      </c>
      <c r="W25">
        <v>2.8450000000000002</v>
      </c>
      <c r="Y25" s="67" t="s">
        <v>128</v>
      </c>
      <c r="Z25" s="69">
        <v>44470</v>
      </c>
      <c r="AA25" s="70" t="s">
        <v>129</v>
      </c>
      <c r="AB25" s="74">
        <f t="shared" si="4"/>
        <v>37500</v>
      </c>
      <c r="AC25" s="74">
        <f t="shared" si="5"/>
        <v>18.75</v>
      </c>
      <c r="AD25" s="75">
        <f t="shared" si="6"/>
        <v>17.009625</v>
      </c>
      <c r="AE25" s="68"/>
      <c r="AO25" s="129" t="s">
        <v>54</v>
      </c>
      <c r="AP25" s="129"/>
      <c r="AQ25" s="128" t="s">
        <v>129</v>
      </c>
      <c r="AR25" s="130">
        <f t="shared" ref="AR25:AU25" si="7">SUM(AR21:AR24)</f>
        <v>0</v>
      </c>
      <c r="AS25" s="130">
        <f t="shared" si="7"/>
        <v>0</v>
      </c>
      <c r="AT25" s="130">
        <f>SUM(AT21:AT24)</f>
        <v>0</v>
      </c>
      <c r="AU25" s="130">
        <f t="shared" si="7"/>
        <v>0</v>
      </c>
    </row>
    <row r="26" spans="5:52" ht="15" thickTop="1">
      <c r="M26" s="66">
        <v>44369</v>
      </c>
      <c r="O26" t="s">
        <v>15</v>
      </c>
      <c r="P26">
        <v>3.94</v>
      </c>
      <c r="T26" s="66">
        <v>44316</v>
      </c>
      <c r="V26" t="s">
        <v>15</v>
      </c>
      <c r="W26">
        <v>2.8250000000000002</v>
      </c>
      <c r="Y26" s="71" t="s">
        <v>54</v>
      </c>
      <c r="Z26" s="71"/>
      <c r="AA26" s="70" t="s">
        <v>129</v>
      </c>
      <c r="AB26" s="72">
        <f>SUBTOTAL(109,Table917[Pounds])</f>
        <v>92460</v>
      </c>
      <c r="AC26" s="72">
        <f>SUM(AC22:AC25)</f>
        <v>44.88</v>
      </c>
      <c r="AD26" s="73">
        <f>SUBTOTAL(109,Table917[Total MT])</f>
        <v>174.69383823999999</v>
      </c>
      <c r="AE26" s="72" t="s">
        <v>130</v>
      </c>
    </row>
    <row r="27" spans="5:52">
      <c r="M27" s="66">
        <v>44369</v>
      </c>
      <c r="O27" t="s">
        <v>15</v>
      </c>
      <c r="P27">
        <v>4.8</v>
      </c>
      <c r="T27" s="66">
        <v>44316</v>
      </c>
      <c r="V27" t="s">
        <v>15</v>
      </c>
      <c r="W27">
        <v>4.3449999999999998</v>
      </c>
    </row>
    <row r="28" spans="5:52">
      <c r="M28" s="66">
        <v>44369</v>
      </c>
      <c r="O28" t="s">
        <v>15</v>
      </c>
      <c r="P28">
        <v>3.79</v>
      </c>
      <c r="T28" s="66">
        <v>44328</v>
      </c>
      <c r="V28" t="s">
        <v>15</v>
      </c>
      <c r="W28">
        <v>2.625</v>
      </c>
    </row>
    <row r="29" spans="5:52">
      <c r="M29" s="66">
        <v>44369</v>
      </c>
      <c r="O29" t="s">
        <v>15</v>
      </c>
      <c r="P29">
        <v>0.91</v>
      </c>
      <c r="T29" s="66">
        <v>44328</v>
      </c>
      <c r="V29" t="s">
        <v>15</v>
      </c>
      <c r="W29">
        <v>0.99</v>
      </c>
    </row>
    <row r="30" spans="5:52">
      <c r="M30" s="66">
        <v>44369</v>
      </c>
      <c r="O30" t="s">
        <v>15</v>
      </c>
      <c r="P30">
        <v>6.98</v>
      </c>
      <c r="T30" s="66">
        <v>44336</v>
      </c>
      <c r="V30" t="s">
        <v>15</v>
      </c>
      <c r="W30">
        <v>5.0149999999999997</v>
      </c>
    </row>
    <row r="31" spans="5:52">
      <c r="F31" s="59" t="s">
        <v>54</v>
      </c>
      <c r="G31">
        <f>SUM(G5:G30)</f>
        <v>27120</v>
      </c>
      <c r="I31">
        <f>SUM(I5:I30)</f>
        <v>60.56</v>
      </c>
      <c r="M31" s="66">
        <v>44407</v>
      </c>
      <c r="O31" t="s">
        <v>15</v>
      </c>
      <c r="P31">
        <v>5.14</v>
      </c>
      <c r="T31" s="66">
        <v>44342</v>
      </c>
      <c r="V31" t="s">
        <v>15</v>
      </c>
      <c r="W31">
        <v>3.13</v>
      </c>
      <c r="AW31" s="59" t="s">
        <v>54</v>
      </c>
      <c r="AX31">
        <f>SUM(AX5:AX30)</f>
        <v>97890</v>
      </c>
      <c r="AZ31">
        <f>SUM(AZ5:AZ30)</f>
        <v>48.945</v>
      </c>
    </row>
    <row r="32" spans="5:52">
      <c r="F32" s="59"/>
      <c r="G32" s="59"/>
      <c r="H32" s="59"/>
      <c r="I32" s="59"/>
      <c r="M32" s="66">
        <v>44407</v>
      </c>
      <c r="O32" t="s">
        <v>15</v>
      </c>
      <c r="P32">
        <v>4.25</v>
      </c>
      <c r="T32" s="66">
        <v>44342</v>
      </c>
      <c r="V32" t="s">
        <v>15</v>
      </c>
      <c r="W32">
        <v>2.7</v>
      </c>
    </row>
    <row r="33" spans="4:55">
      <c r="F33" s="59"/>
      <c r="G33" s="59"/>
      <c r="H33" s="59"/>
      <c r="I33" s="59"/>
      <c r="M33" s="66">
        <v>44407</v>
      </c>
      <c r="O33" t="s">
        <v>15</v>
      </c>
      <c r="P33">
        <v>5.0199999999999996</v>
      </c>
      <c r="T33" s="66">
        <v>44342</v>
      </c>
      <c r="V33" t="s">
        <v>15</v>
      </c>
      <c r="W33">
        <v>2.645</v>
      </c>
      <c r="AW33" s="107" t="s">
        <v>72</v>
      </c>
      <c r="AX33" s="107"/>
      <c r="AY33" s="107"/>
      <c r="AZ33" s="107"/>
      <c r="BA33" s="107"/>
      <c r="BB33" s="107"/>
      <c r="BC33" s="108"/>
    </row>
    <row r="34" spans="4:55">
      <c r="F34" s="59"/>
      <c r="M34" s="66">
        <v>44407</v>
      </c>
      <c r="O34" t="s">
        <v>15</v>
      </c>
      <c r="P34">
        <v>4.42</v>
      </c>
      <c r="T34" s="66">
        <v>44347</v>
      </c>
      <c r="V34" t="s">
        <v>15</v>
      </c>
      <c r="W34">
        <v>1.74</v>
      </c>
      <c r="AW34" s="107" t="s">
        <v>63</v>
      </c>
      <c r="AX34" s="107" t="s">
        <v>119</v>
      </c>
      <c r="AY34" s="107" t="s">
        <v>119</v>
      </c>
      <c r="AZ34" s="107" t="s">
        <v>64</v>
      </c>
      <c r="BA34" s="107" t="s">
        <v>131</v>
      </c>
      <c r="BB34" s="109" t="s">
        <v>132</v>
      </c>
      <c r="BC34" s="110" t="s">
        <v>122</v>
      </c>
    </row>
    <row r="35" spans="4:55">
      <c r="M35" s="66">
        <v>44427</v>
      </c>
      <c r="O35" t="s">
        <v>15</v>
      </c>
      <c r="P35">
        <v>2.39</v>
      </c>
      <c r="T35" s="66">
        <v>44347</v>
      </c>
      <c r="V35" t="s">
        <v>15</v>
      </c>
      <c r="W35">
        <v>2.81</v>
      </c>
      <c r="AW35" s="111" t="s">
        <v>123</v>
      </c>
      <c r="AX35" s="112">
        <v>44197</v>
      </c>
      <c r="AY35" s="112">
        <v>44286</v>
      </c>
      <c r="AZ35" s="107">
        <f>SUMIFS($AX$5:$AX$30,$AW$5:$AW$30,"&gt;"&amp;AX35,$AW$5:$AW$30,"&lt;="&amp;Table71324[[#This Row],[Date Range]])</f>
        <v>0</v>
      </c>
      <c r="BA35" s="108">
        <f>SUMIFS($AZ$5:$AZ$30,$AW$5:$AW$30,"&gt;"&amp;AX35,$AW$5:$AW$30,"&lt;="&amp;Table71324[[#This Row],[Date Range]])</f>
        <v>0</v>
      </c>
      <c r="BB35" s="108"/>
      <c r="BC35" s="111" t="s">
        <v>127</v>
      </c>
    </row>
    <row r="36" spans="4:55">
      <c r="M36" s="66">
        <v>44427</v>
      </c>
      <c r="O36" t="s">
        <v>15</v>
      </c>
      <c r="P36">
        <v>4.04</v>
      </c>
      <c r="T36" s="66">
        <v>44365</v>
      </c>
      <c r="V36" t="s">
        <v>15</v>
      </c>
      <c r="W36">
        <v>3.46</v>
      </c>
      <c r="AW36" s="111" t="s">
        <v>125</v>
      </c>
      <c r="AX36" s="112">
        <v>44287</v>
      </c>
      <c r="AY36" s="112">
        <v>44377</v>
      </c>
      <c r="AZ36" s="107">
        <f>SUMIFS($AX$5:$AX$30,$AW$5:$AW$30,"&gt;"&amp;AX36,$AW$5:$AW$30,"&lt;="&amp;Table71324[[#This Row],[Date Range]])</f>
        <v>0</v>
      </c>
      <c r="BA36" s="108">
        <f>SUMIFS($AZ$5:$AZ$30,$AW$5:$AW$30,"&gt;"&amp;AX36,$AW$5:$AW$30,"&lt;="&amp;Table71324[[#This Row],[Date Range]])</f>
        <v>0</v>
      </c>
      <c r="BB36" s="108">
        <f>SUMIFS($AZ$5:$AZ$30,$AW$5:$AW$30,"&gt;"&amp;AX36,$AW$5:$AW$30,"&lt;="&amp;Table71324[[#This Row],[Date Range]])</f>
        <v>0</v>
      </c>
      <c r="BC36" s="111" t="s">
        <v>127</v>
      </c>
    </row>
    <row r="37" spans="4:55">
      <c r="M37" s="66">
        <v>44427</v>
      </c>
      <c r="O37" t="s">
        <v>15</v>
      </c>
      <c r="P37">
        <v>3.43</v>
      </c>
      <c r="T37" s="66">
        <v>44369</v>
      </c>
      <c r="V37" t="s">
        <v>15</v>
      </c>
      <c r="W37">
        <v>2.7450000000000001</v>
      </c>
      <c r="AW37" s="107" t="s">
        <v>126</v>
      </c>
      <c r="AX37" s="112">
        <v>44378</v>
      </c>
      <c r="AY37" s="112">
        <v>44469</v>
      </c>
      <c r="AZ37" s="107">
        <f>SUMIFS($AX$5:$AX$30,$AW$5:$AW$30,"&gt;"&amp;AX37,$AW$5:$AW$30,"&lt;="&amp;Table71324[[#This Row],[Date Range]])</f>
        <v>0</v>
      </c>
      <c r="BA37" s="108">
        <f>SUMIFS($AZ$5:$AZ$30,$AW$5:$AW$30,"&gt;"&amp;AX37,$AW$5:$AW$30,"&lt;="&amp;Table71324[[#This Row],[Date Range]])</f>
        <v>0</v>
      </c>
      <c r="BB37" s="108">
        <f>SUMIFS($AZ$5:$AZ$30,$AW$5:$AW$30,"&gt;"&amp;AX37,$AW$5:$AW$30,"&lt;="&amp;Table71324[[#This Row],[Date Range]])</f>
        <v>0</v>
      </c>
      <c r="BC37" s="107"/>
    </row>
    <row r="38" spans="4:55" ht="15" thickBot="1">
      <c r="D38" s="23" t="s">
        <v>72</v>
      </c>
      <c r="E38" s="23"/>
      <c r="F38" s="23"/>
      <c r="G38" s="19"/>
      <c r="H38" s="19"/>
      <c r="I38" s="19"/>
      <c r="J38" s="50"/>
      <c r="K38" s="19"/>
      <c r="M38" s="66">
        <v>44427</v>
      </c>
      <c r="O38" t="s">
        <v>15</v>
      </c>
      <c r="P38">
        <v>3.77</v>
      </c>
      <c r="T38" s="66">
        <v>44369</v>
      </c>
      <c r="V38" t="s">
        <v>15</v>
      </c>
      <c r="W38">
        <v>5.16</v>
      </c>
      <c r="AW38" s="107" t="s">
        <v>128</v>
      </c>
      <c r="AX38" s="112">
        <v>44470</v>
      </c>
      <c r="AY38" s="112">
        <v>44561</v>
      </c>
      <c r="AZ38" s="107">
        <f>SUMIFS($AX$5:$AX$30,$AW$5:$AW$30,"&gt;"&amp;AX38,$AW$5:$AW$30,"&lt;="&amp;Table71324[[#This Row],[Date Range]])</f>
        <v>97890</v>
      </c>
      <c r="BA38" s="108">
        <f>SUMIFS($AZ$5:$AZ$30,$AW$5:$AW$30,"&gt;"&amp;AX38,$AW$5:$AW$30,"&lt;="&amp;Table71324[[#This Row],[Date Range]])</f>
        <v>48.945</v>
      </c>
      <c r="BB38" s="108">
        <f>SUMIFS($AZ$5:$AZ$30,$AW$5:$AW$30,"&gt;"&amp;AX38,$AW$5:$AW$30,"&lt;="&amp;Table71324[[#This Row],[Date Range]])</f>
        <v>48.945</v>
      </c>
      <c r="BC38" s="107"/>
    </row>
    <row r="39" spans="4:55" ht="15" thickTop="1">
      <c r="D39" s="19" t="s">
        <v>63</v>
      </c>
      <c r="E39" s="19" t="s">
        <v>119</v>
      </c>
      <c r="F39" s="19" t="s">
        <v>119</v>
      </c>
      <c r="G39" s="19" t="s">
        <v>64</v>
      </c>
      <c r="H39" s="19" t="s">
        <v>133</v>
      </c>
      <c r="I39" s="19" t="s">
        <v>131</v>
      </c>
      <c r="J39" s="51" t="s">
        <v>132</v>
      </c>
      <c r="K39" s="25" t="s">
        <v>122</v>
      </c>
      <c r="M39" s="66">
        <v>44461</v>
      </c>
      <c r="O39" t="s">
        <v>15</v>
      </c>
      <c r="P39">
        <v>5.31</v>
      </c>
      <c r="T39" s="66">
        <v>44385</v>
      </c>
      <c r="V39" t="s">
        <v>15</v>
      </c>
      <c r="W39">
        <v>2.7450000000000001</v>
      </c>
      <c r="AW39" s="113" t="s">
        <v>54</v>
      </c>
      <c r="AX39" s="113"/>
      <c r="AY39" s="114"/>
      <c r="AZ39" s="114">
        <f>SUBTOTAL(109,Table71324[Pounds])</f>
        <v>97890</v>
      </c>
      <c r="BA39" s="115">
        <f>SUBTOTAL(109,Table71324[Total Net Tonnage])</f>
        <v>48.945</v>
      </c>
      <c r="BB39" s="115">
        <f>SUBTOTAL(109,Table71324[Total Metric Tonnes])</f>
        <v>48.945</v>
      </c>
      <c r="BC39" s="114" t="s">
        <v>134</v>
      </c>
    </row>
    <row r="40" spans="4:55">
      <c r="D40" s="8" t="s">
        <v>123</v>
      </c>
      <c r="E40" s="66">
        <v>44197</v>
      </c>
      <c r="F40" s="66">
        <v>44286</v>
      </c>
      <c r="G40">
        <f>SUMIFS($G$5:$G$30,$F$5:$F$30,"&gt;"&amp;E40,$F$5:$F$30,"&lt;="&amp;Table713[[#This Row],[Date Range]])</f>
        <v>6540</v>
      </c>
      <c r="H40" s="33">
        <f>Table212[[#Totals],[Net Tons (NT)]]</f>
        <v>0</v>
      </c>
      <c r="I40" s="33">
        <f>SUMIFS($I$5:$I$30,$F$5:$F$30,"&gt;"&amp;E40,$F$5:$F$30,"&lt;="&amp;Table713[[#This Row],[Date Range]])</f>
        <v>6.79</v>
      </c>
      <c r="J40" s="33">
        <f>Table713[[#This Row],[Total Net Tonnage]]*0.90718</f>
        <v>6.1597521999999998</v>
      </c>
      <c r="K40" s="8" t="s">
        <v>127</v>
      </c>
      <c r="M40" s="66">
        <v>44469</v>
      </c>
      <c r="O40" t="s">
        <v>15</v>
      </c>
      <c r="P40">
        <v>4.8899999999999997</v>
      </c>
      <c r="T40" s="66">
        <v>44385</v>
      </c>
      <c r="V40" t="s">
        <v>15</v>
      </c>
      <c r="W40">
        <v>5.0599999999999996</v>
      </c>
    </row>
    <row r="41" spans="4:55">
      <c r="D41" s="8" t="s">
        <v>125</v>
      </c>
      <c r="E41" s="66">
        <v>44287</v>
      </c>
      <c r="F41" s="66">
        <v>44377</v>
      </c>
      <c r="G41">
        <f>SUMIFS($G$5:$G$30,$F$5:$F$30,"&gt;"&amp;E41,$F$5:$F$30,"&lt;="&amp;Table713[[#This Row],[Date Range]])</f>
        <v>0</v>
      </c>
      <c r="H41" s="33">
        <f>I33</f>
        <v>0</v>
      </c>
      <c r="I41" s="33">
        <f>SUMIFS($I$5:$I$30,$F$5:$F$30,"&gt;"&amp;E41,$F$5:$F$30,"&lt;="&amp;Table713[[#This Row],[Date Range]])</f>
        <v>29.849999999999998</v>
      </c>
      <c r="J41" s="61">
        <f>Table713[[#This Row],[Total Net Tonnage]]*0.90718</f>
        <v>27.079322999999999</v>
      </c>
      <c r="K41" s="8" t="s">
        <v>127</v>
      </c>
      <c r="M41" s="66">
        <v>44469</v>
      </c>
      <c r="O41" t="s">
        <v>15</v>
      </c>
      <c r="P41">
        <v>3.57</v>
      </c>
      <c r="T41" s="66">
        <v>44390</v>
      </c>
      <c r="V41" t="s">
        <v>15</v>
      </c>
      <c r="W41">
        <v>5.125</v>
      </c>
    </row>
    <row r="42" spans="4:55">
      <c r="D42" t="s">
        <v>126</v>
      </c>
      <c r="E42" s="66">
        <v>44378</v>
      </c>
      <c r="F42" s="66">
        <v>44469</v>
      </c>
      <c r="G42">
        <f>SUMIFS($G$5:$G$30,$F$5:$F$30,"&gt;"&amp;E42,$F$5:$F$30,"&lt;="&amp;Table713[[#This Row],[Date Range]])</f>
        <v>0</v>
      </c>
      <c r="H42" s="33">
        <v>13.63</v>
      </c>
      <c r="I42" s="33">
        <f>SUMIFS($I$5:$I$30,$F$5:$F$30,"&gt;"&amp;E42,$F$5:$F$30,"&lt;="&amp;Table713[[#This Row],[Date Range]])</f>
        <v>13.629999999999999</v>
      </c>
      <c r="J42" s="33">
        <f>Table713[[#This Row],[Total Net Tonnage]]*0.90718</f>
        <v>12.364863399999999</v>
      </c>
      <c r="M42" s="66">
        <v>44469</v>
      </c>
      <c r="O42" t="s">
        <v>15</v>
      </c>
      <c r="P42">
        <v>2.8</v>
      </c>
      <c r="T42" s="66">
        <v>44390</v>
      </c>
      <c r="V42" t="s">
        <v>135</v>
      </c>
      <c r="W42">
        <v>3.1749999999999998</v>
      </c>
    </row>
    <row r="43" spans="4:55" ht="15" thickBot="1">
      <c r="D43" t="s">
        <v>128</v>
      </c>
      <c r="E43" s="66">
        <v>44470</v>
      </c>
      <c r="F43" s="66">
        <v>44561</v>
      </c>
      <c r="G43">
        <f>SUMIFS($G$5:$G$30,$F$5:$F$30,"&gt;"&amp;E43,$F$5:$F$30,"&lt;="&amp;Table713[[#This Row],[Date Range]])</f>
        <v>20580</v>
      </c>
      <c r="H43" s="33"/>
      <c r="I43" s="33">
        <f>SUMIFS($I$5:$I$30,$F$5:$F$30,"&gt;"&amp;E43,$F$5:$F$30,"&lt;="&amp;Table713[[#This Row],[Date Range]])</f>
        <v>10.29</v>
      </c>
      <c r="J43" s="33">
        <f>Table713[[#This Row],[Total Net Tonnage]]*0.90718</f>
        <v>9.3348821999999991</v>
      </c>
      <c r="M43" s="66">
        <v>44469</v>
      </c>
      <c r="O43" t="s">
        <v>15</v>
      </c>
      <c r="P43">
        <v>7.28</v>
      </c>
      <c r="T43" s="66">
        <v>44397</v>
      </c>
      <c r="V43" t="s">
        <v>135</v>
      </c>
      <c r="W43">
        <v>1.95</v>
      </c>
    </row>
    <row r="44" spans="4:55" ht="15" thickTop="1">
      <c r="D44" s="63" t="s">
        <v>54</v>
      </c>
      <c r="E44" s="63"/>
      <c r="F44" s="63"/>
      <c r="G44" s="63">
        <f>SUBTOTAL(109,Table713[Pounds])</f>
        <v>27120</v>
      </c>
      <c r="H44" s="64">
        <f>SUBTOTAL(109,Table713[Net Tonnage])</f>
        <v>13.63</v>
      </c>
      <c r="I44" s="64">
        <f>SUBTOTAL(109,Table713[Total Net Tonnage])</f>
        <v>60.559999999999995</v>
      </c>
      <c r="J44" s="64">
        <f>SUBTOTAL(109,Table713[Total Metric Tonnes])</f>
        <v>54.938820800000002</v>
      </c>
      <c r="K44" s="63" t="s">
        <v>134</v>
      </c>
      <c r="M44" s="66">
        <v>44491</v>
      </c>
      <c r="N44">
        <v>9560</v>
      </c>
      <c r="O44" t="s">
        <v>15</v>
      </c>
      <c r="P44">
        <f>Table2414[[#This Row],[net weight (pounds)]]/2000</f>
        <v>4.78</v>
      </c>
      <c r="T44" s="66">
        <v>44397</v>
      </c>
      <c r="V44" t="s">
        <v>15</v>
      </c>
      <c r="W44">
        <v>2.8650000000000002</v>
      </c>
    </row>
    <row r="45" spans="4:55">
      <c r="M45" s="66">
        <v>44509</v>
      </c>
      <c r="N45">
        <v>9320</v>
      </c>
      <c r="O45" t="s">
        <v>15</v>
      </c>
      <c r="P45">
        <f>Table2414[[#This Row],[net weight (pounds)]]/2000</f>
        <v>4.66</v>
      </c>
      <c r="T45" s="66">
        <v>44397</v>
      </c>
      <c r="V45" t="s">
        <v>15</v>
      </c>
      <c r="W45">
        <v>3.02</v>
      </c>
    </row>
    <row r="46" spans="4:55">
      <c r="M46" s="66">
        <v>44509</v>
      </c>
      <c r="N46">
        <v>12960</v>
      </c>
      <c r="O46" t="s">
        <v>15</v>
      </c>
      <c r="P46">
        <f>Table2414[[#This Row],[net weight (pounds)]]/2000</f>
        <v>6.48</v>
      </c>
      <c r="T46" s="66">
        <v>44417</v>
      </c>
      <c r="V46" t="s">
        <v>15</v>
      </c>
      <c r="W46">
        <v>2.92</v>
      </c>
    </row>
    <row r="47" spans="4:55">
      <c r="M47" s="66">
        <v>44519</v>
      </c>
      <c r="N47">
        <v>9580</v>
      </c>
      <c r="O47" t="s">
        <v>15</v>
      </c>
      <c r="P47">
        <f>Table2414[[#This Row],[net weight (pounds)]]/2000</f>
        <v>4.79</v>
      </c>
      <c r="T47" s="66">
        <v>44417</v>
      </c>
      <c r="V47" t="s">
        <v>15</v>
      </c>
      <c r="W47">
        <v>2.9</v>
      </c>
    </row>
    <row r="48" spans="4:55">
      <c r="M48" s="66">
        <v>44519</v>
      </c>
      <c r="N48">
        <v>10880</v>
      </c>
      <c r="O48" t="s">
        <v>15</v>
      </c>
      <c r="P48">
        <f>Table2414[[#This Row],[net weight (pounds)]]/2000</f>
        <v>5.44</v>
      </c>
      <c r="T48" s="66">
        <v>44417</v>
      </c>
      <c r="V48" t="s">
        <v>15</v>
      </c>
      <c r="W48">
        <v>2.9849999999999999</v>
      </c>
    </row>
    <row r="49" spans="12:25">
      <c r="M49" s="66">
        <v>44550</v>
      </c>
      <c r="O49" t="s">
        <v>15</v>
      </c>
      <c r="P49">
        <v>5.15</v>
      </c>
      <c r="T49" s="66">
        <v>44417</v>
      </c>
      <c r="V49" t="s">
        <v>15</v>
      </c>
      <c r="W49">
        <v>1.135</v>
      </c>
    </row>
    <row r="50" spans="12:25">
      <c r="M50" s="66">
        <v>44550</v>
      </c>
      <c r="O50" t="s">
        <v>15</v>
      </c>
      <c r="P50">
        <v>4.83</v>
      </c>
      <c r="T50" s="66">
        <v>44417</v>
      </c>
      <c r="V50" t="s">
        <v>15</v>
      </c>
      <c r="W50">
        <v>2.9849999999999999</v>
      </c>
    </row>
    <row r="51" spans="12:25">
      <c r="M51" s="66">
        <v>44550</v>
      </c>
      <c r="O51" t="s">
        <v>15</v>
      </c>
      <c r="P51">
        <v>3.98</v>
      </c>
      <c r="T51" s="66">
        <v>44417</v>
      </c>
      <c r="V51" t="s">
        <v>15</v>
      </c>
      <c r="W51">
        <v>2.59</v>
      </c>
    </row>
    <row r="52" spans="12:25">
      <c r="R52" s="8"/>
      <c r="T52" s="66">
        <v>44417</v>
      </c>
      <c r="V52" t="s">
        <v>15</v>
      </c>
      <c r="W52">
        <v>2.3250000000000002</v>
      </c>
    </row>
    <row r="53" spans="12:25">
      <c r="T53" s="66">
        <v>44427</v>
      </c>
      <c r="V53" t="s">
        <v>15</v>
      </c>
      <c r="W53">
        <v>3.3650000000000002</v>
      </c>
    </row>
    <row r="54" spans="12:25">
      <c r="T54" s="66">
        <v>44427</v>
      </c>
      <c r="V54" t="s">
        <v>15</v>
      </c>
      <c r="W54">
        <v>2.9550000000000001</v>
      </c>
    </row>
    <row r="55" spans="12:25">
      <c r="T55" s="66">
        <v>44427</v>
      </c>
      <c r="V55" t="s">
        <v>15</v>
      </c>
      <c r="W55">
        <v>2.9</v>
      </c>
    </row>
    <row r="56" spans="12:25">
      <c r="T56" s="66">
        <v>44432</v>
      </c>
      <c r="V56" t="s">
        <v>15</v>
      </c>
      <c r="W56">
        <v>1.84</v>
      </c>
    </row>
    <row r="57" spans="12:25">
      <c r="T57" s="66">
        <v>44432</v>
      </c>
      <c r="V57" t="s">
        <v>15</v>
      </c>
      <c r="W57">
        <v>1.95</v>
      </c>
    </row>
    <row r="58" spans="12:25">
      <c r="T58" s="66">
        <v>44438</v>
      </c>
      <c r="V58" t="s">
        <v>15</v>
      </c>
      <c r="W58">
        <v>2.4449999999999998</v>
      </c>
    </row>
    <row r="59" spans="12:25">
      <c r="T59" s="66">
        <v>44448</v>
      </c>
      <c r="V59" t="s">
        <v>15</v>
      </c>
      <c r="W59">
        <v>1.9750000000000001</v>
      </c>
    </row>
    <row r="60" spans="12:25">
      <c r="T60" s="66">
        <v>44448</v>
      </c>
      <c r="V60" t="s">
        <v>15</v>
      </c>
      <c r="W60">
        <v>2.15</v>
      </c>
    </row>
    <row r="61" spans="12:25">
      <c r="T61" s="66">
        <v>44448</v>
      </c>
      <c r="V61" t="s">
        <v>15</v>
      </c>
      <c r="W61">
        <v>1.9850000000000001</v>
      </c>
    </row>
    <row r="62" spans="12:25">
      <c r="T62" s="66">
        <v>44448</v>
      </c>
      <c r="V62" t="s">
        <v>15</v>
      </c>
      <c r="W62">
        <v>1.875</v>
      </c>
    </row>
    <row r="63" spans="12:25">
      <c r="L63" t="s">
        <v>136</v>
      </c>
      <c r="N63">
        <f>SUBTOTAL(109,Table2414[net weight (pounds)])</f>
        <v>109760</v>
      </c>
      <c r="P63">
        <f>SUBTOTAL(109,Table2414[Net Weight (NT)])</f>
        <v>189.47</v>
      </c>
      <c r="T63" s="66">
        <v>44467</v>
      </c>
      <c r="V63" t="s">
        <v>15</v>
      </c>
      <c r="W63">
        <v>2.7450000000000001</v>
      </c>
    </row>
    <row r="64" spans="12:25">
      <c r="M64" s="59"/>
      <c r="N64" s="58"/>
      <c r="O64" s="58"/>
      <c r="P64" s="60"/>
      <c r="T64" s="66">
        <v>44467</v>
      </c>
      <c r="V64" t="s">
        <v>15</v>
      </c>
      <c r="W64">
        <v>1.71</v>
      </c>
      <c r="Y64" s="8"/>
    </row>
    <row r="65" spans="11:23">
      <c r="P65" s="62"/>
      <c r="T65" s="66">
        <v>44469</v>
      </c>
      <c r="V65" t="s">
        <v>15</v>
      </c>
      <c r="W65">
        <v>2.0299999999999998</v>
      </c>
    </row>
    <row r="66" spans="11:23">
      <c r="T66" s="66">
        <v>44476</v>
      </c>
      <c r="U66">
        <v>4080</v>
      </c>
      <c r="V66" t="s">
        <v>15</v>
      </c>
      <c r="W66">
        <f>Table24516[[#This Row],[net weight (pounds)]]/2000</f>
        <v>2.04</v>
      </c>
    </row>
    <row r="67" spans="11:23">
      <c r="K67" s="89"/>
      <c r="L67" s="89" t="s">
        <v>72</v>
      </c>
      <c r="M67" s="89" t="s">
        <v>72</v>
      </c>
      <c r="N67" s="89"/>
      <c r="O67" s="89"/>
      <c r="P67" s="89"/>
      <c r="Q67" s="90"/>
      <c r="R67" s="89"/>
      <c r="T67" s="66">
        <v>44487</v>
      </c>
      <c r="U67">
        <v>10050</v>
      </c>
      <c r="V67" t="s">
        <v>15</v>
      </c>
      <c r="W67">
        <f>Table24516[[#This Row],[net weight (pounds)]]/2000</f>
        <v>5.0250000000000004</v>
      </c>
    </row>
    <row r="68" spans="11:23">
      <c r="K68" s="89" t="s">
        <v>63</v>
      </c>
      <c r="L68" s="89" t="s">
        <v>119</v>
      </c>
      <c r="M68" s="89" t="s">
        <v>119</v>
      </c>
      <c r="N68" s="89" t="s">
        <v>64</v>
      </c>
      <c r="O68" s="89" t="s">
        <v>133</v>
      </c>
      <c r="P68" s="89" t="s">
        <v>120</v>
      </c>
      <c r="Q68" s="91" t="s">
        <v>121</v>
      </c>
      <c r="R68" s="92" t="s">
        <v>122</v>
      </c>
      <c r="T68" s="66">
        <v>44487</v>
      </c>
      <c r="U68">
        <v>6130</v>
      </c>
      <c r="V68" t="s">
        <v>15</v>
      </c>
      <c r="W68">
        <f>Table24516[[#This Row],[net weight (pounds)]]/2000</f>
        <v>3.0649999999999999</v>
      </c>
    </row>
    <row r="69" spans="11:23">
      <c r="K69" s="93" t="s">
        <v>123</v>
      </c>
      <c r="L69" s="94">
        <v>44197</v>
      </c>
      <c r="M69" s="94">
        <v>44286</v>
      </c>
      <c r="N69" s="89">
        <f>SUMIFS($N$5:$N$61,$M$5:$M$61,"&gt;"&amp;L69,$M$5:$M$61,"&lt;="&amp;Table1015[[#This Row],[Date Range]])</f>
        <v>57460</v>
      </c>
      <c r="O69" s="89">
        <f>Table2414[[#Totals],[Net Weight (NT)]]</f>
        <v>189.47</v>
      </c>
      <c r="P69" s="89">
        <f>SUMIFS($P$5:$P$61,$M$5:$M$61,"&gt;"&amp;L69,$M$5:$M$61,"&lt;="&amp;Table1015[[#This Row],[Date Range]])</f>
        <v>16.05</v>
      </c>
      <c r="Q69" s="90">
        <f>Table1015[[#This Row],[Total NT]]*0.90718</f>
        <v>14.560239000000001</v>
      </c>
      <c r="R69" s="93" t="s">
        <v>127</v>
      </c>
      <c r="T69" s="66">
        <v>44491</v>
      </c>
      <c r="U69">
        <v>4100</v>
      </c>
      <c r="V69" t="s">
        <v>15</v>
      </c>
      <c r="W69">
        <f>Table24516[[#This Row],[net weight (pounds)]]/2000</f>
        <v>2.0499999999999998</v>
      </c>
    </row>
    <row r="70" spans="11:23">
      <c r="K70" s="93" t="s">
        <v>125</v>
      </c>
      <c r="L70" s="94">
        <v>44287</v>
      </c>
      <c r="M70" s="94">
        <v>44377</v>
      </c>
      <c r="N70" s="89">
        <f>SUMIFS($N$5:$N$61,$M$5:$M$61,"&gt;"&amp;L70,$M$5:$M$61,"&lt;="&amp;Table1015[[#This Row],[Date Range]])</f>
        <v>0</v>
      </c>
      <c r="O70" s="90">
        <v>77</v>
      </c>
      <c r="P70" s="89">
        <f>SUMIFS($P$5:$P$61,$M$5:$M$61,"&gt;"&amp;L70,$M$5:$M$61,"&lt;="&amp;Table1015[[#This Row],[Date Range]])</f>
        <v>77</v>
      </c>
      <c r="Q70" s="95">
        <f>Table1015[[#This Row],[Net Tonnage]]*0.90718</f>
        <v>69.852859999999993</v>
      </c>
      <c r="R70" s="93" t="s">
        <v>127</v>
      </c>
      <c r="T70" s="66">
        <v>44498</v>
      </c>
      <c r="U70">
        <v>5910</v>
      </c>
      <c r="V70" t="s">
        <v>15</v>
      </c>
      <c r="W70">
        <f>Table24516[[#This Row],[net weight (pounds)]]/2000</f>
        <v>2.9550000000000001</v>
      </c>
    </row>
    <row r="71" spans="11:23">
      <c r="K71" s="89" t="s">
        <v>126</v>
      </c>
      <c r="L71" s="94">
        <v>44378</v>
      </c>
      <c r="M71" s="94">
        <v>44469</v>
      </c>
      <c r="N71" s="89">
        <f>SUMIFS($N$5:$N$61,$M$5:$M$61,"&gt;"&amp;L71,$M$5:$M$61,"&lt;="&amp;Table1015[[#This Row],[Date Range]])</f>
        <v>0</v>
      </c>
      <c r="O71" s="96">
        <v>56.31</v>
      </c>
      <c r="P71" s="89">
        <f>SUMIFS($P$5:$P$61,$M$5:$M$61,"&gt;"&amp;L71,$M$5:$M$61,"&lt;="&amp;Table1015[[#This Row],[Date Range]])</f>
        <v>56.31</v>
      </c>
      <c r="Q71" s="95">
        <f>Table1015[[#This Row],[Net Tonnage]]*0.90718</f>
        <v>51.083305799999998</v>
      </c>
      <c r="R71" s="93"/>
      <c r="T71" s="66">
        <v>44498</v>
      </c>
      <c r="U71">
        <v>8910</v>
      </c>
      <c r="V71" t="s">
        <v>15</v>
      </c>
      <c r="W71">
        <f>Table24516[[#This Row],[net weight (pounds)]]/2000</f>
        <v>4.4550000000000001</v>
      </c>
    </row>
    <row r="72" spans="11:23" ht="15" thickBot="1">
      <c r="K72" s="89" t="s">
        <v>128</v>
      </c>
      <c r="L72" s="94">
        <v>44470</v>
      </c>
      <c r="M72" s="97" t="s">
        <v>129</v>
      </c>
      <c r="N72" s="89">
        <f>SUMIFS($N$5:$N$61,$M$5:$M$61,"&gt;"&amp;L72,$M$5:$M$61,"&lt;="&amp;Table1015[[#This Row],[Date Range]])</f>
        <v>52300</v>
      </c>
      <c r="O72" s="96">
        <f>Table2414[[#Totals],[Net Weight (NT)]]</f>
        <v>189.47</v>
      </c>
      <c r="P72" s="89">
        <f>SUMIFS($P$5:$P$61,$M$5:$M$61,"&gt;"&amp;L72,$M$5:$M$61,"&lt;="&amp;Table1015[[#This Row],[Date Range]])</f>
        <v>40.11</v>
      </c>
      <c r="Q72" s="90">
        <f>Table1015[[#This Row],[Total NT]]*1.01605</f>
        <v>40.753765499999993</v>
      </c>
      <c r="R72" s="93"/>
      <c r="T72" s="66">
        <v>44505</v>
      </c>
      <c r="U72">
        <v>4370</v>
      </c>
      <c r="V72" t="s">
        <v>15</v>
      </c>
      <c r="W72">
        <f>Table24516[[#This Row],[net weight (pounds)]]/2000</f>
        <v>2.1850000000000001</v>
      </c>
    </row>
    <row r="73" spans="11:23" ht="15" thickTop="1">
      <c r="K73" s="98" t="s">
        <v>54</v>
      </c>
      <c r="L73" s="98"/>
      <c r="M73" s="97" t="s">
        <v>129</v>
      </c>
      <c r="N73" s="99">
        <f>SUBTOTAL(109,Table1015[Pounds])</f>
        <v>109760</v>
      </c>
      <c r="O73" s="99">
        <f>SUBTOTAL(109,Table1015[Net Tonnage])</f>
        <v>512.25</v>
      </c>
      <c r="P73" s="99">
        <f>SUBTOTAL(109,Table1015[Total NT])</f>
        <v>189.47000000000003</v>
      </c>
      <c r="Q73" s="100">
        <f>SUBTOTAL(109,Table1015[Total MT])</f>
        <v>176.25017029999998</v>
      </c>
      <c r="R73" s="99" t="s">
        <v>134</v>
      </c>
      <c r="T73" s="66">
        <v>44505</v>
      </c>
      <c r="U73">
        <v>6720</v>
      </c>
      <c r="V73" t="s">
        <v>15</v>
      </c>
      <c r="W73">
        <f>Table24516[[#This Row],[net weight (pounds)]]/2000</f>
        <v>3.36</v>
      </c>
    </row>
    <row r="74" spans="11:23">
      <c r="T74" s="66">
        <v>44530</v>
      </c>
      <c r="U74">
        <v>5910</v>
      </c>
      <c r="V74" t="s">
        <v>15</v>
      </c>
      <c r="W74">
        <f>Table24516[[#This Row],[net weight (pounds)]]/2000</f>
        <v>2.9550000000000001</v>
      </c>
    </row>
    <row r="75" spans="11:23">
      <c r="T75" s="66">
        <v>44530</v>
      </c>
      <c r="U75">
        <v>7010</v>
      </c>
      <c r="V75" t="s">
        <v>15</v>
      </c>
      <c r="W75">
        <f>Table24516[[#This Row],[net weight (pounds)]]/2000</f>
        <v>3.5049999999999999</v>
      </c>
    </row>
    <row r="76" spans="11:23">
      <c r="T76" s="66">
        <v>44531</v>
      </c>
      <c r="V76" t="s">
        <v>15</v>
      </c>
      <c r="W76">
        <v>2.7349999999999999</v>
      </c>
    </row>
    <row r="77" spans="11:23">
      <c r="T77" s="66">
        <v>44531</v>
      </c>
      <c r="V77" t="s">
        <v>15</v>
      </c>
      <c r="W77">
        <v>3.03</v>
      </c>
    </row>
    <row r="78" spans="11:23">
      <c r="T78" s="66"/>
    </row>
    <row r="83" spans="18:24">
      <c r="R83" s="55" t="s">
        <v>124</v>
      </c>
      <c r="S83" s="21"/>
      <c r="T83" s="21"/>
      <c r="U83" s="21"/>
      <c r="V83" s="57"/>
      <c r="W83" s="21"/>
      <c r="X83" s="55"/>
    </row>
    <row r="84" spans="18:24">
      <c r="R84" s="87" t="s">
        <v>63</v>
      </c>
      <c r="S84" s="87" t="s">
        <v>119</v>
      </c>
      <c r="T84" s="87" t="s">
        <v>119</v>
      </c>
      <c r="U84" s="80" t="s">
        <v>64</v>
      </c>
      <c r="V84" s="80" t="s">
        <v>120</v>
      </c>
      <c r="W84" s="81" t="s">
        <v>121</v>
      </c>
      <c r="X84" s="82" t="s">
        <v>122</v>
      </c>
    </row>
    <row r="85" spans="18:24">
      <c r="R85" s="83" t="s">
        <v>123</v>
      </c>
      <c r="S85" s="84">
        <v>44197</v>
      </c>
      <c r="T85" s="84">
        <v>44286</v>
      </c>
      <c r="U85" s="103">
        <f>SUMIFS($U5:$U78,$T5:$T78,"&gt;"&amp;S85,$T5:$T78,"&lt;="&amp;Table917[[#This Row],[Date Range]])</f>
        <v>42190</v>
      </c>
      <c r="V85" s="80">
        <f>SUMIFS($W2:$W73,$T2:$T73,"&gt;"&amp;S85,$T2:$T73,"&lt;="&amp;Table917[[#This Row],[Date Range]])</f>
        <v>16.733000000000001</v>
      </c>
      <c r="W85" s="85">
        <f>Table917[[#This Row],[Total NT]]*0.90718</f>
        <v>15.17984294</v>
      </c>
      <c r="X85" s="83" t="s">
        <v>127</v>
      </c>
    </row>
    <row r="86" spans="18:24">
      <c r="R86" s="83" t="s">
        <v>125</v>
      </c>
      <c r="S86" s="84">
        <v>44287</v>
      </c>
      <c r="T86" s="84">
        <v>44377</v>
      </c>
      <c r="U86" s="80">
        <f>SUMIFS($U6:$U73,$T6:$T73,"&gt;"&amp;S86,$T6:$T73,"&lt;="&amp;Table917[[#This Row],[Date Range]])</f>
        <v>0</v>
      </c>
      <c r="V86" s="80">
        <f>SUMIFS($W3:$W73,$T3:$T73,"&gt;"&amp;S86,$T3:$T73,"&lt;="&amp;Table917[[#This Row],[Date Range]])</f>
        <v>66.77000000000001</v>
      </c>
      <c r="W86" s="85">
        <f>Table917[[#This Row],[Total NT]]*0.90718</f>
        <v>60.57240860000001</v>
      </c>
      <c r="X86" s="83" t="s">
        <v>127</v>
      </c>
    </row>
    <row r="87" spans="18:24">
      <c r="R87" s="80" t="s">
        <v>126</v>
      </c>
      <c r="S87" s="84">
        <v>44378</v>
      </c>
      <c r="T87" s="84">
        <v>44469</v>
      </c>
      <c r="U87" s="80">
        <f>SUMIFS($U7:$U73,$T7:$T73,"&gt;"&amp;S87,$T7:$T73,"&lt;="&amp;Table917[[#This Row],[Date Range]])</f>
        <v>0</v>
      </c>
      <c r="V87" s="103">
        <f>SUMIFS($W4:$W78,$T4:$T78,"&gt;"&amp;S87,$T4:$T78,"&lt;="&amp;Table917[[#This Row],[Date Range]])</f>
        <v>71.704999999999998</v>
      </c>
      <c r="W87" s="85">
        <f>Table917[[#This Row],[Total NT]]*0.90718</f>
        <v>65.049341900000002</v>
      </c>
      <c r="X87" s="83"/>
    </row>
    <row r="88" spans="18:24" ht="15" thickBot="1">
      <c r="R88" s="80" t="s">
        <v>128</v>
      </c>
      <c r="S88" s="84">
        <v>44470</v>
      </c>
      <c r="T88" s="88" t="s">
        <v>129</v>
      </c>
      <c r="U88" s="80">
        <f>SUMIFS($U8:$U73,$T8:$T73,"&gt;"&amp;S88,$T8:$T73,"&lt;="&amp;Table917[[#This Row],[Date Range]])</f>
        <v>50270</v>
      </c>
      <c r="V88" s="103">
        <f>SUMIFS($W5:$W78,$T5:$T78,"&gt;"&amp;S88,$T5:$T78,"&lt;="&amp;Table917[[#This Row],[Date Range]])</f>
        <v>37.36</v>
      </c>
      <c r="W88" s="85">
        <f>Table917[[#This Row],[Total NT]]*0.90718</f>
        <v>33.8922448</v>
      </c>
      <c r="X88" s="83"/>
    </row>
    <row r="89" spans="18:24" ht="15" thickTop="1">
      <c r="R89" s="86" t="s">
        <v>54</v>
      </c>
      <c r="S89" s="86"/>
      <c r="T89" s="88" t="s">
        <v>129</v>
      </c>
      <c r="U89" s="101">
        <f>SUBTOTAL(109,Table917[Pounds])</f>
        <v>92460</v>
      </c>
      <c r="V89" s="101">
        <f>SUBTOTAL(109,Table917[Total NT])</f>
        <v>192.56800000000004</v>
      </c>
      <c r="W89" s="102">
        <f>SUBTOTAL(109,Table917[Total MT])</f>
        <v>174.69383823999999</v>
      </c>
      <c r="X89" s="101" t="s">
        <v>130</v>
      </c>
    </row>
  </sheetData>
  <phoneticPr fontId="4" type="noConversion"/>
  <pageMargins left="0.7" right="0.7" top="0.75" bottom="0.75" header="0.3" footer="0.3"/>
  <pageSetup orientation="portrait" r:id="rId1"/>
  <ignoredErrors>
    <ignoredError sqref="O70" calculatedColumn="1"/>
  </ignoredErrors>
  <legacy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5F9BA0E2AC634AB6EB7128965F24CF" ma:contentTypeVersion="2" ma:contentTypeDescription="Create a new document." ma:contentTypeScope="" ma:versionID="4044bf3bab6a7cdf0f8b83e49b8673fe">
  <xsd:schema xmlns:xsd="http://www.w3.org/2001/XMLSchema" xmlns:xs="http://www.w3.org/2001/XMLSchema" xmlns:p="http://schemas.microsoft.com/office/2006/metadata/properties" xmlns:ns2="0e49d7c5-0214-447a-9604-53fb9d9a2620" targetNamespace="http://schemas.microsoft.com/office/2006/metadata/properties" ma:root="true" ma:fieldsID="5fbebea1b132b27556e1a14b1e101601" ns2:_="">
    <xsd:import namespace="0e49d7c5-0214-447a-9604-53fb9d9a26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9d7c5-0214-447a-9604-53fb9d9a26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BD243B-4A53-45B6-8237-849A5EE6135D}"/>
</file>

<file path=customXml/itemProps2.xml><?xml version="1.0" encoding="utf-8"?>
<ds:datastoreItem xmlns:ds="http://schemas.openxmlformats.org/officeDocument/2006/customXml" ds:itemID="{B503FE2A-C5B1-4447-ABBA-8836D9C81A87}"/>
</file>

<file path=customXml/itemProps3.xml><?xml version="1.0" encoding="utf-8"?>
<ds:datastoreItem xmlns:ds="http://schemas.openxmlformats.org/officeDocument/2006/customXml" ds:itemID="{93FE50FF-2A51-4871-ABBE-23075B02A8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 Tress</dc:creator>
  <cp:keywords/>
  <dc:description/>
  <cp:lastModifiedBy>Jerry Hu</cp:lastModifiedBy>
  <cp:revision/>
  <dcterms:created xsi:type="dcterms:W3CDTF">2021-01-11T23:41:23Z</dcterms:created>
  <dcterms:modified xsi:type="dcterms:W3CDTF">2022-05-06T22:23:59Z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0x010100DF5F9BA0E2AC634AB6EB7128965F24CF</vt:lpwstr>
  </property>
</Properties>
</file>