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worksheets/sheet8.xml" ContentType="application/vnd.openxmlformats-officedocument.spreadsheetml.worksheet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9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2.xml" ContentType="application/vnd.ms-excel.threaded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comments7.xml" ContentType="application/vnd.openxmlformats-officedocument.spreadsheetml.comments+xml"/>
  <Override PartName="/xl/comments5.xml" ContentType="application/vnd.openxmlformats-officedocument.spreadsheetml.comments+xml"/>
  <Override PartName="/xl/comments8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orks &amp; Services\Solid Waste\ISWMP - Hazelton Area\Waste Tracking\"/>
    </mc:Choice>
  </mc:AlternateContent>
  <xr:revisionPtr revIDLastSave="0" documentId="13_ncr:1_{A48A75B0-C74B-470C-921D-5D95AADF572B}" xr6:coauthVersionLast="47" xr6:coauthVersionMax="47" xr10:uidLastSave="{00000000-0000-0000-0000-000000000000}"/>
  <bookViews>
    <workbookView xWindow="17100" yWindow="-16455" windowWidth="29040" windowHeight="15840" tabRatio="742" firstSheet="8" activeTab="12" xr2:uid="{E2196ADF-1642-4689-BFD6-FD265EAAFF4D}"/>
  </bookViews>
  <sheets>
    <sheet name="Kitwanga2018" sheetId="1" state="hidden" r:id="rId1"/>
    <sheet name="Stewart OCC2018" sheetId="2" state="hidden" r:id="rId2"/>
    <sheet name="Kitwanga 2019" sheetId="9" state="hidden" r:id="rId3"/>
    <sheet name="Stewart 2019" sheetId="13" state="hidden" r:id="rId4"/>
    <sheet name="Hazelton 2019" sheetId="14" state="hidden" r:id="rId5"/>
    <sheet name="Kitwanga chart 2019" sheetId="12" state="hidden" r:id="rId6"/>
    <sheet name="Stewart chart 2019" sheetId="16" state="hidden" r:id="rId7"/>
    <sheet name="Hazelton chart 2019" sheetId="15" state="hidden" r:id="rId8"/>
    <sheet name="Kitwanga 2020" sheetId="17" r:id="rId9"/>
    <sheet name="Stewart 2020" sheetId="18" r:id="rId10"/>
    <sheet name="Hazelton 2020" sheetId="19" r:id="rId11"/>
    <sheet name="Kitwanga 2021" sheetId="20" r:id="rId12"/>
    <sheet name="Stewart 2021" sheetId="21" r:id="rId13"/>
    <sheet name="Hazelton 2021" sheetId="22" r:id="rId14"/>
    <sheet name="Kitwanga 2022" sheetId="24" r:id="rId15"/>
    <sheet name="Stewart 2022" sheetId="23" r:id="rId16"/>
    <sheet name="Hazelton 2022" sheetId="2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25" l="1"/>
  <c r="C11" i="25"/>
  <c r="C6" i="25"/>
  <c r="B17" i="22"/>
  <c r="B22" i="22"/>
  <c r="B28" i="22"/>
  <c r="B11" i="22"/>
  <c r="B33" i="22"/>
  <c r="B38" i="22"/>
  <c r="B44" i="22"/>
  <c r="B48" i="22"/>
  <c r="B53" i="22"/>
  <c r="B59" i="22"/>
  <c r="B64" i="22"/>
  <c r="U64" i="23"/>
  <c r="T64" i="23"/>
  <c r="S64" i="23"/>
  <c r="R64" i="23"/>
  <c r="Q64" i="23"/>
  <c r="P64" i="23"/>
  <c r="O64" i="23"/>
  <c r="N64" i="23"/>
  <c r="M64" i="23"/>
  <c r="W64" i="23" s="1"/>
  <c r="L64" i="23"/>
  <c r="K64" i="23"/>
  <c r="J64" i="23"/>
  <c r="I64" i="23"/>
  <c r="H64" i="23"/>
  <c r="G64" i="23"/>
  <c r="F64" i="23"/>
  <c r="E64" i="23"/>
  <c r="V64" i="23" s="1"/>
  <c r="C64" i="23"/>
  <c r="B64" i="23"/>
  <c r="D64" i="23" s="1"/>
  <c r="U59" i="23"/>
  <c r="T59" i="23"/>
  <c r="S59" i="23"/>
  <c r="R59" i="23"/>
  <c r="Q59" i="23"/>
  <c r="P59" i="23"/>
  <c r="O59" i="23"/>
  <c r="N59" i="23"/>
  <c r="M59" i="23"/>
  <c r="W59" i="23" s="1"/>
  <c r="L59" i="23"/>
  <c r="K59" i="23"/>
  <c r="J59" i="23"/>
  <c r="I59" i="23"/>
  <c r="H59" i="23"/>
  <c r="G59" i="23"/>
  <c r="F59" i="23"/>
  <c r="E59" i="23"/>
  <c r="V59" i="23" s="1"/>
  <c r="C59" i="23"/>
  <c r="B59" i="23"/>
  <c r="D59" i="23" s="1"/>
  <c r="W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V53" i="23" s="1"/>
  <c r="C53" i="23"/>
  <c r="B53" i="23"/>
  <c r="D53" i="23" s="1"/>
  <c r="U48" i="23"/>
  <c r="T48" i="23"/>
  <c r="S48" i="23"/>
  <c r="R48" i="23"/>
  <c r="Q48" i="23"/>
  <c r="P48" i="23"/>
  <c r="O48" i="23"/>
  <c r="N48" i="23"/>
  <c r="M48" i="23"/>
  <c r="W48" i="23" s="1"/>
  <c r="L48" i="23"/>
  <c r="K48" i="23"/>
  <c r="J48" i="23"/>
  <c r="I48" i="23"/>
  <c r="H48" i="23"/>
  <c r="G48" i="23"/>
  <c r="F48" i="23"/>
  <c r="E48" i="23"/>
  <c r="V48" i="23" s="1"/>
  <c r="C48" i="23"/>
  <c r="B48" i="23"/>
  <c r="D48" i="23" s="1"/>
  <c r="U44" i="23"/>
  <c r="T44" i="23"/>
  <c r="S44" i="23"/>
  <c r="R44" i="23"/>
  <c r="Q44" i="23"/>
  <c r="P44" i="23"/>
  <c r="O44" i="23"/>
  <c r="N44" i="23"/>
  <c r="M44" i="23"/>
  <c r="W44" i="23" s="1"/>
  <c r="L44" i="23"/>
  <c r="K44" i="23"/>
  <c r="J44" i="23"/>
  <c r="I44" i="23"/>
  <c r="H44" i="23"/>
  <c r="G44" i="23"/>
  <c r="F44" i="23"/>
  <c r="E44" i="23"/>
  <c r="V44" i="23" s="1"/>
  <c r="C44" i="23"/>
  <c r="B44" i="23"/>
  <c r="D44" i="23" s="1"/>
  <c r="U38" i="23"/>
  <c r="T38" i="23"/>
  <c r="S38" i="23"/>
  <c r="R38" i="23"/>
  <c r="Q38" i="23"/>
  <c r="P38" i="23"/>
  <c r="O38" i="23"/>
  <c r="N38" i="23"/>
  <c r="M38" i="23"/>
  <c r="W38" i="23" s="1"/>
  <c r="L38" i="23"/>
  <c r="K38" i="23"/>
  <c r="J38" i="23"/>
  <c r="I38" i="23"/>
  <c r="H38" i="23"/>
  <c r="G38" i="23"/>
  <c r="F38" i="23"/>
  <c r="E38" i="23"/>
  <c r="V38" i="23" s="1"/>
  <c r="C38" i="23"/>
  <c r="B38" i="23"/>
  <c r="D38" i="23" s="1"/>
  <c r="U33" i="23"/>
  <c r="T33" i="23"/>
  <c r="S33" i="23"/>
  <c r="R33" i="23"/>
  <c r="Q33" i="23"/>
  <c r="P33" i="23"/>
  <c r="O33" i="23"/>
  <c r="N33" i="23"/>
  <c r="M33" i="23"/>
  <c r="W33" i="23" s="1"/>
  <c r="L33" i="23"/>
  <c r="K33" i="23"/>
  <c r="J33" i="23"/>
  <c r="I33" i="23"/>
  <c r="H33" i="23"/>
  <c r="G33" i="23"/>
  <c r="F33" i="23"/>
  <c r="E33" i="23"/>
  <c r="V33" i="23" s="1"/>
  <c r="C33" i="23"/>
  <c r="B33" i="23"/>
  <c r="D33" i="23" s="1"/>
  <c r="U28" i="23"/>
  <c r="T28" i="23"/>
  <c r="S28" i="23"/>
  <c r="R28" i="23"/>
  <c r="Q28" i="23"/>
  <c r="P28" i="23"/>
  <c r="O28" i="23"/>
  <c r="N28" i="23"/>
  <c r="M28" i="23"/>
  <c r="W28" i="23" s="1"/>
  <c r="L28" i="23"/>
  <c r="K28" i="23"/>
  <c r="J28" i="23"/>
  <c r="I28" i="23"/>
  <c r="H28" i="23"/>
  <c r="G28" i="23"/>
  <c r="F28" i="23"/>
  <c r="E28" i="23"/>
  <c r="V28" i="23" s="1"/>
  <c r="C28" i="23"/>
  <c r="B28" i="23"/>
  <c r="D28" i="23" s="1"/>
  <c r="U22" i="23"/>
  <c r="T22" i="23"/>
  <c r="S22" i="23"/>
  <c r="R22" i="23"/>
  <c r="Q22" i="23"/>
  <c r="P22" i="23"/>
  <c r="O22" i="23"/>
  <c r="N22" i="23"/>
  <c r="M22" i="23"/>
  <c r="W22" i="23" s="1"/>
  <c r="L22" i="23"/>
  <c r="K22" i="23"/>
  <c r="J22" i="23"/>
  <c r="I22" i="23"/>
  <c r="H22" i="23"/>
  <c r="G22" i="23"/>
  <c r="F22" i="23"/>
  <c r="E22" i="23"/>
  <c r="V22" i="23" s="1"/>
  <c r="C22" i="23"/>
  <c r="B22" i="23"/>
  <c r="D22" i="23" s="1"/>
  <c r="U17" i="23"/>
  <c r="T17" i="23"/>
  <c r="S17" i="23"/>
  <c r="R17" i="23"/>
  <c r="Q17" i="23"/>
  <c r="P17" i="23"/>
  <c r="O17" i="23"/>
  <c r="W17" i="23" s="1"/>
  <c r="N17" i="23"/>
  <c r="M17" i="23"/>
  <c r="L17" i="23"/>
  <c r="K17" i="23"/>
  <c r="J17" i="23"/>
  <c r="I17" i="23"/>
  <c r="H17" i="23"/>
  <c r="G17" i="23"/>
  <c r="F17" i="23"/>
  <c r="E17" i="23"/>
  <c r="V17" i="23" s="1"/>
  <c r="C17" i="23"/>
  <c r="B17" i="23"/>
  <c r="D17" i="23" s="1"/>
  <c r="U11" i="23"/>
  <c r="T11" i="23"/>
  <c r="S11" i="23"/>
  <c r="R11" i="23"/>
  <c r="Q11" i="23"/>
  <c r="P11" i="23"/>
  <c r="O11" i="23"/>
  <c r="N11" i="23"/>
  <c r="M11" i="23"/>
  <c r="W11" i="23" s="1"/>
  <c r="L11" i="23"/>
  <c r="K11" i="23"/>
  <c r="J11" i="23"/>
  <c r="I11" i="23"/>
  <c r="H11" i="23"/>
  <c r="G11" i="23"/>
  <c r="F11" i="23"/>
  <c r="E11" i="23"/>
  <c r="V11" i="23" s="1"/>
  <c r="D11" i="23"/>
  <c r="C11" i="23"/>
  <c r="B11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V6" i="23" s="1"/>
  <c r="C6" i="23"/>
  <c r="B6" i="23"/>
  <c r="S64" i="24"/>
  <c r="R64" i="24"/>
  <c r="Q64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S59" i="24"/>
  <c r="R59" i="24"/>
  <c r="Q59" i="24"/>
  <c r="P59" i="24"/>
  <c r="O59" i="24"/>
  <c r="N59" i="24"/>
  <c r="M59" i="24"/>
  <c r="L59" i="24"/>
  <c r="K59" i="24"/>
  <c r="J59" i="24"/>
  <c r="I59" i="24"/>
  <c r="T59" i="24" s="1"/>
  <c r="H59" i="24"/>
  <c r="G59" i="24"/>
  <c r="F59" i="24"/>
  <c r="E59" i="24"/>
  <c r="D59" i="24"/>
  <c r="C59" i="24"/>
  <c r="B59" i="24"/>
  <c r="S53" i="24"/>
  <c r="R53" i="24"/>
  <c r="Q53" i="24"/>
  <c r="P53" i="24"/>
  <c r="O53" i="24"/>
  <c r="N53" i="24"/>
  <c r="M53" i="24"/>
  <c r="L53" i="24"/>
  <c r="K53" i="24"/>
  <c r="J53" i="24"/>
  <c r="I53" i="24"/>
  <c r="H53" i="24"/>
  <c r="G53" i="24"/>
  <c r="F53" i="24"/>
  <c r="E53" i="24"/>
  <c r="D53" i="24"/>
  <c r="C53" i="24"/>
  <c r="B53" i="24"/>
  <c r="S48" i="24"/>
  <c r="R48" i="24"/>
  <c r="Q48" i="24"/>
  <c r="P48" i="24"/>
  <c r="O48" i="24"/>
  <c r="N48" i="24"/>
  <c r="M48" i="24"/>
  <c r="L48" i="24"/>
  <c r="K48" i="24"/>
  <c r="J48" i="24"/>
  <c r="I48" i="24"/>
  <c r="H48" i="24"/>
  <c r="G48" i="24"/>
  <c r="F48" i="24"/>
  <c r="E48" i="24"/>
  <c r="D48" i="24"/>
  <c r="C48" i="24"/>
  <c r="B48" i="24"/>
  <c r="S44" i="24"/>
  <c r="R44" i="24"/>
  <c r="Q44" i="24"/>
  <c r="P44" i="24"/>
  <c r="O44" i="24"/>
  <c r="N44" i="24"/>
  <c r="M44" i="24"/>
  <c r="L44" i="24"/>
  <c r="K44" i="24"/>
  <c r="J44" i="24"/>
  <c r="I44" i="24"/>
  <c r="H44" i="24"/>
  <c r="G44" i="24"/>
  <c r="F44" i="24"/>
  <c r="E44" i="24"/>
  <c r="D44" i="24"/>
  <c r="C44" i="24"/>
  <c r="B44" i="24"/>
  <c r="S33" i="24"/>
  <c r="R33" i="24"/>
  <c r="Q33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S38" i="24"/>
  <c r="R38" i="24"/>
  <c r="Q38" i="24"/>
  <c r="P38" i="24"/>
  <c r="O38" i="24"/>
  <c r="N38" i="24"/>
  <c r="M38" i="24"/>
  <c r="L38" i="24"/>
  <c r="K38" i="24"/>
  <c r="J38" i="24"/>
  <c r="I38" i="24"/>
  <c r="H38" i="24"/>
  <c r="G38" i="24"/>
  <c r="F38" i="24"/>
  <c r="E38" i="24"/>
  <c r="D38" i="24"/>
  <c r="C38" i="24"/>
  <c r="B3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S17" i="24"/>
  <c r="R17" i="24"/>
  <c r="Q17" i="24"/>
  <c r="P17" i="24"/>
  <c r="O17" i="24"/>
  <c r="N17" i="24"/>
  <c r="M17" i="24"/>
  <c r="L17" i="24"/>
  <c r="K17" i="24"/>
  <c r="J17" i="24"/>
  <c r="I17" i="24"/>
  <c r="T17" i="24" s="1"/>
  <c r="H17" i="24"/>
  <c r="G17" i="24"/>
  <c r="F17" i="24"/>
  <c r="E17" i="24"/>
  <c r="D17" i="24"/>
  <c r="C17" i="24"/>
  <c r="B17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H65" i="25"/>
  <c r="I65" i="25"/>
  <c r="G65" i="25"/>
  <c r="F65" i="25"/>
  <c r="E65" i="25"/>
  <c r="D65" i="25"/>
  <c r="B65" i="25"/>
  <c r="U22" i="20"/>
  <c r="U11" i="20"/>
  <c r="U6" i="20"/>
  <c r="U64" i="20"/>
  <c r="U59" i="20"/>
  <c r="U53" i="20"/>
  <c r="U48" i="20"/>
  <c r="U44" i="20"/>
  <c r="U38" i="20"/>
  <c r="U33" i="20"/>
  <c r="U28" i="20"/>
  <c r="U17" i="20"/>
  <c r="H33" i="22"/>
  <c r="H64" i="22"/>
  <c r="H59" i="22"/>
  <c r="H53" i="22"/>
  <c r="H48" i="22"/>
  <c r="H44" i="22"/>
  <c r="H38" i="22"/>
  <c r="H28" i="22"/>
  <c r="H22" i="22"/>
  <c r="H17" i="22"/>
  <c r="H11" i="22"/>
  <c r="P64" i="20"/>
  <c r="P59" i="20"/>
  <c r="P53" i="20"/>
  <c r="P48" i="20"/>
  <c r="P44" i="20"/>
  <c r="P38" i="20"/>
  <c r="P33" i="20"/>
  <c r="P28" i="20"/>
  <c r="P22" i="20"/>
  <c r="P17" i="20"/>
  <c r="P11" i="20"/>
  <c r="P6" i="20"/>
  <c r="F64" i="20"/>
  <c r="F59" i="20"/>
  <c r="F53" i="20"/>
  <c r="F48" i="20"/>
  <c r="F44" i="20"/>
  <c r="F38" i="20"/>
  <c r="F33" i="20"/>
  <c r="F28" i="20"/>
  <c r="F22" i="20"/>
  <c r="F17" i="20"/>
  <c r="F11" i="20"/>
  <c r="F6" i="20"/>
  <c r="D54" i="21"/>
  <c r="D56" i="21"/>
  <c r="D65" i="22"/>
  <c r="E65" i="22"/>
  <c r="F65" i="22"/>
  <c r="G65" i="22"/>
  <c r="I65" i="22"/>
  <c r="C65" i="22"/>
  <c r="C64" i="22"/>
  <c r="D64" i="22"/>
  <c r="E64" i="22"/>
  <c r="F64" i="22"/>
  <c r="G64" i="22"/>
  <c r="I64" i="22"/>
  <c r="C59" i="22"/>
  <c r="D59" i="22"/>
  <c r="E59" i="22"/>
  <c r="F59" i="22"/>
  <c r="G59" i="22"/>
  <c r="I59" i="22"/>
  <c r="C53" i="22"/>
  <c r="D53" i="22"/>
  <c r="E53" i="22"/>
  <c r="F53" i="22"/>
  <c r="G53" i="22"/>
  <c r="I53" i="22"/>
  <c r="C48" i="22"/>
  <c r="D48" i="22"/>
  <c r="E48" i="22"/>
  <c r="F48" i="22"/>
  <c r="G48" i="22"/>
  <c r="I48" i="22"/>
  <c r="C44" i="22"/>
  <c r="D44" i="22"/>
  <c r="E44" i="22"/>
  <c r="F44" i="22"/>
  <c r="G44" i="22"/>
  <c r="I44" i="22"/>
  <c r="C38" i="22"/>
  <c r="D38" i="22"/>
  <c r="E38" i="22"/>
  <c r="F38" i="22"/>
  <c r="G38" i="22"/>
  <c r="I38" i="22"/>
  <c r="C33" i="22"/>
  <c r="D33" i="22"/>
  <c r="E33" i="22"/>
  <c r="F33" i="22"/>
  <c r="G33" i="22"/>
  <c r="I33" i="22"/>
  <c r="C28" i="22"/>
  <c r="D28" i="22"/>
  <c r="E28" i="22"/>
  <c r="F28" i="22"/>
  <c r="G28" i="22"/>
  <c r="I28" i="22"/>
  <c r="D22" i="22"/>
  <c r="E22" i="22"/>
  <c r="F22" i="22"/>
  <c r="G22" i="22"/>
  <c r="I22" i="22"/>
  <c r="D17" i="22"/>
  <c r="E17" i="22"/>
  <c r="F17" i="22"/>
  <c r="G17" i="22"/>
  <c r="I17" i="22"/>
  <c r="C17" i="22"/>
  <c r="C22" i="22"/>
  <c r="C11" i="22"/>
  <c r="D11" i="22"/>
  <c r="E11" i="22"/>
  <c r="F11" i="22"/>
  <c r="G11" i="22"/>
  <c r="I11" i="22"/>
  <c r="B6" i="22"/>
  <c r="C6" i="22"/>
  <c r="D6" i="22"/>
  <c r="E6" i="22"/>
  <c r="F6" i="22"/>
  <c r="G6" i="22"/>
  <c r="H6" i="22"/>
  <c r="I6" i="22"/>
  <c r="G63" i="18"/>
  <c r="E66" i="18"/>
  <c r="E55" i="21"/>
  <c r="E50" i="21"/>
  <c r="E46" i="21"/>
  <c r="E45" i="21"/>
  <c r="E41" i="21"/>
  <c r="C65" i="25" l="1"/>
  <c r="D6" i="23"/>
  <c r="B65" i="22"/>
  <c r="C65" i="24"/>
  <c r="K65" i="24"/>
  <c r="U28" i="24"/>
  <c r="G65" i="24"/>
  <c r="F65" i="24"/>
  <c r="N65" i="24"/>
  <c r="O65" i="24"/>
  <c r="T53" i="24"/>
  <c r="L65" i="24"/>
  <c r="H65" i="24"/>
  <c r="P65" i="24"/>
  <c r="E65" i="24"/>
  <c r="M65" i="24"/>
  <c r="Q65" i="24"/>
  <c r="B65" i="24"/>
  <c r="J65" i="24"/>
  <c r="R65" i="24"/>
  <c r="W6" i="23"/>
  <c r="T22" i="24"/>
  <c r="U38" i="24"/>
  <c r="T64" i="24"/>
  <c r="U6" i="24"/>
  <c r="T33" i="24"/>
  <c r="U48" i="24"/>
  <c r="U17" i="24"/>
  <c r="D65" i="24"/>
  <c r="T28" i="24"/>
  <c r="U33" i="24"/>
  <c r="I65" i="24"/>
  <c r="S65" i="24"/>
  <c r="T6" i="24"/>
  <c r="T11" i="24"/>
  <c r="U22" i="24"/>
  <c r="U64" i="24"/>
  <c r="U11" i="24"/>
  <c r="T44" i="24"/>
  <c r="U53" i="24"/>
  <c r="T38" i="24"/>
  <c r="U44" i="24"/>
  <c r="T48" i="24"/>
  <c r="U59" i="24"/>
  <c r="B68" i="23"/>
  <c r="B68" i="24"/>
  <c r="U65" i="20"/>
  <c r="P65" i="20"/>
  <c r="F65" i="20"/>
  <c r="B30" i="20"/>
  <c r="T65" i="24" l="1"/>
  <c r="U65" i="24"/>
  <c r="T68" i="24" s="1"/>
  <c r="U68" i="23"/>
  <c r="C17" i="21"/>
  <c r="F68" i="23" l="1"/>
  <c r="E17" i="20"/>
  <c r="D3" i="21"/>
  <c r="D4" i="21"/>
  <c r="D5" i="21"/>
  <c r="D7" i="21"/>
  <c r="D8" i="21"/>
  <c r="D9" i="21"/>
  <c r="D10" i="21"/>
  <c r="D12" i="21"/>
  <c r="D13" i="21"/>
  <c r="D14" i="21"/>
  <c r="D15" i="21"/>
  <c r="D16" i="21"/>
  <c r="D18" i="21"/>
  <c r="D19" i="21"/>
  <c r="D20" i="21"/>
  <c r="D21" i="21"/>
  <c r="D23" i="21"/>
  <c r="D24" i="21"/>
  <c r="D25" i="21"/>
  <c r="D26" i="21"/>
  <c r="D27" i="21"/>
  <c r="D29" i="21"/>
  <c r="D30" i="21"/>
  <c r="D31" i="21"/>
  <c r="D32" i="21"/>
  <c r="D34" i="21"/>
  <c r="D35" i="21"/>
  <c r="D36" i="21"/>
  <c r="D37" i="21"/>
  <c r="D39" i="21"/>
  <c r="D40" i="21"/>
  <c r="D41" i="21"/>
  <c r="D42" i="21"/>
  <c r="D43" i="21"/>
  <c r="D45" i="21"/>
  <c r="D46" i="21"/>
  <c r="D47" i="21"/>
  <c r="D49" i="21"/>
  <c r="D50" i="21"/>
  <c r="D51" i="21"/>
  <c r="D52" i="21"/>
  <c r="D55" i="21"/>
  <c r="D57" i="21"/>
  <c r="D58" i="21"/>
  <c r="D60" i="21"/>
  <c r="D61" i="21"/>
  <c r="D62" i="21"/>
  <c r="D63" i="21"/>
  <c r="D2" i="21"/>
  <c r="F64" i="21"/>
  <c r="G64" i="21"/>
  <c r="G65" i="21" s="1"/>
  <c r="H64" i="21"/>
  <c r="I64" i="21"/>
  <c r="J64" i="21"/>
  <c r="K64" i="21"/>
  <c r="L64" i="21"/>
  <c r="M64" i="21"/>
  <c r="M65" i="21" s="1"/>
  <c r="N64" i="21"/>
  <c r="O64" i="21"/>
  <c r="P64" i="21"/>
  <c r="Q64" i="21"/>
  <c r="Q65" i="21" s="1"/>
  <c r="R64" i="21"/>
  <c r="S64" i="21"/>
  <c r="T64" i="21"/>
  <c r="U64" i="21"/>
  <c r="U65" i="21" s="1"/>
  <c r="E64" i="21"/>
  <c r="C64" i="21"/>
  <c r="B64" i="21"/>
  <c r="F59" i="21"/>
  <c r="G59" i="21"/>
  <c r="H59" i="21"/>
  <c r="I59" i="21"/>
  <c r="I65" i="21" s="1"/>
  <c r="J59" i="21"/>
  <c r="V59" i="21" s="1"/>
  <c r="K59" i="21"/>
  <c r="L59" i="21"/>
  <c r="M59" i="21"/>
  <c r="N59" i="21"/>
  <c r="O59" i="21"/>
  <c r="P59" i="21"/>
  <c r="Q59" i="21"/>
  <c r="R59" i="21"/>
  <c r="S59" i="21"/>
  <c r="T59" i="21"/>
  <c r="U59" i="21"/>
  <c r="E59" i="21"/>
  <c r="C59" i="21"/>
  <c r="D59" i="21" s="1"/>
  <c r="B59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E53" i="21"/>
  <c r="C53" i="21"/>
  <c r="B53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E48" i="21"/>
  <c r="C48" i="21"/>
  <c r="B48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E44" i="21"/>
  <c r="C44" i="21"/>
  <c r="B44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E38" i="21"/>
  <c r="C38" i="21"/>
  <c r="B38" i="21"/>
  <c r="D38" i="21" s="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E33" i="21"/>
  <c r="V33" i="21" s="1"/>
  <c r="C33" i="21"/>
  <c r="B33" i="21"/>
  <c r="F28" i="21"/>
  <c r="G28" i="21"/>
  <c r="H28" i="21"/>
  <c r="I28" i="21"/>
  <c r="J28" i="21"/>
  <c r="K28" i="21"/>
  <c r="K65" i="21" s="1"/>
  <c r="L28" i="21"/>
  <c r="M28" i="21"/>
  <c r="N28" i="21"/>
  <c r="O28" i="21"/>
  <c r="P28" i="21"/>
  <c r="Q28" i="21"/>
  <c r="R28" i="21"/>
  <c r="S28" i="21"/>
  <c r="T28" i="21"/>
  <c r="U28" i="21"/>
  <c r="E28" i="21"/>
  <c r="C28" i="21"/>
  <c r="B28" i="21"/>
  <c r="D28" i="21" s="1"/>
  <c r="F22" i="21"/>
  <c r="G22" i="21"/>
  <c r="H22" i="21"/>
  <c r="I22" i="21"/>
  <c r="J22" i="21"/>
  <c r="K22" i="21"/>
  <c r="L22" i="21"/>
  <c r="M22" i="21"/>
  <c r="N22" i="21"/>
  <c r="O22" i="21"/>
  <c r="P22" i="21"/>
  <c r="P65" i="21" s="1"/>
  <c r="Q22" i="21"/>
  <c r="R22" i="21"/>
  <c r="S22" i="21"/>
  <c r="T22" i="21"/>
  <c r="U22" i="21"/>
  <c r="E22" i="21"/>
  <c r="C22" i="21"/>
  <c r="B22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E17" i="21"/>
  <c r="B17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E11" i="21"/>
  <c r="C11" i="21"/>
  <c r="B11" i="21"/>
  <c r="W3" i="21"/>
  <c r="W4" i="21"/>
  <c r="W5" i="21"/>
  <c r="W7" i="21"/>
  <c r="W8" i="21"/>
  <c r="W9" i="21"/>
  <c r="W10" i="21"/>
  <c r="W12" i="21"/>
  <c r="W13" i="21"/>
  <c r="W14" i="21"/>
  <c r="W15" i="21"/>
  <c r="W16" i="21"/>
  <c r="W18" i="21"/>
  <c r="W19" i="21"/>
  <c r="W20" i="21"/>
  <c r="W21" i="21"/>
  <c r="W23" i="21"/>
  <c r="W24" i="21"/>
  <c r="W25" i="21"/>
  <c r="W26" i="21"/>
  <c r="W27" i="21"/>
  <c r="W29" i="21"/>
  <c r="W30" i="21"/>
  <c r="W31" i="21"/>
  <c r="W32" i="21"/>
  <c r="W34" i="21"/>
  <c r="W35" i="21"/>
  <c r="W36" i="21"/>
  <c r="W37" i="21"/>
  <c r="W39" i="21"/>
  <c r="W40" i="21"/>
  <c r="W41" i="21"/>
  <c r="W42" i="21"/>
  <c r="W43" i="21"/>
  <c r="W45" i="21"/>
  <c r="W46" i="21"/>
  <c r="W47" i="21"/>
  <c r="W49" i="21"/>
  <c r="W50" i="21"/>
  <c r="W51" i="21"/>
  <c r="W52" i="21"/>
  <c r="W54" i="21"/>
  <c r="W55" i="21"/>
  <c r="W56" i="21"/>
  <c r="W57" i="21"/>
  <c r="W58" i="21"/>
  <c r="W60" i="21"/>
  <c r="W61" i="21"/>
  <c r="W62" i="21"/>
  <c r="W63" i="21"/>
  <c r="W2" i="21"/>
  <c r="V3" i="21"/>
  <c r="V4" i="21"/>
  <c r="V5" i="21"/>
  <c r="V7" i="21"/>
  <c r="V8" i="21"/>
  <c r="V9" i="21"/>
  <c r="V10" i="21"/>
  <c r="V12" i="21"/>
  <c r="V13" i="21"/>
  <c r="V14" i="21"/>
  <c r="V15" i="21"/>
  <c r="V16" i="21"/>
  <c r="V18" i="21"/>
  <c r="V19" i="21"/>
  <c r="V20" i="21"/>
  <c r="V21" i="21"/>
  <c r="V23" i="21"/>
  <c r="V24" i="21"/>
  <c r="V25" i="21"/>
  <c r="V26" i="21"/>
  <c r="V27" i="21"/>
  <c r="V29" i="21"/>
  <c r="V30" i="21"/>
  <c r="V31" i="21"/>
  <c r="V32" i="21"/>
  <c r="V34" i="21"/>
  <c r="V35" i="21"/>
  <c r="V36" i="21"/>
  <c r="V37" i="21"/>
  <c r="V39" i="21"/>
  <c r="V40" i="21"/>
  <c r="V41" i="21"/>
  <c r="V42" i="21"/>
  <c r="V43" i="21"/>
  <c r="V45" i="21"/>
  <c r="V46" i="21"/>
  <c r="V47" i="21"/>
  <c r="V49" i="21"/>
  <c r="V50" i="21"/>
  <c r="V51" i="21"/>
  <c r="V52" i="21"/>
  <c r="V54" i="21"/>
  <c r="V55" i="21"/>
  <c r="V56" i="21"/>
  <c r="V57" i="21"/>
  <c r="V58" i="21"/>
  <c r="V60" i="21"/>
  <c r="V61" i="21"/>
  <c r="V62" i="21"/>
  <c r="V63" i="21"/>
  <c r="V2" i="21"/>
  <c r="F6" i="21"/>
  <c r="G6" i="21"/>
  <c r="H6" i="21"/>
  <c r="I6" i="21"/>
  <c r="J6" i="21"/>
  <c r="V6" i="21" s="1"/>
  <c r="K6" i="21"/>
  <c r="L6" i="21"/>
  <c r="M6" i="21"/>
  <c r="N6" i="21"/>
  <c r="O6" i="21"/>
  <c r="P6" i="21"/>
  <c r="Q6" i="21"/>
  <c r="R6" i="21"/>
  <c r="S6" i="21"/>
  <c r="T6" i="21"/>
  <c r="U6" i="21"/>
  <c r="E6" i="21"/>
  <c r="C6" i="21"/>
  <c r="B6" i="21"/>
  <c r="H64" i="20"/>
  <c r="I64" i="20"/>
  <c r="J64" i="20"/>
  <c r="K64" i="20"/>
  <c r="L64" i="20"/>
  <c r="M64" i="20"/>
  <c r="N64" i="20"/>
  <c r="O64" i="20"/>
  <c r="Q64" i="20"/>
  <c r="R64" i="20"/>
  <c r="S64" i="20"/>
  <c r="T64" i="20"/>
  <c r="V64" i="20"/>
  <c r="G64" i="20"/>
  <c r="C64" i="20"/>
  <c r="D64" i="20"/>
  <c r="E64" i="20"/>
  <c r="B64" i="20"/>
  <c r="H59" i="20"/>
  <c r="I59" i="20"/>
  <c r="J59" i="20"/>
  <c r="K59" i="20"/>
  <c r="L59" i="20"/>
  <c r="M59" i="20"/>
  <c r="N59" i="20"/>
  <c r="O59" i="20"/>
  <c r="Q59" i="20"/>
  <c r="R59" i="20"/>
  <c r="S59" i="20"/>
  <c r="T59" i="20"/>
  <c r="V59" i="20"/>
  <c r="G59" i="20"/>
  <c r="C59" i="20"/>
  <c r="D59" i="20"/>
  <c r="E59" i="20"/>
  <c r="B59" i="20"/>
  <c r="H53" i="20"/>
  <c r="I53" i="20"/>
  <c r="J53" i="20"/>
  <c r="K53" i="20"/>
  <c r="L53" i="20"/>
  <c r="M53" i="20"/>
  <c r="N53" i="20"/>
  <c r="O53" i="20"/>
  <c r="Q53" i="20"/>
  <c r="R53" i="20"/>
  <c r="S53" i="20"/>
  <c r="T53" i="20"/>
  <c r="V53" i="20"/>
  <c r="G53" i="20"/>
  <c r="C53" i="20"/>
  <c r="D53" i="20"/>
  <c r="E53" i="20"/>
  <c r="B53" i="20"/>
  <c r="H48" i="20"/>
  <c r="I48" i="20"/>
  <c r="J48" i="20"/>
  <c r="K48" i="20"/>
  <c r="L48" i="20"/>
  <c r="M48" i="20"/>
  <c r="N48" i="20"/>
  <c r="O48" i="20"/>
  <c r="Q48" i="20"/>
  <c r="R48" i="20"/>
  <c r="S48" i="20"/>
  <c r="T48" i="20"/>
  <c r="V48" i="20"/>
  <c r="G48" i="20"/>
  <c r="C48" i="20"/>
  <c r="D48" i="20"/>
  <c r="E48" i="20"/>
  <c r="B48" i="20"/>
  <c r="H44" i="20"/>
  <c r="I44" i="20"/>
  <c r="J44" i="20"/>
  <c r="K44" i="20"/>
  <c r="L44" i="20"/>
  <c r="M44" i="20"/>
  <c r="N44" i="20"/>
  <c r="O44" i="20"/>
  <c r="Q44" i="20"/>
  <c r="R44" i="20"/>
  <c r="S44" i="20"/>
  <c r="T44" i="20"/>
  <c r="V44" i="20"/>
  <c r="G44" i="20"/>
  <c r="C44" i="20"/>
  <c r="D44" i="20"/>
  <c r="E44" i="20"/>
  <c r="B44" i="20"/>
  <c r="H38" i="20"/>
  <c r="I38" i="20"/>
  <c r="J38" i="20"/>
  <c r="K38" i="20"/>
  <c r="L38" i="20"/>
  <c r="M38" i="20"/>
  <c r="N38" i="20"/>
  <c r="O38" i="20"/>
  <c r="Q38" i="20"/>
  <c r="R38" i="20"/>
  <c r="S38" i="20"/>
  <c r="T38" i="20"/>
  <c r="V38" i="20"/>
  <c r="G38" i="20"/>
  <c r="C38" i="20"/>
  <c r="D38" i="20"/>
  <c r="E38" i="20"/>
  <c r="B38" i="20"/>
  <c r="H33" i="20"/>
  <c r="I33" i="20"/>
  <c r="J33" i="20"/>
  <c r="K33" i="20"/>
  <c r="L33" i="20"/>
  <c r="M33" i="20"/>
  <c r="N33" i="20"/>
  <c r="O33" i="20"/>
  <c r="Q33" i="20"/>
  <c r="R33" i="20"/>
  <c r="S33" i="20"/>
  <c r="T33" i="20"/>
  <c r="V33" i="20"/>
  <c r="G33" i="20"/>
  <c r="C33" i="20"/>
  <c r="D33" i="20"/>
  <c r="E33" i="20"/>
  <c r="B33" i="20"/>
  <c r="H28" i="20"/>
  <c r="I28" i="20"/>
  <c r="J28" i="20"/>
  <c r="K28" i="20"/>
  <c r="L28" i="20"/>
  <c r="M28" i="20"/>
  <c r="N28" i="20"/>
  <c r="O28" i="20"/>
  <c r="Q28" i="20"/>
  <c r="R28" i="20"/>
  <c r="S28" i="20"/>
  <c r="T28" i="20"/>
  <c r="V28" i="20"/>
  <c r="G28" i="20"/>
  <c r="E28" i="20"/>
  <c r="C28" i="20"/>
  <c r="D28" i="20"/>
  <c r="B28" i="20"/>
  <c r="H22" i="20"/>
  <c r="I22" i="20"/>
  <c r="J22" i="20"/>
  <c r="K22" i="20"/>
  <c r="L22" i="20"/>
  <c r="M22" i="20"/>
  <c r="N22" i="20"/>
  <c r="O22" i="20"/>
  <c r="Q22" i="20"/>
  <c r="R22" i="20"/>
  <c r="S22" i="20"/>
  <c r="T22" i="20"/>
  <c r="V22" i="20"/>
  <c r="G22" i="20"/>
  <c r="C22" i="20"/>
  <c r="D22" i="20"/>
  <c r="E22" i="20"/>
  <c r="B22" i="20"/>
  <c r="H17" i="20"/>
  <c r="I17" i="20"/>
  <c r="J17" i="20"/>
  <c r="K17" i="20"/>
  <c r="L17" i="20"/>
  <c r="M17" i="20"/>
  <c r="N17" i="20"/>
  <c r="O17" i="20"/>
  <c r="Q17" i="20"/>
  <c r="R17" i="20"/>
  <c r="S17" i="20"/>
  <c r="T17" i="20"/>
  <c r="V17" i="20"/>
  <c r="G17" i="20"/>
  <c r="C17" i="20"/>
  <c r="D17" i="20"/>
  <c r="B17" i="20"/>
  <c r="V48" i="21" l="1"/>
  <c r="D64" i="21"/>
  <c r="T65" i="21"/>
  <c r="W59" i="21"/>
  <c r="J65" i="21"/>
  <c r="R65" i="21"/>
  <c r="H65" i="21"/>
  <c r="W64" i="21"/>
  <c r="V64" i="21"/>
  <c r="V28" i="21"/>
  <c r="W6" i="21"/>
  <c r="L65" i="21"/>
  <c r="N65" i="21"/>
  <c r="S65" i="21"/>
  <c r="W48" i="21"/>
  <c r="W53" i="21"/>
  <c r="W44" i="21"/>
  <c r="W38" i="21"/>
  <c r="V53" i="21"/>
  <c r="V44" i="21"/>
  <c r="D48" i="21"/>
  <c r="D44" i="21"/>
  <c r="D53" i="21"/>
  <c r="W33" i="21"/>
  <c r="D33" i="21"/>
  <c r="W28" i="21"/>
  <c r="F65" i="21"/>
  <c r="W22" i="21"/>
  <c r="D22" i="21"/>
  <c r="V22" i="21"/>
  <c r="W17" i="20"/>
  <c r="W17" i="21"/>
  <c r="O65" i="21"/>
  <c r="V17" i="21"/>
  <c r="E65" i="21"/>
  <c r="V11" i="21"/>
  <c r="W11" i="21"/>
  <c r="D17" i="21"/>
  <c r="C65" i="21"/>
  <c r="D11" i="21"/>
  <c r="D6" i="21"/>
  <c r="B65" i="21"/>
  <c r="V38" i="21"/>
  <c r="X17" i="20"/>
  <c r="W3" i="20"/>
  <c r="W4" i="20"/>
  <c r="W5" i="20"/>
  <c r="W7" i="20"/>
  <c r="W8" i="20"/>
  <c r="W9" i="20"/>
  <c r="W10" i="20"/>
  <c r="W12" i="20"/>
  <c r="W13" i="20"/>
  <c r="W14" i="20"/>
  <c r="W15" i="20"/>
  <c r="W16" i="20"/>
  <c r="W18" i="20"/>
  <c r="W19" i="20"/>
  <c r="W20" i="20"/>
  <c r="W21" i="20"/>
  <c r="W22" i="20"/>
  <c r="W23" i="20"/>
  <c r="W24" i="20"/>
  <c r="W25" i="20"/>
  <c r="W26" i="20"/>
  <c r="W27" i="20"/>
  <c r="W28" i="20"/>
  <c r="W29" i="20"/>
  <c r="W30" i="20"/>
  <c r="W31" i="20"/>
  <c r="W32" i="20"/>
  <c r="W33" i="20"/>
  <c r="W34" i="20"/>
  <c r="W35" i="20"/>
  <c r="W36" i="20"/>
  <c r="W37" i="20"/>
  <c r="W38" i="20"/>
  <c r="W39" i="20"/>
  <c r="W40" i="20"/>
  <c r="W41" i="20"/>
  <c r="W42" i="20"/>
  <c r="W43" i="20"/>
  <c r="W44" i="20"/>
  <c r="W45" i="20"/>
  <c r="W46" i="20"/>
  <c r="W47" i="20"/>
  <c r="W48" i="20"/>
  <c r="W49" i="20"/>
  <c r="W50" i="20"/>
  <c r="W51" i="20"/>
  <c r="W52" i="20"/>
  <c r="W53" i="20"/>
  <c r="W54" i="20"/>
  <c r="W55" i="20"/>
  <c r="W56" i="20"/>
  <c r="W57" i="20"/>
  <c r="W58" i="20"/>
  <c r="W59" i="20"/>
  <c r="W60" i="20"/>
  <c r="W61" i="20"/>
  <c r="W62" i="20"/>
  <c r="W63" i="20"/>
  <c r="W64" i="20"/>
  <c r="W2" i="20"/>
  <c r="X3" i="20"/>
  <c r="X4" i="20"/>
  <c r="X5" i="20"/>
  <c r="X7" i="20"/>
  <c r="X8" i="20"/>
  <c r="X9" i="20"/>
  <c r="X10" i="20"/>
  <c r="X12" i="20"/>
  <c r="X13" i="20"/>
  <c r="X14" i="20"/>
  <c r="X15" i="20"/>
  <c r="X16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48" i="20"/>
  <c r="X49" i="20"/>
  <c r="X50" i="20"/>
  <c r="X51" i="20"/>
  <c r="X52" i="20"/>
  <c r="X53" i="20"/>
  <c r="X54" i="20"/>
  <c r="X55" i="20"/>
  <c r="X56" i="20"/>
  <c r="X57" i="20"/>
  <c r="X58" i="20"/>
  <c r="X59" i="20"/>
  <c r="X60" i="20"/>
  <c r="X61" i="20"/>
  <c r="X62" i="20"/>
  <c r="X63" i="20"/>
  <c r="X64" i="20"/>
  <c r="X2" i="20"/>
  <c r="T11" i="20"/>
  <c r="T6" i="20"/>
  <c r="K11" i="20"/>
  <c r="K6" i="20"/>
  <c r="L11" i="20"/>
  <c r="L6" i="20"/>
  <c r="C11" i="20"/>
  <c r="D11" i="20"/>
  <c r="E11" i="20"/>
  <c r="G11" i="20"/>
  <c r="H11" i="20"/>
  <c r="I11" i="20"/>
  <c r="I65" i="20" s="1"/>
  <c r="J11" i="20"/>
  <c r="M11" i="20"/>
  <c r="N11" i="20"/>
  <c r="O11" i="20"/>
  <c r="Q11" i="20"/>
  <c r="R11" i="20"/>
  <c r="S11" i="20"/>
  <c r="V11" i="20"/>
  <c r="B11" i="20"/>
  <c r="C6" i="20"/>
  <c r="D6" i="20"/>
  <c r="E6" i="20"/>
  <c r="G6" i="20"/>
  <c r="H6" i="20"/>
  <c r="I6" i="20"/>
  <c r="J6" i="20"/>
  <c r="M6" i="20"/>
  <c r="N6" i="20"/>
  <c r="O6" i="20"/>
  <c r="Q6" i="20"/>
  <c r="R6" i="20"/>
  <c r="S6" i="20"/>
  <c r="V6" i="20"/>
  <c r="B6" i="20"/>
  <c r="W65" i="21" l="1"/>
  <c r="V65" i="20"/>
  <c r="J65" i="20"/>
  <c r="H65" i="20"/>
  <c r="S65" i="20"/>
  <c r="Q65" i="20"/>
  <c r="D65" i="20"/>
  <c r="B68" i="20" s="1"/>
  <c r="O65" i="20"/>
  <c r="R65" i="20"/>
  <c r="B65" i="20"/>
  <c r="M65" i="20"/>
  <c r="K65" i="20"/>
  <c r="G65" i="20"/>
  <c r="E65" i="20"/>
  <c r="T65" i="20"/>
  <c r="L65" i="20"/>
  <c r="N65" i="20"/>
  <c r="V65" i="21"/>
  <c r="C65" i="20"/>
  <c r="D65" i="21"/>
  <c r="W11" i="20"/>
  <c r="X11" i="20"/>
  <c r="W6" i="20"/>
  <c r="X6" i="20"/>
  <c r="E48" i="18"/>
  <c r="D46" i="18"/>
  <c r="U68" i="21" l="1"/>
  <c r="X65" i="20"/>
  <c r="B72" i="20" s="1"/>
  <c r="F68" i="21"/>
  <c r="W65" i="20"/>
  <c r="B68" i="21"/>
  <c r="D68" i="20"/>
  <c r="AF3" i="18"/>
  <c r="AF4" i="18"/>
  <c r="AF5" i="18"/>
  <c r="AF7" i="18"/>
  <c r="AF8" i="18"/>
  <c r="AF9" i="18"/>
  <c r="AF10" i="18"/>
  <c r="AF12" i="18"/>
  <c r="AF13" i="18"/>
  <c r="AF14" i="18"/>
  <c r="AF15" i="18"/>
  <c r="AF16" i="18"/>
  <c r="AF18" i="18"/>
  <c r="AF19" i="18"/>
  <c r="AF20" i="18"/>
  <c r="AF21" i="18"/>
  <c r="AF23" i="18"/>
  <c r="AF24" i="18"/>
  <c r="AF25" i="18"/>
  <c r="AF26" i="18"/>
  <c r="AF27" i="18"/>
  <c r="AF29" i="18"/>
  <c r="AF30" i="18"/>
  <c r="AF31" i="18"/>
  <c r="AF32" i="18"/>
  <c r="AF34" i="18"/>
  <c r="AF35" i="18"/>
  <c r="AF36" i="18"/>
  <c r="AF37" i="18"/>
  <c r="AF39" i="18"/>
  <c r="AF40" i="18"/>
  <c r="AF41" i="18"/>
  <c r="AF42" i="18"/>
  <c r="AF43" i="18"/>
  <c r="AF45" i="18"/>
  <c r="AF46" i="18"/>
  <c r="AF47" i="18"/>
  <c r="AF48" i="18"/>
  <c r="AF50" i="18"/>
  <c r="AF51" i="18"/>
  <c r="AF52" i="18"/>
  <c r="AF53" i="18"/>
  <c r="AF55" i="18"/>
  <c r="AF56" i="18"/>
  <c r="AF57" i="18"/>
  <c r="AF58" i="18"/>
  <c r="AF59" i="18"/>
  <c r="AF61" i="18"/>
  <c r="AF62" i="18"/>
  <c r="AF63" i="18"/>
  <c r="AF64" i="18"/>
  <c r="AF2" i="18"/>
  <c r="AG3" i="18"/>
  <c r="AG4" i="18"/>
  <c r="AG5" i="18"/>
  <c r="AG7" i="18"/>
  <c r="AG8" i="18"/>
  <c r="AG9" i="18"/>
  <c r="AG10" i="18"/>
  <c r="AG12" i="18"/>
  <c r="AG13" i="18"/>
  <c r="AG14" i="18"/>
  <c r="AG15" i="18"/>
  <c r="AG18" i="18"/>
  <c r="AG19" i="18"/>
  <c r="AG20" i="18"/>
  <c r="AG21" i="18"/>
  <c r="AG23" i="18"/>
  <c r="AG24" i="18"/>
  <c r="AG25" i="18"/>
  <c r="AG26" i="18"/>
  <c r="AG27" i="18"/>
  <c r="AG29" i="18"/>
  <c r="AG30" i="18"/>
  <c r="AG31" i="18"/>
  <c r="AG32" i="18"/>
  <c r="AG34" i="18"/>
  <c r="AG35" i="18"/>
  <c r="AG36" i="18"/>
  <c r="AG37" i="18"/>
  <c r="AG39" i="18"/>
  <c r="AG40" i="18"/>
  <c r="AG41" i="18"/>
  <c r="AG42" i="18"/>
  <c r="AG43" i="18"/>
  <c r="AG46" i="18"/>
  <c r="AG47" i="18"/>
  <c r="AG48" i="18"/>
  <c r="AG50" i="18"/>
  <c r="AG51" i="18"/>
  <c r="AG52" i="18"/>
  <c r="AG53" i="18"/>
  <c r="AG55" i="18"/>
  <c r="AG56" i="18"/>
  <c r="AG57" i="18"/>
  <c r="AG58" i="18"/>
  <c r="AG59" i="18"/>
  <c r="AG61" i="18"/>
  <c r="AG62" i="18"/>
  <c r="AG63" i="18"/>
  <c r="AG64" i="18"/>
  <c r="AG2" i="18"/>
  <c r="W47" i="18"/>
  <c r="G3" i="18"/>
  <c r="G4" i="18"/>
  <c r="G5" i="18"/>
  <c r="G7" i="18"/>
  <c r="G8" i="18"/>
  <c r="G9" i="18"/>
  <c r="G12" i="18"/>
  <c r="G13" i="18"/>
  <c r="G14" i="18"/>
  <c r="G15" i="18"/>
  <c r="G16" i="18"/>
  <c r="G18" i="18"/>
  <c r="G19" i="18"/>
  <c r="G20" i="18"/>
  <c r="G21" i="18"/>
  <c r="G23" i="18"/>
  <c r="G24" i="18"/>
  <c r="G25" i="18"/>
  <c r="G26" i="18"/>
  <c r="G27" i="18"/>
  <c r="G29" i="18"/>
  <c r="G30" i="18"/>
  <c r="G31" i="18"/>
  <c r="G32" i="18"/>
  <c r="G34" i="18"/>
  <c r="G35" i="18"/>
  <c r="G36" i="18"/>
  <c r="G37" i="18"/>
  <c r="G39" i="18"/>
  <c r="G40" i="18"/>
  <c r="G41" i="18"/>
  <c r="G42" i="18"/>
  <c r="G43" i="18"/>
  <c r="G45" i="18"/>
  <c r="G46" i="18"/>
  <c r="G47" i="18"/>
  <c r="G48" i="18"/>
  <c r="G50" i="18"/>
  <c r="G51" i="18"/>
  <c r="G52" i="18"/>
  <c r="G53" i="18"/>
  <c r="G55" i="18"/>
  <c r="G56" i="18"/>
  <c r="G57" i="18"/>
  <c r="G58" i="18"/>
  <c r="G59" i="18"/>
  <c r="G61" i="18"/>
  <c r="G62" i="18"/>
  <c r="G64" i="18"/>
  <c r="G2" i="18"/>
  <c r="AC52" i="17"/>
  <c r="AC36" i="17"/>
  <c r="AC30" i="17"/>
  <c r="AC24" i="17"/>
  <c r="N37" i="18"/>
  <c r="W68" i="20" l="1"/>
  <c r="B74" i="20"/>
  <c r="N45" i="18"/>
  <c r="AG45" i="18" s="1"/>
  <c r="N16" i="18" l="1"/>
  <c r="AG16" i="18" s="1"/>
  <c r="AD6" i="18" l="1"/>
  <c r="AE6" i="18"/>
  <c r="AD11" i="18"/>
  <c r="AE11" i="18"/>
  <c r="AD17" i="18"/>
  <c r="AE17" i="18"/>
  <c r="AD22" i="18"/>
  <c r="AE22" i="18"/>
  <c r="AD28" i="18"/>
  <c r="AE28" i="18"/>
  <c r="AD33" i="18"/>
  <c r="AE33" i="18"/>
  <c r="AD38" i="18"/>
  <c r="AE38" i="18"/>
  <c r="AD44" i="18"/>
  <c r="AE44" i="18"/>
  <c r="AD49" i="18"/>
  <c r="AE49" i="18"/>
  <c r="AD54" i="18"/>
  <c r="AE54" i="18"/>
  <c r="AD60" i="18"/>
  <c r="AE60" i="18"/>
  <c r="AD65" i="18"/>
  <c r="AE65" i="18"/>
  <c r="AE66" i="18" l="1"/>
  <c r="AD66" i="18"/>
  <c r="D10" i="18"/>
  <c r="G10" i="18" s="1"/>
  <c r="I10" i="17"/>
  <c r="G36" i="13" l="1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35" i="13"/>
  <c r="J67" i="13"/>
  <c r="J66" i="13"/>
  <c r="J61" i="13"/>
  <c r="J50" i="13"/>
  <c r="J45" i="13"/>
  <c r="J39" i="13"/>
  <c r="H4" i="13"/>
  <c r="H5" i="13"/>
  <c r="H6" i="13"/>
  <c r="H8" i="13"/>
  <c r="H9" i="13"/>
  <c r="H10" i="13"/>
  <c r="H11" i="13"/>
  <c r="H3" i="13"/>
  <c r="E63" i="13" l="1"/>
  <c r="E17" i="13"/>
  <c r="G7" i="13" l="1"/>
  <c r="H7" i="13" s="1"/>
  <c r="E62" i="13"/>
  <c r="E59" i="13"/>
  <c r="E58" i="13"/>
  <c r="E57" i="13"/>
  <c r="E56" i="13"/>
  <c r="E54" i="13"/>
  <c r="E51" i="13"/>
  <c r="E49" i="13"/>
  <c r="E43" i="13"/>
  <c r="E38" i="13"/>
  <c r="E37" i="13"/>
  <c r="E36" i="13"/>
  <c r="E33" i="13"/>
  <c r="E32" i="13"/>
  <c r="E31" i="13"/>
  <c r="E30" i="13"/>
  <c r="E28" i="13"/>
  <c r="E26" i="13"/>
  <c r="E22" i="13"/>
  <c r="E20" i="13"/>
  <c r="E19" i="13"/>
  <c r="E15" i="13"/>
  <c r="E14" i="13"/>
  <c r="E13" i="13"/>
  <c r="E11" i="13"/>
  <c r="E10" i="13"/>
  <c r="E9" i="13"/>
  <c r="E8" i="13"/>
  <c r="E6" i="13"/>
  <c r="E4" i="13"/>
  <c r="E3" i="13"/>
  <c r="E66" i="13" l="1"/>
  <c r="E61" i="13"/>
  <c r="E55" i="13"/>
  <c r="E50" i="13"/>
  <c r="E45" i="13"/>
  <c r="E39" i="13"/>
  <c r="E34" i="13"/>
  <c r="E29" i="13"/>
  <c r="E23" i="13"/>
  <c r="E18" i="13"/>
  <c r="E12" i="13"/>
  <c r="E7" i="13"/>
  <c r="D65" i="14"/>
  <c r="D60" i="14"/>
  <c r="D54" i="14"/>
  <c r="D44" i="14"/>
  <c r="D49" i="14"/>
  <c r="D38" i="14"/>
  <c r="D33" i="14"/>
  <c r="D28" i="14"/>
  <c r="D22" i="14"/>
  <c r="D17" i="14"/>
  <c r="D6" i="14"/>
  <c r="D11" i="14"/>
  <c r="D53" i="14"/>
  <c r="D48" i="14"/>
  <c r="D43" i="14"/>
  <c r="D37" i="14"/>
  <c r="D32" i="14"/>
  <c r="D27" i="14"/>
  <c r="D21" i="14"/>
  <c r="D16" i="14"/>
  <c r="D10" i="14"/>
  <c r="D5" i="14"/>
  <c r="J65" i="9"/>
  <c r="J54" i="9"/>
  <c r="J33" i="9"/>
  <c r="J38" i="9"/>
  <c r="J47" i="9"/>
  <c r="J49" i="9" s="1"/>
  <c r="J41" i="9"/>
  <c r="J44" i="9" s="1"/>
  <c r="J36" i="9"/>
  <c r="J31" i="9"/>
  <c r="J24" i="9"/>
  <c r="J28" i="9" s="1"/>
  <c r="J19" i="9"/>
  <c r="J14" i="9"/>
  <c r="J8" i="9"/>
  <c r="J4" i="9"/>
  <c r="K43" i="9"/>
  <c r="K42" i="9"/>
  <c r="K40" i="9"/>
  <c r="K36" i="9"/>
  <c r="K35" i="9"/>
  <c r="K34" i="9"/>
  <c r="K32" i="9"/>
  <c r="K31" i="9"/>
  <c r="K30" i="9"/>
  <c r="K29" i="9"/>
  <c r="K27" i="9"/>
  <c r="K26" i="9"/>
  <c r="K25" i="9"/>
  <c r="K28" i="9" s="1"/>
  <c r="K21" i="9"/>
  <c r="K19" i="9"/>
  <c r="K22" i="9" s="1"/>
  <c r="K18" i="9"/>
  <c r="K16" i="9"/>
  <c r="K14" i="9"/>
  <c r="K13" i="9"/>
  <c r="K12" i="9"/>
  <c r="K10" i="9"/>
  <c r="K9" i="9"/>
  <c r="K8" i="9"/>
  <c r="K7" i="9"/>
  <c r="K5" i="9"/>
  <c r="K4" i="9"/>
  <c r="K6" i="9" s="1"/>
  <c r="J60" i="9" l="1"/>
  <c r="I18" i="13"/>
  <c r="E65" i="14"/>
  <c r="M23" i="17" l="1"/>
  <c r="M24" i="17"/>
  <c r="L23" i="17"/>
  <c r="N23" i="17" s="1"/>
  <c r="L24" i="17"/>
  <c r="N24" i="17" s="1"/>
  <c r="G23" i="17"/>
  <c r="G24" i="17"/>
  <c r="A24" i="17"/>
  <c r="A20" i="17"/>
  <c r="AI20" i="17"/>
  <c r="AG20" i="17"/>
  <c r="AH20" i="17"/>
  <c r="N20" i="17"/>
  <c r="M20" i="17"/>
  <c r="L20" i="17"/>
  <c r="G20" i="17"/>
  <c r="D22" i="19"/>
  <c r="C74" i="19" s="1"/>
  <c r="D17" i="19"/>
  <c r="C73" i="19" s="1"/>
  <c r="D11" i="19"/>
  <c r="C72" i="19" s="1"/>
  <c r="D6" i="19"/>
  <c r="C71" i="19" s="1"/>
  <c r="V17" i="17"/>
  <c r="W17" i="17"/>
  <c r="X17" i="17"/>
  <c r="Y17" i="17"/>
  <c r="Z17" i="17"/>
  <c r="AA17" i="17"/>
  <c r="AB17" i="17"/>
  <c r="AC17" i="17"/>
  <c r="AD17" i="17"/>
  <c r="AE17" i="17"/>
  <c r="AF17" i="17"/>
  <c r="V11" i="17"/>
  <c r="W11" i="17"/>
  <c r="X11" i="17"/>
  <c r="Y11" i="17"/>
  <c r="Z11" i="17"/>
  <c r="AA11" i="17"/>
  <c r="AB11" i="17"/>
  <c r="AC11" i="17"/>
  <c r="AD11" i="17"/>
  <c r="AE11" i="17"/>
  <c r="AF11" i="17"/>
  <c r="V6" i="17"/>
  <c r="W6" i="17"/>
  <c r="X6" i="17"/>
  <c r="Y6" i="17"/>
  <c r="Z6" i="17"/>
  <c r="AA6" i="17"/>
  <c r="AB6" i="17"/>
  <c r="AC6" i="17"/>
  <c r="AD6" i="17"/>
  <c r="AE6" i="17"/>
  <c r="AF6" i="17"/>
  <c r="V65" i="17"/>
  <c r="W65" i="17"/>
  <c r="X65" i="17"/>
  <c r="Y65" i="17"/>
  <c r="Z65" i="17"/>
  <c r="AA65" i="17"/>
  <c r="AB65" i="17"/>
  <c r="AC65" i="17"/>
  <c r="AD65" i="17"/>
  <c r="AE65" i="17"/>
  <c r="AF65" i="17"/>
  <c r="V60" i="17"/>
  <c r="W60" i="17"/>
  <c r="X60" i="17"/>
  <c r="Y60" i="17"/>
  <c r="Z60" i="17"/>
  <c r="AA60" i="17"/>
  <c r="AB60" i="17"/>
  <c r="AC60" i="17"/>
  <c r="AD60" i="17"/>
  <c r="AE60" i="17"/>
  <c r="AF60" i="17"/>
  <c r="V54" i="17"/>
  <c r="W54" i="17"/>
  <c r="X54" i="17"/>
  <c r="Y54" i="17"/>
  <c r="Z54" i="17"/>
  <c r="AA54" i="17"/>
  <c r="AB54" i="17"/>
  <c r="AC54" i="17"/>
  <c r="AD54" i="17"/>
  <c r="AE54" i="17"/>
  <c r="AF54" i="17"/>
  <c r="V49" i="17"/>
  <c r="W49" i="17"/>
  <c r="X49" i="17"/>
  <c r="Y49" i="17"/>
  <c r="Z49" i="17"/>
  <c r="AA49" i="17"/>
  <c r="AB49" i="17"/>
  <c r="AC49" i="17"/>
  <c r="AD49" i="17"/>
  <c r="AE49" i="17"/>
  <c r="AF49" i="17"/>
  <c r="V44" i="17"/>
  <c r="W44" i="17"/>
  <c r="X44" i="17"/>
  <c r="Y44" i="17"/>
  <c r="Z44" i="17"/>
  <c r="AA44" i="17"/>
  <c r="AB44" i="17"/>
  <c r="AC44" i="17"/>
  <c r="AH44" i="17" s="1"/>
  <c r="AD44" i="17"/>
  <c r="AE44" i="17"/>
  <c r="AF44" i="17"/>
  <c r="V38" i="17"/>
  <c r="W38" i="17"/>
  <c r="X38" i="17"/>
  <c r="Y38" i="17"/>
  <c r="Z38" i="17"/>
  <c r="AA38" i="17"/>
  <c r="AB38" i="17"/>
  <c r="AC38" i="17"/>
  <c r="AD38" i="17"/>
  <c r="AE38" i="17"/>
  <c r="AF38" i="17"/>
  <c r="AG38" i="17" s="1"/>
  <c r="AI38" i="17" s="1"/>
  <c r="V33" i="17"/>
  <c r="W33" i="17"/>
  <c r="X33" i="17"/>
  <c r="Y33" i="17"/>
  <c r="Z33" i="17"/>
  <c r="AA33" i="17"/>
  <c r="AB33" i="17"/>
  <c r="AC33" i="17"/>
  <c r="AD33" i="17"/>
  <c r="AE33" i="17"/>
  <c r="AG33" i="17" s="1"/>
  <c r="AI33" i="17" s="1"/>
  <c r="AF33" i="17"/>
  <c r="V28" i="17"/>
  <c r="W28" i="17"/>
  <c r="X28" i="17"/>
  <c r="Y28" i="17"/>
  <c r="Z28" i="17"/>
  <c r="AA28" i="17"/>
  <c r="AB28" i="17"/>
  <c r="AC28" i="17"/>
  <c r="AD28" i="17"/>
  <c r="AE28" i="17"/>
  <c r="AF28" i="17"/>
  <c r="AD22" i="17"/>
  <c r="AG22" i="17" s="1"/>
  <c r="AE22" i="17"/>
  <c r="AF22" i="17"/>
  <c r="AB22" i="17"/>
  <c r="Z22" i="17"/>
  <c r="X22" i="17"/>
  <c r="X66" i="17" s="1"/>
  <c r="V22" i="17"/>
  <c r="J65" i="17"/>
  <c r="K65" i="17"/>
  <c r="J60" i="17"/>
  <c r="K60" i="17"/>
  <c r="J54" i="17"/>
  <c r="K54" i="17"/>
  <c r="J49" i="17"/>
  <c r="K49" i="17"/>
  <c r="J44" i="17"/>
  <c r="K44" i="17"/>
  <c r="K38" i="17"/>
  <c r="K33" i="17"/>
  <c r="K28" i="17"/>
  <c r="J22" i="17"/>
  <c r="K22" i="17"/>
  <c r="K17" i="17"/>
  <c r="J17" i="17"/>
  <c r="O17" i="17" s="1"/>
  <c r="Q17" i="17" s="1"/>
  <c r="I17" i="17"/>
  <c r="J11" i="17"/>
  <c r="K11" i="17"/>
  <c r="J6" i="17"/>
  <c r="K6" i="17"/>
  <c r="I6" i="17"/>
  <c r="H2" i="18"/>
  <c r="H3" i="18"/>
  <c r="H4" i="18"/>
  <c r="G13" i="13"/>
  <c r="H13" i="13" s="1"/>
  <c r="N17" i="18"/>
  <c r="N22" i="18"/>
  <c r="N28" i="18"/>
  <c r="N33" i="18"/>
  <c r="N44" i="18"/>
  <c r="N49" i="18"/>
  <c r="N54" i="18"/>
  <c r="N60" i="18"/>
  <c r="N65" i="18"/>
  <c r="E65" i="18"/>
  <c r="F65" i="18"/>
  <c r="E44" i="18"/>
  <c r="F44" i="18"/>
  <c r="E49" i="18"/>
  <c r="F49" i="18"/>
  <c r="E54" i="18"/>
  <c r="F54" i="18"/>
  <c r="E60" i="18"/>
  <c r="F60" i="18"/>
  <c r="E38" i="18"/>
  <c r="F38" i="18"/>
  <c r="E33" i="18"/>
  <c r="F33" i="18"/>
  <c r="F28" i="18"/>
  <c r="E28" i="18"/>
  <c r="E22" i="18"/>
  <c r="F22" i="18"/>
  <c r="F17" i="18"/>
  <c r="E17" i="18"/>
  <c r="F11" i="18"/>
  <c r="F6" i="18"/>
  <c r="E6" i="18"/>
  <c r="N6" i="18"/>
  <c r="N11" i="18"/>
  <c r="S65" i="17"/>
  <c r="E80" i="19"/>
  <c r="I72" i="19"/>
  <c r="K65" i="19"/>
  <c r="I82" i="19" s="1"/>
  <c r="J65" i="19"/>
  <c r="H82" i="19" s="1"/>
  <c r="H65" i="19"/>
  <c r="G65" i="19"/>
  <c r="F65" i="19"/>
  <c r="E82" i="19"/>
  <c r="D65" i="19"/>
  <c r="C82" i="19" s="1"/>
  <c r="B65" i="19"/>
  <c r="I64" i="19"/>
  <c r="I63" i="19"/>
  <c r="I62" i="19"/>
  <c r="I61" i="19"/>
  <c r="I65" i="19" s="1"/>
  <c r="K60" i="19"/>
  <c r="I81" i="19" s="1"/>
  <c r="J60" i="19"/>
  <c r="H81" i="19" s="1"/>
  <c r="H60" i="19"/>
  <c r="G60" i="19"/>
  <c r="F60" i="19"/>
  <c r="E60" i="19"/>
  <c r="E81" i="19" s="1"/>
  <c r="D60" i="19"/>
  <c r="C81" i="19" s="1"/>
  <c r="B60" i="19"/>
  <c r="I59" i="19"/>
  <c r="I58" i="19"/>
  <c r="I57" i="19"/>
  <c r="I56" i="19"/>
  <c r="I55" i="19"/>
  <c r="K54" i="19"/>
  <c r="I80" i="19" s="1"/>
  <c r="J54" i="19"/>
  <c r="H80" i="19" s="1"/>
  <c r="H54" i="19"/>
  <c r="G54" i="19"/>
  <c r="F54" i="19"/>
  <c r="E54" i="19"/>
  <c r="D54" i="19"/>
  <c r="C80" i="19" s="1"/>
  <c r="B54" i="19"/>
  <c r="I53" i="19"/>
  <c r="I52" i="19"/>
  <c r="I51" i="19"/>
  <c r="I50" i="19"/>
  <c r="I54" i="19" s="1"/>
  <c r="F80" i="19" s="1"/>
  <c r="K49" i="19"/>
  <c r="I79" i="19" s="1"/>
  <c r="J49" i="19"/>
  <c r="H79" i="19" s="1"/>
  <c r="H49" i="19"/>
  <c r="G49" i="19"/>
  <c r="F49" i="19"/>
  <c r="E49" i="19"/>
  <c r="E79" i="19" s="1"/>
  <c r="D49" i="19"/>
  <c r="C79" i="19" s="1"/>
  <c r="B49" i="19"/>
  <c r="I48" i="19"/>
  <c r="I47" i="19"/>
  <c r="I46" i="19"/>
  <c r="I45" i="19"/>
  <c r="K44" i="19"/>
  <c r="I78" i="19" s="1"/>
  <c r="J44" i="19"/>
  <c r="H78" i="19" s="1"/>
  <c r="H44" i="19"/>
  <c r="G44" i="19"/>
  <c r="F44" i="19"/>
  <c r="E44" i="19"/>
  <c r="E78" i="19" s="1"/>
  <c r="D44" i="19"/>
  <c r="C78" i="19" s="1"/>
  <c r="B44" i="19"/>
  <c r="I43" i="19"/>
  <c r="I42" i="19"/>
  <c r="I41" i="19"/>
  <c r="I40" i="19"/>
  <c r="I39" i="19"/>
  <c r="I44" i="19" s="1"/>
  <c r="F78" i="19" s="1"/>
  <c r="K38" i="19"/>
  <c r="I77" i="19" s="1"/>
  <c r="J38" i="19"/>
  <c r="H77" i="19" s="1"/>
  <c r="H38" i="19"/>
  <c r="G38" i="19"/>
  <c r="F38" i="19"/>
  <c r="E38" i="19"/>
  <c r="E77" i="19" s="1"/>
  <c r="D38" i="19"/>
  <c r="C77" i="19" s="1"/>
  <c r="B38" i="19"/>
  <c r="I37" i="19"/>
  <c r="I36" i="19"/>
  <c r="I38" i="19" s="1"/>
  <c r="F77" i="19" s="1"/>
  <c r="G77" i="19" s="1"/>
  <c r="I35" i="19"/>
  <c r="I34" i="19"/>
  <c r="K33" i="19"/>
  <c r="I76" i="19" s="1"/>
  <c r="J33" i="19"/>
  <c r="H76" i="19" s="1"/>
  <c r="H33" i="19"/>
  <c r="G33" i="19"/>
  <c r="F33" i="19"/>
  <c r="E33" i="19"/>
  <c r="E76" i="19" s="1"/>
  <c r="D33" i="19"/>
  <c r="C76" i="19" s="1"/>
  <c r="B33" i="19"/>
  <c r="I32" i="19"/>
  <c r="I31" i="19"/>
  <c r="I30" i="19"/>
  <c r="I29" i="19"/>
  <c r="K28" i="19"/>
  <c r="I75" i="19" s="1"/>
  <c r="J28" i="19"/>
  <c r="H75" i="19" s="1"/>
  <c r="H28" i="19"/>
  <c r="G28" i="19"/>
  <c r="F28" i="19"/>
  <c r="E28" i="19"/>
  <c r="E75" i="19" s="1"/>
  <c r="D28" i="19"/>
  <c r="C75" i="19" s="1"/>
  <c r="B28" i="19"/>
  <c r="I27" i="19"/>
  <c r="I26" i="19"/>
  <c r="I25" i="19"/>
  <c r="I24" i="19"/>
  <c r="I23" i="19"/>
  <c r="K22" i="19"/>
  <c r="I74" i="19" s="1"/>
  <c r="J22" i="19"/>
  <c r="H74" i="19" s="1"/>
  <c r="H22" i="19"/>
  <c r="G22" i="19"/>
  <c r="F22" i="19"/>
  <c r="E22" i="19"/>
  <c r="E74" i="19" s="1"/>
  <c r="B22" i="19"/>
  <c r="I21" i="19"/>
  <c r="I20" i="19"/>
  <c r="I19" i="19"/>
  <c r="I18" i="19"/>
  <c r="I22" i="19" s="1"/>
  <c r="F74" i="19" s="1"/>
  <c r="G74" i="19" s="1"/>
  <c r="K17" i="19"/>
  <c r="I73" i="19" s="1"/>
  <c r="J17" i="19"/>
  <c r="H73" i="19" s="1"/>
  <c r="H17" i="19"/>
  <c r="G17" i="19"/>
  <c r="F17" i="19"/>
  <c r="E17" i="19"/>
  <c r="E73" i="19" s="1"/>
  <c r="B17" i="19"/>
  <c r="I16" i="19"/>
  <c r="I15" i="19"/>
  <c r="I14" i="19"/>
  <c r="I13" i="19"/>
  <c r="I12" i="19"/>
  <c r="K11" i="19"/>
  <c r="J11" i="19"/>
  <c r="H72" i="19" s="1"/>
  <c r="H11" i="19"/>
  <c r="G11" i="19"/>
  <c r="F11" i="19"/>
  <c r="E11" i="19"/>
  <c r="E72" i="19" s="1"/>
  <c r="B11" i="19"/>
  <c r="I10" i="19"/>
  <c r="I9" i="19"/>
  <c r="I8" i="19"/>
  <c r="I7" i="19"/>
  <c r="I11" i="19" s="1"/>
  <c r="F72" i="19" s="1"/>
  <c r="K6" i="19"/>
  <c r="I71" i="19" s="1"/>
  <c r="J6" i="19"/>
  <c r="H6" i="19"/>
  <c r="F6" i="19"/>
  <c r="E6" i="19"/>
  <c r="B6" i="19"/>
  <c r="I5" i="19"/>
  <c r="I4" i="19"/>
  <c r="N3" i="19"/>
  <c r="N5" i="19" s="1"/>
  <c r="N6" i="19" s="1"/>
  <c r="B68" i="19" s="1"/>
  <c r="C63" i="19" s="1"/>
  <c r="I3" i="19"/>
  <c r="A3" i="19"/>
  <c r="A4" i="19" s="1"/>
  <c r="A5" i="19" s="1"/>
  <c r="A7" i="19" s="1"/>
  <c r="A8" i="19" s="1"/>
  <c r="A9" i="19" s="1"/>
  <c r="A10" i="19" s="1"/>
  <c r="A12" i="19" s="1"/>
  <c r="A13" i="19" s="1"/>
  <c r="A14" i="19" s="1"/>
  <c r="A15" i="19" s="1"/>
  <c r="A16" i="19" s="1"/>
  <c r="A18" i="19" s="1"/>
  <c r="A19" i="19" s="1"/>
  <c r="A20" i="19" s="1"/>
  <c r="A21" i="19" s="1"/>
  <c r="A23" i="19" s="1"/>
  <c r="A24" i="19" s="1"/>
  <c r="A25" i="19" s="1"/>
  <c r="A26" i="19" s="1"/>
  <c r="A27" i="19" s="1"/>
  <c r="A29" i="19" s="1"/>
  <c r="A30" i="19" s="1"/>
  <c r="A31" i="19" s="1"/>
  <c r="A32" i="19" s="1"/>
  <c r="A34" i="19" s="1"/>
  <c r="A35" i="19" s="1"/>
  <c r="A36" i="19" s="1"/>
  <c r="A37" i="19" s="1"/>
  <c r="A39" i="19" s="1"/>
  <c r="A40" i="19" s="1"/>
  <c r="A41" i="19" s="1"/>
  <c r="A42" i="19" s="1"/>
  <c r="A43" i="19" s="1"/>
  <c r="A45" i="19" s="1"/>
  <c r="A46" i="19" s="1"/>
  <c r="A47" i="19" s="1"/>
  <c r="A48" i="19" s="1"/>
  <c r="A50" i="19" s="1"/>
  <c r="A51" i="19" s="1"/>
  <c r="A52" i="19" s="1"/>
  <c r="A53" i="19" s="1"/>
  <c r="A55" i="19" s="1"/>
  <c r="A56" i="19" s="1"/>
  <c r="A57" i="19" s="1"/>
  <c r="A58" i="19" s="1"/>
  <c r="A59" i="19" s="1"/>
  <c r="A61" i="19" s="1"/>
  <c r="A62" i="19" s="1"/>
  <c r="A63" i="19" s="1"/>
  <c r="A64" i="19" s="1"/>
  <c r="I2" i="19"/>
  <c r="M84" i="18"/>
  <c r="L84" i="18"/>
  <c r="K84" i="18"/>
  <c r="J84" i="18"/>
  <c r="I84" i="18"/>
  <c r="J66" i="18"/>
  <c r="AC65" i="18"/>
  <c r="AB65" i="18"/>
  <c r="AA65" i="18"/>
  <c r="Y65" i="18"/>
  <c r="X65" i="18"/>
  <c r="W65" i="18"/>
  <c r="V65" i="18"/>
  <c r="U65" i="18"/>
  <c r="T65" i="18"/>
  <c r="S65" i="18"/>
  <c r="R65" i="18"/>
  <c r="Q65" i="18"/>
  <c r="P65" i="18"/>
  <c r="O65" i="18"/>
  <c r="M65" i="18"/>
  <c r="L65" i="18"/>
  <c r="J65" i="18"/>
  <c r="D65" i="18"/>
  <c r="G65" i="18" s="1"/>
  <c r="C65" i="18"/>
  <c r="B65" i="18"/>
  <c r="Z64" i="18"/>
  <c r="H64" i="18"/>
  <c r="K64" i="18" s="1"/>
  <c r="Z63" i="18"/>
  <c r="H63" i="18"/>
  <c r="K63" i="18" s="1"/>
  <c r="Z62" i="18"/>
  <c r="H62" i="18"/>
  <c r="K62" i="18" s="1"/>
  <c r="Z61" i="18"/>
  <c r="H61" i="18"/>
  <c r="K61" i="18" s="1"/>
  <c r="AC60" i="18"/>
  <c r="AB60" i="18"/>
  <c r="AA60" i="18"/>
  <c r="Y60" i="18"/>
  <c r="X60" i="18"/>
  <c r="W60" i="18"/>
  <c r="V60" i="18"/>
  <c r="U60" i="18"/>
  <c r="T60" i="18"/>
  <c r="S60" i="18"/>
  <c r="R60" i="18"/>
  <c r="Q60" i="18"/>
  <c r="P60" i="18"/>
  <c r="O60" i="18"/>
  <c r="M60" i="18"/>
  <c r="L60" i="18"/>
  <c r="J60" i="18"/>
  <c r="D60" i="18"/>
  <c r="G60" i="18" s="1"/>
  <c r="C60" i="18"/>
  <c r="B60" i="18"/>
  <c r="Z59" i="18"/>
  <c r="H59" i="18"/>
  <c r="K59" i="18" s="1"/>
  <c r="Z58" i="18"/>
  <c r="H58" i="18"/>
  <c r="K58" i="18" s="1"/>
  <c r="Z57" i="18"/>
  <c r="H57" i="18"/>
  <c r="K57" i="18" s="1"/>
  <c r="Z56" i="18"/>
  <c r="H56" i="18"/>
  <c r="K56" i="18" s="1"/>
  <c r="Z55" i="18"/>
  <c r="H55" i="18"/>
  <c r="K55" i="18" s="1"/>
  <c r="AC54" i="18"/>
  <c r="AB54" i="18"/>
  <c r="AA54" i="18"/>
  <c r="Y54" i="18"/>
  <c r="X54" i="18"/>
  <c r="W54" i="18"/>
  <c r="V54" i="18"/>
  <c r="U54" i="18"/>
  <c r="T54" i="18"/>
  <c r="S54" i="18"/>
  <c r="R54" i="18"/>
  <c r="Q54" i="18"/>
  <c r="P54" i="18"/>
  <c r="O54" i="18"/>
  <c r="M54" i="18"/>
  <c r="L54" i="18"/>
  <c r="J54" i="18"/>
  <c r="D54" i="18"/>
  <c r="C54" i="18"/>
  <c r="B54" i="18"/>
  <c r="Z53" i="18"/>
  <c r="H53" i="18"/>
  <c r="K53" i="18" s="1"/>
  <c r="Z52" i="18"/>
  <c r="H52" i="18"/>
  <c r="K52" i="18" s="1"/>
  <c r="Z51" i="18"/>
  <c r="H51" i="18"/>
  <c r="K51" i="18" s="1"/>
  <c r="Z50" i="18"/>
  <c r="H50" i="18"/>
  <c r="AC49" i="18"/>
  <c r="AB49" i="18"/>
  <c r="AA49" i="18"/>
  <c r="Y49" i="18"/>
  <c r="X49" i="18"/>
  <c r="W49" i="18"/>
  <c r="V49" i="18"/>
  <c r="U49" i="18"/>
  <c r="T49" i="18"/>
  <c r="S49" i="18"/>
  <c r="R49" i="18"/>
  <c r="Q49" i="18"/>
  <c r="P49" i="18"/>
  <c r="O49" i="18"/>
  <c r="M49" i="18"/>
  <c r="L49" i="18"/>
  <c r="J49" i="18"/>
  <c r="D49" i="18"/>
  <c r="C49" i="18"/>
  <c r="B49" i="18"/>
  <c r="Z48" i="18"/>
  <c r="H48" i="18"/>
  <c r="K48" i="18" s="1"/>
  <c r="Z47" i="18"/>
  <c r="H47" i="18"/>
  <c r="K47" i="18" s="1"/>
  <c r="Z46" i="18"/>
  <c r="H46" i="18"/>
  <c r="K46" i="18" s="1"/>
  <c r="Z45" i="18"/>
  <c r="H45" i="18"/>
  <c r="AC44" i="18"/>
  <c r="AB44" i="18"/>
  <c r="AA44" i="18"/>
  <c r="Y44" i="18"/>
  <c r="X44" i="18"/>
  <c r="W44" i="18"/>
  <c r="V44" i="18"/>
  <c r="U44" i="18"/>
  <c r="T44" i="18"/>
  <c r="S44" i="18"/>
  <c r="R44" i="18"/>
  <c r="Q44" i="18"/>
  <c r="P44" i="18"/>
  <c r="O44" i="18"/>
  <c r="M44" i="18"/>
  <c r="L44" i="18"/>
  <c r="J44" i="18"/>
  <c r="D44" i="18"/>
  <c r="G44" i="18" s="1"/>
  <c r="C44" i="18"/>
  <c r="B44" i="18"/>
  <c r="Z43" i="18"/>
  <c r="H43" i="18"/>
  <c r="K43" i="18" s="1"/>
  <c r="Z42" i="18"/>
  <c r="H42" i="18"/>
  <c r="K42" i="18" s="1"/>
  <c r="Z41" i="18"/>
  <c r="H41" i="18"/>
  <c r="K41" i="18" s="1"/>
  <c r="Z40" i="18"/>
  <c r="H40" i="18"/>
  <c r="Z39" i="18"/>
  <c r="H39" i="18"/>
  <c r="K39" i="18" s="1"/>
  <c r="AC38" i="18"/>
  <c r="AB38" i="18"/>
  <c r="AA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AF38" i="18" s="1"/>
  <c r="L38" i="18"/>
  <c r="J38" i="18"/>
  <c r="D38" i="18"/>
  <c r="G38" i="18" s="1"/>
  <c r="C38" i="18"/>
  <c r="B38" i="18"/>
  <c r="Z37" i="18"/>
  <c r="H37" i="18"/>
  <c r="K37" i="18" s="1"/>
  <c r="Z36" i="18"/>
  <c r="H36" i="18"/>
  <c r="K36" i="18" s="1"/>
  <c r="Z35" i="18"/>
  <c r="H35" i="18"/>
  <c r="K35" i="18" s="1"/>
  <c r="Z34" i="18"/>
  <c r="H34" i="18"/>
  <c r="AC33" i="18"/>
  <c r="AB33" i="18"/>
  <c r="AA33" i="18"/>
  <c r="Y33" i="18"/>
  <c r="X33" i="18"/>
  <c r="W33" i="18"/>
  <c r="V33" i="18"/>
  <c r="U33" i="18"/>
  <c r="T33" i="18"/>
  <c r="S33" i="18"/>
  <c r="R33" i="18"/>
  <c r="Q33" i="18"/>
  <c r="P33" i="18"/>
  <c r="O33" i="18"/>
  <c r="M33" i="18"/>
  <c r="L33" i="18"/>
  <c r="J33" i="18"/>
  <c r="D33" i="18"/>
  <c r="G33" i="18" s="1"/>
  <c r="C33" i="18"/>
  <c r="B33" i="18"/>
  <c r="Z32" i="18"/>
  <c r="H32" i="18"/>
  <c r="K32" i="18" s="1"/>
  <c r="Z31" i="18"/>
  <c r="H31" i="18"/>
  <c r="K31" i="18" s="1"/>
  <c r="Z30" i="18"/>
  <c r="H30" i="18"/>
  <c r="K30" i="18" s="1"/>
  <c r="Z29" i="18"/>
  <c r="H29" i="18"/>
  <c r="AC28" i="18"/>
  <c r="AB28" i="18"/>
  <c r="AA28" i="18"/>
  <c r="Y28" i="18"/>
  <c r="X28" i="18"/>
  <c r="W28" i="18"/>
  <c r="V28" i="18"/>
  <c r="U28" i="18"/>
  <c r="T28" i="18"/>
  <c r="S28" i="18"/>
  <c r="R28" i="18"/>
  <c r="Q28" i="18"/>
  <c r="P28" i="18"/>
  <c r="O28" i="18"/>
  <c r="M28" i="18"/>
  <c r="AF28" i="18" s="1"/>
  <c r="L28" i="18"/>
  <c r="J28" i="18"/>
  <c r="D28" i="18"/>
  <c r="C28" i="18"/>
  <c r="B28" i="18"/>
  <c r="Z27" i="18"/>
  <c r="H27" i="18"/>
  <c r="K27" i="18" s="1"/>
  <c r="Z26" i="18"/>
  <c r="H26" i="18"/>
  <c r="K26" i="18" s="1"/>
  <c r="Z25" i="18"/>
  <c r="H25" i="18"/>
  <c r="K25" i="18" s="1"/>
  <c r="Z24" i="18"/>
  <c r="H24" i="18"/>
  <c r="Z23" i="18"/>
  <c r="H23" i="18"/>
  <c r="K23" i="18" s="1"/>
  <c r="AC22" i="18"/>
  <c r="AB22" i="18"/>
  <c r="AA22" i="18"/>
  <c r="Y22" i="18"/>
  <c r="X22" i="18"/>
  <c r="W22" i="18"/>
  <c r="V22" i="18"/>
  <c r="U22" i="18"/>
  <c r="T22" i="18"/>
  <c r="S22" i="18"/>
  <c r="R22" i="18"/>
  <c r="Q22" i="18"/>
  <c r="P22" i="18"/>
  <c r="O22" i="18"/>
  <c r="M22" i="18"/>
  <c r="L22" i="18"/>
  <c r="J22" i="18"/>
  <c r="D22" i="18"/>
  <c r="C22" i="18"/>
  <c r="B22" i="18"/>
  <c r="Z21" i="18"/>
  <c r="H21" i="18"/>
  <c r="K21" i="18" s="1"/>
  <c r="Z20" i="18"/>
  <c r="H20" i="18"/>
  <c r="K20" i="18" s="1"/>
  <c r="Z19" i="18"/>
  <c r="H19" i="18"/>
  <c r="K19" i="18" s="1"/>
  <c r="Z18" i="18"/>
  <c r="H18" i="18"/>
  <c r="K18" i="18" s="1"/>
  <c r="AC17" i="18"/>
  <c r="AB17" i="18"/>
  <c r="AA17" i="18"/>
  <c r="Y17" i="18"/>
  <c r="X17" i="18"/>
  <c r="W17" i="18"/>
  <c r="V17" i="18"/>
  <c r="U17" i="18"/>
  <c r="T17" i="18"/>
  <c r="S17" i="18"/>
  <c r="R17" i="18"/>
  <c r="Q17" i="18"/>
  <c r="P17" i="18"/>
  <c r="AG17" i="18" s="1"/>
  <c r="O17" i="18"/>
  <c r="M17" i="18"/>
  <c r="L17" i="18"/>
  <c r="J17" i="18"/>
  <c r="D17" i="18"/>
  <c r="C17" i="18"/>
  <c r="B17" i="18"/>
  <c r="Z16" i="18"/>
  <c r="H16" i="18"/>
  <c r="K16" i="18" s="1"/>
  <c r="Z15" i="18"/>
  <c r="H15" i="18"/>
  <c r="K15" i="18" s="1"/>
  <c r="Z14" i="18"/>
  <c r="H14" i="18"/>
  <c r="K14" i="18" s="1"/>
  <c r="Z13" i="18"/>
  <c r="H13" i="18"/>
  <c r="Z12" i="18"/>
  <c r="H12" i="18"/>
  <c r="K12" i="18" s="1"/>
  <c r="AC11" i="18"/>
  <c r="AB11" i="18"/>
  <c r="AA11" i="18"/>
  <c r="Y11" i="18"/>
  <c r="X11" i="18"/>
  <c r="W11" i="18"/>
  <c r="V11" i="18"/>
  <c r="U11" i="18"/>
  <c r="T11" i="18"/>
  <c r="S11" i="18"/>
  <c r="R11" i="18"/>
  <c r="Q11" i="18"/>
  <c r="P11" i="18"/>
  <c r="O11" i="18"/>
  <c r="M11" i="18"/>
  <c r="AF11" i="18" s="1"/>
  <c r="L11" i="18"/>
  <c r="J11" i="18"/>
  <c r="E11" i="18"/>
  <c r="D11" i="18"/>
  <c r="C11" i="18"/>
  <c r="B11" i="18"/>
  <c r="Z10" i="18"/>
  <c r="H10" i="18"/>
  <c r="K10" i="18" s="1"/>
  <c r="Z9" i="18"/>
  <c r="H9" i="18"/>
  <c r="K9" i="18" s="1"/>
  <c r="Z8" i="18"/>
  <c r="H8" i="18"/>
  <c r="K8" i="18" s="1"/>
  <c r="Z7" i="18"/>
  <c r="H7" i="18"/>
  <c r="AC6" i="18"/>
  <c r="AB6" i="18"/>
  <c r="AA6" i="18"/>
  <c r="Y6" i="18"/>
  <c r="X6" i="18"/>
  <c r="W6" i="18"/>
  <c r="V6" i="18"/>
  <c r="U6" i="18"/>
  <c r="T6" i="18"/>
  <c r="S6" i="18"/>
  <c r="R6" i="18"/>
  <c r="Q6" i="18"/>
  <c r="P6" i="18"/>
  <c r="O6" i="18"/>
  <c r="M6" i="18"/>
  <c r="L6" i="18"/>
  <c r="J6" i="18"/>
  <c r="D6" i="18"/>
  <c r="G6" i="18" s="1"/>
  <c r="C6" i="18"/>
  <c r="B6" i="18"/>
  <c r="Z5" i="18"/>
  <c r="H5" i="18"/>
  <c r="Z4" i="18"/>
  <c r="Z3" i="18"/>
  <c r="A3" i="18"/>
  <c r="A4" i="18" s="1"/>
  <c r="A5" i="18" s="1"/>
  <c r="A7" i="18" s="1"/>
  <c r="A8" i="18" s="1"/>
  <c r="A9" i="18" s="1"/>
  <c r="A10" i="18" s="1"/>
  <c r="A12" i="18" s="1"/>
  <c r="A13" i="18" s="1"/>
  <c r="A14" i="18" s="1"/>
  <c r="A15" i="18" s="1"/>
  <c r="A16" i="18" s="1"/>
  <c r="A18" i="18" s="1"/>
  <c r="A19" i="18" s="1"/>
  <c r="A20" i="18" s="1"/>
  <c r="A21" i="18" s="1"/>
  <c r="A23" i="18" s="1"/>
  <c r="A24" i="18" s="1"/>
  <c r="A25" i="18" s="1"/>
  <c r="A26" i="18" s="1"/>
  <c r="A27" i="18" s="1"/>
  <c r="A29" i="18" s="1"/>
  <c r="A30" i="18" s="1"/>
  <c r="A31" i="18" s="1"/>
  <c r="A32" i="18" s="1"/>
  <c r="A34" i="18" s="1"/>
  <c r="A35" i="18" s="1"/>
  <c r="A36" i="18" s="1"/>
  <c r="A37" i="18" s="1"/>
  <c r="A39" i="18" s="1"/>
  <c r="A40" i="18" s="1"/>
  <c r="A41" i="18" s="1"/>
  <c r="A42" i="18" s="1"/>
  <c r="A43" i="18" s="1"/>
  <c r="A45" i="18" s="1"/>
  <c r="A46" i="18" s="1"/>
  <c r="A47" i="18" s="1"/>
  <c r="A48" i="18" s="1"/>
  <c r="A50" i="18" s="1"/>
  <c r="A51" i="18" s="1"/>
  <c r="A52" i="18" s="1"/>
  <c r="A53" i="18" s="1"/>
  <c r="A55" i="18" s="1"/>
  <c r="A56" i="18" s="1"/>
  <c r="A57" i="18" s="1"/>
  <c r="A58" i="18" s="1"/>
  <c r="A59" i="18" s="1"/>
  <c r="A61" i="18" s="1"/>
  <c r="A62" i="18" s="1"/>
  <c r="A63" i="18" s="1"/>
  <c r="A64" i="18" s="1"/>
  <c r="Z2" i="18"/>
  <c r="P66" i="17"/>
  <c r="U65" i="17"/>
  <c r="P65" i="17"/>
  <c r="O65" i="17"/>
  <c r="Q65" i="17" s="1"/>
  <c r="I65" i="17"/>
  <c r="M65" i="17" s="1"/>
  <c r="F65" i="17"/>
  <c r="E65" i="17"/>
  <c r="D65" i="17"/>
  <c r="C65" i="17"/>
  <c r="B65" i="17"/>
  <c r="AH64" i="17"/>
  <c r="AG64" i="17"/>
  <c r="AI64" i="17" s="1"/>
  <c r="M64" i="17"/>
  <c r="L64" i="17"/>
  <c r="G64" i="17"/>
  <c r="AH63" i="17"/>
  <c r="AG63" i="17"/>
  <c r="AI63" i="17" s="1"/>
  <c r="M63" i="17"/>
  <c r="L63" i="17"/>
  <c r="N63" i="17" s="1"/>
  <c r="G63" i="17"/>
  <c r="AH62" i="17"/>
  <c r="AG62" i="17"/>
  <c r="AI62" i="17" s="1"/>
  <c r="M62" i="17"/>
  <c r="L62" i="17"/>
  <c r="G62" i="17"/>
  <c r="AH61" i="17"/>
  <c r="AG61" i="17"/>
  <c r="AI61" i="17" s="1"/>
  <c r="M61" i="17"/>
  <c r="L61" i="17"/>
  <c r="G61" i="17"/>
  <c r="U60" i="17"/>
  <c r="S60" i="17"/>
  <c r="P60" i="17"/>
  <c r="O60" i="17"/>
  <c r="Q60" i="17" s="1"/>
  <c r="I60" i="17"/>
  <c r="F60" i="17"/>
  <c r="E60" i="17"/>
  <c r="D60" i="17"/>
  <c r="C60" i="17"/>
  <c r="B60" i="17"/>
  <c r="AI59" i="17"/>
  <c r="AH59" i="17"/>
  <c r="AG59" i="17"/>
  <c r="M59" i="17"/>
  <c r="L59" i="17"/>
  <c r="N59" i="17" s="1"/>
  <c r="G59" i="17"/>
  <c r="AI58" i="17"/>
  <c r="AH58" i="17"/>
  <c r="AG58" i="17"/>
  <c r="M58" i="17"/>
  <c r="L58" i="17"/>
  <c r="G58" i="17"/>
  <c r="AH57" i="17"/>
  <c r="AG57" i="17"/>
  <c r="AI57" i="17" s="1"/>
  <c r="M57" i="17"/>
  <c r="L57" i="17"/>
  <c r="G57" i="17"/>
  <c r="AH56" i="17"/>
  <c r="AG56" i="17"/>
  <c r="AI56" i="17" s="1"/>
  <c r="M56" i="17"/>
  <c r="L56" i="17"/>
  <c r="N56" i="17" s="1"/>
  <c r="G56" i="17"/>
  <c r="AH55" i="17"/>
  <c r="AG55" i="17"/>
  <c r="AI55" i="17" s="1"/>
  <c r="M55" i="17"/>
  <c r="L55" i="17"/>
  <c r="N55" i="17" s="1"/>
  <c r="G55" i="17"/>
  <c r="U54" i="17"/>
  <c r="AH54" i="17" s="1"/>
  <c r="S54" i="17"/>
  <c r="P54" i="17"/>
  <c r="I54" i="17"/>
  <c r="F54" i="17"/>
  <c r="E54" i="17"/>
  <c r="D54" i="17"/>
  <c r="C54" i="17"/>
  <c r="B54" i="17"/>
  <c r="AH53" i="17"/>
  <c r="AG53" i="17"/>
  <c r="AI53" i="17" s="1"/>
  <c r="M53" i="17"/>
  <c r="L53" i="17"/>
  <c r="G53" i="17"/>
  <c r="AH52" i="17"/>
  <c r="AG52" i="17"/>
  <c r="AI52" i="17" s="1"/>
  <c r="M52" i="17"/>
  <c r="L52" i="17"/>
  <c r="G52" i="17"/>
  <c r="AH51" i="17"/>
  <c r="AG51" i="17"/>
  <c r="AI51" i="17" s="1"/>
  <c r="M51" i="17"/>
  <c r="L51" i="17"/>
  <c r="G51" i="17"/>
  <c r="AH50" i="17"/>
  <c r="AG50" i="17"/>
  <c r="AI50" i="17" s="1"/>
  <c r="M50" i="17"/>
  <c r="L50" i="17"/>
  <c r="G50" i="17"/>
  <c r="U49" i="17"/>
  <c r="S49" i="17"/>
  <c r="P49" i="17"/>
  <c r="I49" i="17"/>
  <c r="R49" i="17" s="1"/>
  <c r="T49" i="17" s="1"/>
  <c r="F49" i="17"/>
  <c r="E49" i="17"/>
  <c r="D49" i="17"/>
  <c r="C49" i="17"/>
  <c r="B49" i="17"/>
  <c r="AH48" i="17"/>
  <c r="AG48" i="17"/>
  <c r="AI48" i="17" s="1"/>
  <c r="M48" i="17"/>
  <c r="L48" i="17"/>
  <c r="G48" i="17"/>
  <c r="AI47" i="17"/>
  <c r="AH47" i="17"/>
  <c r="AG47" i="17"/>
  <c r="G47" i="17"/>
  <c r="AH46" i="17"/>
  <c r="AG46" i="17"/>
  <c r="AI46" i="17" s="1"/>
  <c r="M46" i="17"/>
  <c r="L46" i="17"/>
  <c r="G46" i="17"/>
  <c r="AH45" i="17"/>
  <c r="AG45" i="17"/>
  <c r="AI45" i="17" s="1"/>
  <c r="M45" i="17"/>
  <c r="L45" i="17"/>
  <c r="G45" i="17"/>
  <c r="U44" i="17"/>
  <c r="S44" i="17"/>
  <c r="P44" i="17"/>
  <c r="F44" i="17"/>
  <c r="E44" i="17"/>
  <c r="D44" i="17"/>
  <c r="C44" i="17"/>
  <c r="B44" i="17"/>
  <c r="AH43" i="17"/>
  <c r="AG43" i="17"/>
  <c r="AI43" i="17" s="1"/>
  <c r="M43" i="17"/>
  <c r="L43" i="17"/>
  <c r="G43" i="17"/>
  <c r="AH42" i="17"/>
  <c r="AG42" i="17"/>
  <c r="AI42" i="17" s="1"/>
  <c r="M42" i="17"/>
  <c r="L42" i="17"/>
  <c r="N42" i="17" s="1"/>
  <c r="G42" i="17"/>
  <c r="AH41" i="17"/>
  <c r="AG41" i="17"/>
  <c r="AI41" i="17" s="1"/>
  <c r="M41" i="17"/>
  <c r="L41" i="17"/>
  <c r="N41" i="17" s="1"/>
  <c r="G41" i="17"/>
  <c r="AH40" i="17"/>
  <c r="AG40" i="17"/>
  <c r="AI40" i="17" s="1"/>
  <c r="G40" i="17"/>
  <c r="AI39" i="17"/>
  <c r="AH39" i="17"/>
  <c r="AG39" i="17"/>
  <c r="M39" i="17"/>
  <c r="L39" i="17"/>
  <c r="G39" i="17"/>
  <c r="U38" i="17"/>
  <c r="S38" i="17"/>
  <c r="P38" i="17"/>
  <c r="I38" i="17"/>
  <c r="F38" i="17"/>
  <c r="E38" i="17"/>
  <c r="D38" i="17"/>
  <c r="C38" i="17"/>
  <c r="B38" i="17"/>
  <c r="AH37" i="17"/>
  <c r="AG37" i="17"/>
  <c r="AI37" i="17" s="1"/>
  <c r="M37" i="17"/>
  <c r="L37" i="17"/>
  <c r="G37" i="17"/>
  <c r="AH36" i="17"/>
  <c r="AG36" i="17"/>
  <c r="AI36" i="17" s="1"/>
  <c r="M36" i="17"/>
  <c r="L36" i="17"/>
  <c r="N36" i="17" s="1"/>
  <c r="AI35" i="17"/>
  <c r="AH35" i="17"/>
  <c r="AG35" i="17"/>
  <c r="M35" i="17"/>
  <c r="L35" i="17"/>
  <c r="AH34" i="17"/>
  <c r="AG34" i="17"/>
  <c r="AI34" i="17" s="1"/>
  <c r="M34" i="17"/>
  <c r="L34" i="17"/>
  <c r="G34" i="17"/>
  <c r="U33" i="17"/>
  <c r="S33" i="17"/>
  <c r="P33" i="17"/>
  <c r="I33" i="17"/>
  <c r="F33" i="17"/>
  <c r="E33" i="17"/>
  <c r="D33" i="17"/>
  <c r="C33" i="17"/>
  <c r="B33" i="17"/>
  <c r="AH32" i="17"/>
  <c r="AG32" i="17"/>
  <c r="AI32" i="17" s="1"/>
  <c r="M32" i="17"/>
  <c r="L32" i="17"/>
  <c r="G32" i="17"/>
  <c r="AH31" i="17"/>
  <c r="AG31" i="17"/>
  <c r="AI31" i="17" s="1"/>
  <c r="M31" i="17"/>
  <c r="L31" i="17"/>
  <c r="G31" i="17"/>
  <c r="AH30" i="17"/>
  <c r="AG30" i="17"/>
  <c r="AI30" i="17" s="1"/>
  <c r="M30" i="17"/>
  <c r="L30" i="17"/>
  <c r="N30" i="17" s="1"/>
  <c r="G30" i="17"/>
  <c r="AH29" i="17"/>
  <c r="AG29" i="17"/>
  <c r="AI29" i="17" s="1"/>
  <c r="M29" i="17"/>
  <c r="L29" i="17"/>
  <c r="G29" i="17"/>
  <c r="U28" i="17"/>
  <c r="AH28" i="17" s="1"/>
  <c r="S28" i="17"/>
  <c r="P28" i="17"/>
  <c r="I28" i="17"/>
  <c r="F28" i="17"/>
  <c r="E28" i="17"/>
  <c r="D28" i="17"/>
  <c r="C28" i="17"/>
  <c r="B28" i="17"/>
  <c r="AH27" i="17"/>
  <c r="AG27" i="17"/>
  <c r="AI27" i="17" s="1"/>
  <c r="M27" i="17"/>
  <c r="L27" i="17"/>
  <c r="G27" i="17"/>
  <c r="AH26" i="17"/>
  <c r="AG26" i="17"/>
  <c r="AI26" i="17" s="1"/>
  <c r="M26" i="17"/>
  <c r="L26" i="17"/>
  <c r="G26" i="17"/>
  <c r="AI25" i="17"/>
  <c r="AH25" i="17"/>
  <c r="AG25" i="17"/>
  <c r="M25" i="17"/>
  <c r="L25" i="17"/>
  <c r="G25" i="17"/>
  <c r="AH24" i="17"/>
  <c r="AG24" i="17"/>
  <c r="AI24" i="17" s="1"/>
  <c r="AI23" i="17"/>
  <c r="AH23" i="17"/>
  <c r="AG23" i="17"/>
  <c r="AC22" i="17"/>
  <c r="AA22" i="17"/>
  <c r="Y22" i="17"/>
  <c r="W22" i="17"/>
  <c r="U22" i="17"/>
  <c r="S22" i="17"/>
  <c r="P22" i="17"/>
  <c r="I22" i="17"/>
  <c r="F22" i="17"/>
  <c r="E22" i="17"/>
  <c r="D22" i="17"/>
  <c r="C22" i="17"/>
  <c r="B22" i="17"/>
  <c r="AH21" i="17"/>
  <c r="AG21" i="17"/>
  <c r="AI21" i="17" s="1"/>
  <c r="M21" i="17"/>
  <c r="L21" i="17"/>
  <c r="G21" i="17"/>
  <c r="AH19" i="17"/>
  <c r="AG19" i="17"/>
  <c r="AI19" i="17" s="1"/>
  <c r="M19" i="17"/>
  <c r="L19" i="17"/>
  <c r="G19" i="17"/>
  <c r="AH18" i="17"/>
  <c r="AG18" i="17"/>
  <c r="AI18" i="17" s="1"/>
  <c r="M18" i="17"/>
  <c r="L18" i="17"/>
  <c r="G18" i="17"/>
  <c r="U17" i="17"/>
  <c r="S17" i="17"/>
  <c r="P17" i="17"/>
  <c r="F17" i="17"/>
  <c r="E17" i="17"/>
  <c r="D17" i="17"/>
  <c r="C17" i="17"/>
  <c r="B17" i="17"/>
  <c r="AH16" i="17"/>
  <c r="AG16" i="17"/>
  <c r="AI16" i="17" s="1"/>
  <c r="M16" i="17"/>
  <c r="L16" i="17"/>
  <c r="G16" i="17"/>
  <c r="AI15" i="17"/>
  <c r="AH15" i="17"/>
  <c r="AG15" i="17"/>
  <c r="M15" i="17"/>
  <c r="L15" i="17"/>
  <c r="G15" i="17"/>
  <c r="AH14" i="17"/>
  <c r="AG14" i="17"/>
  <c r="AI14" i="17" s="1"/>
  <c r="M14" i="17"/>
  <c r="L14" i="17"/>
  <c r="G14" i="17"/>
  <c r="AI13" i="17"/>
  <c r="AH13" i="17"/>
  <c r="AG13" i="17"/>
  <c r="M13" i="17"/>
  <c r="L13" i="17"/>
  <c r="G13" i="17"/>
  <c r="AH12" i="17"/>
  <c r="AH17" i="17" s="1"/>
  <c r="AG12" i="17"/>
  <c r="AI12" i="17" s="1"/>
  <c r="M12" i="17"/>
  <c r="L12" i="17"/>
  <c r="G12" i="17"/>
  <c r="U11" i="17"/>
  <c r="S11" i="17"/>
  <c r="P11" i="17"/>
  <c r="I11" i="17"/>
  <c r="F11" i="17"/>
  <c r="E11" i="17"/>
  <c r="D11" i="17"/>
  <c r="C11" i="17"/>
  <c r="B11" i="17"/>
  <c r="AH10" i="17"/>
  <c r="AG10" i="17"/>
  <c r="AI10" i="17" s="1"/>
  <c r="M10" i="17"/>
  <c r="L10" i="17"/>
  <c r="G10" i="17"/>
  <c r="AH9" i="17"/>
  <c r="AG9" i="17"/>
  <c r="AI9" i="17" s="1"/>
  <c r="M9" i="17"/>
  <c r="L9" i="17"/>
  <c r="N9" i="17" s="1"/>
  <c r="G9" i="17"/>
  <c r="AH8" i="17"/>
  <c r="AG8" i="17"/>
  <c r="AI8" i="17" s="1"/>
  <c r="M8" i="17"/>
  <c r="L8" i="17"/>
  <c r="G8" i="17"/>
  <c r="AH7" i="17"/>
  <c r="AG7" i="17"/>
  <c r="AI7" i="17" s="1"/>
  <c r="M7" i="17"/>
  <c r="L7" i="17"/>
  <c r="G7" i="17"/>
  <c r="AG6" i="17"/>
  <c r="AI6" i="17" s="1"/>
  <c r="U6" i="17"/>
  <c r="S6" i="17"/>
  <c r="P6" i="17"/>
  <c r="O6" i="17"/>
  <c r="Q6" i="17" s="1"/>
  <c r="F6" i="17"/>
  <c r="E6" i="17"/>
  <c r="D6" i="17"/>
  <c r="C6" i="17"/>
  <c r="B6" i="17"/>
  <c r="AH5" i="17"/>
  <c r="AG5" i="17"/>
  <c r="AI5" i="17" s="1"/>
  <c r="M5" i="17"/>
  <c r="L5" i="17"/>
  <c r="G5" i="17"/>
  <c r="AH4" i="17"/>
  <c r="AG4" i="17"/>
  <c r="AI4" i="17" s="1"/>
  <c r="M4" i="17"/>
  <c r="L4" i="17"/>
  <c r="G4" i="17"/>
  <c r="AH3" i="17"/>
  <c r="AG3" i="17"/>
  <c r="AI3" i="17" s="1"/>
  <c r="M3" i="17"/>
  <c r="N3" i="17" s="1"/>
  <c r="L3" i="17"/>
  <c r="G3" i="17"/>
  <c r="A3" i="17"/>
  <c r="A4" i="17" s="1"/>
  <c r="A5" i="17" s="1"/>
  <c r="A7" i="17" s="1"/>
  <c r="A8" i="17" s="1"/>
  <c r="A9" i="17" s="1"/>
  <c r="A10" i="17" s="1"/>
  <c r="A12" i="17" s="1"/>
  <c r="A13" i="17" s="1"/>
  <c r="A14" i="17" s="1"/>
  <c r="A15" i="17" s="1"/>
  <c r="A16" i="17" s="1"/>
  <c r="A18" i="17" s="1"/>
  <c r="A19" i="17" s="1"/>
  <c r="A21" i="17" s="1"/>
  <c r="A23" i="17" s="1"/>
  <c r="AH2" i="17"/>
  <c r="AG2" i="17"/>
  <c r="AI2" i="17" s="1"/>
  <c r="M2" i="17"/>
  <c r="L2" i="17"/>
  <c r="G2" i="17"/>
  <c r="N32" i="17" l="1"/>
  <c r="AG22" i="18"/>
  <c r="AF33" i="18"/>
  <c r="N58" i="17"/>
  <c r="N57" i="17"/>
  <c r="AG6" i="18"/>
  <c r="B75" i="18"/>
  <c r="G28" i="18"/>
  <c r="AG44" i="18"/>
  <c r="I78" i="18" s="1"/>
  <c r="AG49" i="18"/>
  <c r="AG54" i="18"/>
  <c r="I80" i="18" s="1"/>
  <c r="AF60" i="18"/>
  <c r="AF65" i="18"/>
  <c r="B72" i="18"/>
  <c r="G11" i="18"/>
  <c r="AG11" i="18"/>
  <c r="AF17" i="18"/>
  <c r="H73" i="18" s="1"/>
  <c r="K73" i="18" s="1"/>
  <c r="AF22" i="18"/>
  <c r="AG28" i="18"/>
  <c r="AG33" i="18"/>
  <c r="I76" i="18" s="1"/>
  <c r="B79" i="18"/>
  <c r="G49" i="18"/>
  <c r="AF6" i="18"/>
  <c r="B73" i="18"/>
  <c r="G17" i="18"/>
  <c r="B74" i="18"/>
  <c r="G22" i="18"/>
  <c r="AG38" i="18"/>
  <c r="AF44" i="18"/>
  <c r="AF49" i="18"/>
  <c r="AF54" i="18"/>
  <c r="H80" i="18" s="1"/>
  <c r="AG60" i="18"/>
  <c r="I81" i="18" s="1"/>
  <c r="AG65" i="18"/>
  <c r="I82" i="18" s="1"/>
  <c r="L60" i="17"/>
  <c r="B80" i="18"/>
  <c r="G54" i="18"/>
  <c r="AF66" i="17"/>
  <c r="Z11" i="18"/>
  <c r="E77" i="18"/>
  <c r="H77" i="18"/>
  <c r="Z54" i="18"/>
  <c r="Z60" i="18"/>
  <c r="I77" i="18"/>
  <c r="F66" i="18"/>
  <c r="E72" i="18"/>
  <c r="H33" i="18"/>
  <c r="C76" i="18" s="1"/>
  <c r="E80" i="18"/>
  <c r="E81" i="18"/>
  <c r="G81" i="18" s="1"/>
  <c r="E82" i="18"/>
  <c r="Z22" i="18"/>
  <c r="E79" i="18"/>
  <c r="E78" i="18"/>
  <c r="E76" i="18"/>
  <c r="E75" i="18"/>
  <c r="G75" i="18" s="1"/>
  <c r="N12" i="17"/>
  <c r="N16" i="17"/>
  <c r="E74" i="18"/>
  <c r="E73" i="18"/>
  <c r="J66" i="19"/>
  <c r="I28" i="19"/>
  <c r="F75" i="19" s="1"/>
  <c r="I60" i="19"/>
  <c r="F81" i="19" s="1"/>
  <c r="G81" i="19" s="1"/>
  <c r="I33" i="19"/>
  <c r="F76" i="19" s="1"/>
  <c r="G80" i="19"/>
  <c r="I17" i="19"/>
  <c r="F73" i="19" s="1"/>
  <c r="G73" i="19" s="1"/>
  <c r="G78" i="19"/>
  <c r="I49" i="19"/>
  <c r="F79" i="19" s="1"/>
  <c r="G79" i="19" s="1"/>
  <c r="G72" i="19"/>
  <c r="K66" i="19"/>
  <c r="Z65" i="18"/>
  <c r="Z17" i="18"/>
  <c r="Z28" i="18"/>
  <c r="S66" i="18"/>
  <c r="AB66" i="18"/>
  <c r="T66" i="18"/>
  <c r="Z33" i="18"/>
  <c r="Z44" i="18"/>
  <c r="AC66" i="18"/>
  <c r="L66" i="18"/>
  <c r="U66" i="18"/>
  <c r="V66" i="18"/>
  <c r="O66" i="18"/>
  <c r="W66" i="18"/>
  <c r="P66" i="18"/>
  <c r="X66" i="18"/>
  <c r="Z49" i="18"/>
  <c r="Y66" i="18"/>
  <c r="R66" i="18"/>
  <c r="AA66" i="18"/>
  <c r="Z38" i="18"/>
  <c r="J66" i="17"/>
  <c r="K66" i="17"/>
  <c r="I17" i="18"/>
  <c r="N7" i="17"/>
  <c r="N8" i="17"/>
  <c r="R28" i="17"/>
  <c r="T28" i="17" s="1"/>
  <c r="A25" i="17"/>
  <c r="A26" i="17" s="1"/>
  <c r="A27" i="17" s="1"/>
  <c r="A29" i="17" s="1"/>
  <c r="A30" i="17" s="1"/>
  <c r="A31" i="17" s="1"/>
  <c r="A32" i="17" s="1"/>
  <c r="A34" i="17" s="1"/>
  <c r="A35" i="17" s="1"/>
  <c r="A36" i="17" s="1"/>
  <c r="A37" i="17" s="1"/>
  <c r="A39" i="17" s="1"/>
  <c r="A40" i="17" s="1"/>
  <c r="A41" i="17" s="1"/>
  <c r="A42" i="17" s="1"/>
  <c r="A43" i="17" s="1"/>
  <c r="A45" i="17" s="1"/>
  <c r="A46" i="17" s="1"/>
  <c r="A47" i="17" s="1"/>
  <c r="A48" i="17" s="1"/>
  <c r="A50" i="17" s="1"/>
  <c r="A51" i="17" s="1"/>
  <c r="A52" i="17" s="1"/>
  <c r="A53" i="17" s="1"/>
  <c r="A55" i="17" s="1"/>
  <c r="A56" i="17" s="1"/>
  <c r="A57" i="17" s="1"/>
  <c r="A58" i="17" s="1"/>
  <c r="A59" i="17" s="1"/>
  <c r="A61" i="17" s="1"/>
  <c r="A62" i="17" s="1"/>
  <c r="A63" i="17" s="1"/>
  <c r="A64" i="17" s="1"/>
  <c r="AH22" i="17"/>
  <c r="AB66" i="17"/>
  <c r="N5" i="17"/>
  <c r="N14" i="17"/>
  <c r="O22" i="17"/>
  <c r="Q22" i="17" s="1"/>
  <c r="N31" i="17"/>
  <c r="G38" i="17"/>
  <c r="L38" i="17"/>
  <c r="G49" i="17"/>
  <c r="N53" i="17"/>
  <c r="R54" i="17"/>
  <c r="T54" i="17" s="1"/>
  <c r="G60" i="17"/>
  <c r="N64" i="17"/>
  <c r="AH38" i="17"/>
  <c r="AG60" i="17"/>
  <c r="AI60" i="17" s="1"/>
  <c r="AH11" i="17"/>
  <c r="Z66" i="17"/>
  <c r="O44" i="17"/>
  <c r="Q44" i="17" s="1"/>
  <c r="G28" i="17"/>
  <c r="G33" i="17"/>
  <c r="N37" i="17"/>
  <c r="N51" i="17"/>
  <c r="N61" i="17"/>
  <c r="AH33" i="17"/>
  <c r="AH65" i="17"/>
  <c r="U66" i="17"/>
  <c r="G17" i="17"/>
  <c r="N13" i="17"/>
  <c r="N15" i="17"/>
  <c r="N29" i="17"/>
  <c r="N43" i="17"/>
  <c r="N62" i="17"/>
  <c r="R65" i="17"/>
  <c r="T65" i="17" s="1"/>
  <c r="AG49" i="17"/>
  <c r="AI49" i="17" s="1"/>
  <c r="AH49" i="17"/>
  <c r="I6" i="19"/>
  <c r="F71" i="19" s="1"/>
  <c r="B66" i="19"/>
  <c r="AD66" i="17"/>
  <c r="V66" i="17"/>
  <c r="AC66" i="17"/>
  <c r="Y66" i="17"/>
  <c r="AE66" i="17"/>
  <c r="AA66" i="17"/>
  <c r="W66" i="17"/>
  <c r="AH60" i="17"/>
  <c r="H11" i="18"/>
  <c r="C72" i="18" s="1"/>
  <c r="N66" i="18"/>
  <c r="Q66" i="18"/>
  <c r="H79" i="18"/>
  <c r="I79" i="18"/>
  <c r="I72" i="18"/>
  <c r="I60" i="18"/>
  <c r="B81" i="18"/>
  <c r="H60" i="18"/>
  <c r="C81" i="18" s="1"/>
  <c r="I54" i="18"/>
  <c r="H49" i="18"/>
  <c r="C79" i="18" s="1"/>
  <c r="K45" i="18"/>
  <c r="I49" i="18"/>
  <c r="B66" i="18"/>
  <c r="K29" i="18"/>
  <c r="C66" i="18"/>
  <c r="I11" i="18"/>
  <c r="AG28" i="17"/>
  <c r="AI28" i="17" s="1"/>
  <c r="AG17" i="17"/>
  <c r="O54" i="17"/>
  <c r="Q54" i="17" s="1"/>
  <c r="N48" i="17"/>
  <c r="N39" i="17"/>
  <c r="N35" i="17"/>
  <c r="N34" i="17"/>
  <c r="L33" i="17"/>
  <c r="L22" i="17"/>
  <c r="N21" i="17"/>
  <c r="N18" i="17"/>
  <c r="N19" i="17"/>
  <c r="N10" i="17"/>
  <c r="R11" i="17"/>
  <c r="T11" i="17" s="1"/>
  <c r="N4" i="17"/>
  <c r="N2" i="17"/>
  <c r="G44" i="17"/>
  <c r="E66" i="17"/>
  <c r="G22" i="17"/>
  <c r="G11" i="17"/>
  <c r="F66" i="17"/>
  <c r="C66" i="17"/>
  <c r="K78" i="19"/>
  <c r="C84" i="19"/>
  <c r="C85" i="19"/>
  <c r="H66" i="19"/>
  <c r="G75" i="19"/>
  <c r="K74" i="19"/>
  <c r="E66" i="19"/>
  <c r="G76" i="19"/>
  <c r="C36" i="19"/>
  <c r="K77" i="19"/>
  <c r="C39" i="19"/>
  <c r="F66" i="19"/>
  <c r="H71" i="19"/>
  <c r="I85" i="19"/>
  <c r="I84" i="19"/>
  <c r="K80" i="19"/>
  <c r="F82" i="19"/>
  <c r="G82" i="19" s="1"/>
  <c r="C64" i="19"/>
  <c r="C57" i="19"/>
  <c r="C50" i="19"/>
  <c r="C47" i="19"/>
  <c r="C40" i="19"/>
  <c r="C37" i="19"/>
  <c r="C30" i="19"/>
  <c r="C27" i="19"/>
  <c r="C23" i="19"/>
  <c r="C20" i="19"/>
  <c r="C14" i="19"/>
  <c r="C8" i="19"/>
  <c r="C2" i="19"/>
  <c r="C61" i="19"/>
  <c r="C58" i="19"/>
  <c r="C51" i="19"/>
  <c r="C48" i="19"/>
  <c r="C41" i="19"/>
  <c r="C34" i="19"/>
  <c r="C31" i="19"/>
  <c r="C24" i="19"/>
  <c r="C21" i="19"/>
  <c r="C15" i="19"/>
  <c r="C9" i="19"/>
  <c r="C4" i="19"/>
  <c r="C3" i="19"/>
  <c r="C62" i="19"/>
  <c r="C59" i="19"/>
  <c r="C55" i="19"/>
  <c r="C52" i="19"/>
  <c r="C45" i="19"/>
  <c r="C42" i="19"/>
  <c r="C35" i="19"/>
  <c r="C32" i="19"/>
  <c r="C25" i="19"/>
  <c r="C18" i="19"/>
  <c r="C16" i="19"/>
  <c r="C12" i="19"/>
  <c r="C10" i="19"/>
  <c r="C5" i="19"/>
  <c r="C7" i="19"/>
  <c r="C13" i="19"/>
  <c r="C19" i="19"/>
  <c r="C26" i="19"/>
  <c r="K75" i="19"/>
  <c r="C29" i="19"/>
  <c r="K76" i="19"/>
  <c r="C43" i="19"/>
  <c r="C46" i="19"/>
  <c r="C53" i="19"/>
  <c r="C56" i="19"/>
  <c r="K73" i="19"/>
  <c r="K82" i="19"/>
  <c r="D66" i="19"/>
  <c r="E71" i="19"/>
  <c r="K72" i="19"/>
  <c r="H38" i="18"/>
  <c r="H81" i="18"/>
  <c r="I73" i="18"/>
  <c r="I75" i="18"/>
  <c r="H75" i="18"/>
  <c r="K75" i="18" s="1"/>
  <c r="H72" i="18"/>
  <c r="K72" i="18" s="1"/>
  <c r="G72" i="18"/>
  <c r="K13" i="18"/>
  <c r="H17" i="18"/>
  <c r="H28" i="18"/>
  <c r="K24" i="18"/>
  <c r="K40" i="18"/>
  <c r="H44" i="18"/>
  <c r="I74" i="18"/>
  <c r="B71" i="18"/>
  <c r="D66" i="18"/>
  <c r="G66" i="18" s="1"/>
  <c r="Z6" i="18"/>
  <c r="K7" i="18"/>
  <c r="I28" i="18"/>
  <c r="B76" i="18"/>
  <c r="I33" i="18"/>
  <c r="I38" i="18"/>
  <c r="H65" i="18"/>
  <c r="G77" i="18"/>
  <c r="B78" i="18"/>
  <c r="I44" i="18"/>
  <c r="B82" i="18"/>
  <c r="I65" i="18"/>
  <c r="H22" i="18"/>
  <c r="H6" i="18"/>
  <c r="I6" i="18"/>
  <c r="M66" i="18"/>
  <c r="E71" i="18"/>
  <c r="I22" i="18"/>
  <c r="K34" i="18"/>
  <c r="K50" i="18"/>
  <c r="H54" i="18"/>
  <c r="B77" i="18"/>
  <c r="K77" i="18" s="1"/>
  <c r="H78" i="18"/>
  <c r="AI17" i="17"/>
  <c r="D66" i="17"/>
  <c r="H66" i="17"/>
  <c r="L6" i="17"/>
  <c r="O11" i="17"/>
  <c r="Q11" i="17" s="1"/>
  <c r="M17" i="17"/>
  <c r="R17" i="17"/>
  <c r="T17" i="17" s="1"/>
  <c r="AI22" i="17"/>
  <c r="N26" i="17"/>
  <c r="O28" i="17"/>
  <c r="Q28" i="17" s="1"/>
  <c r="L28" i="17"/>
  <c r="R33" i="17"/>
  <c r="T33" i="17" s="1"/>
  <c r="O38" i="17"/>
  <c r="Q38" i="17" s="1"/>
  <c r="N45" i="17"/>
  <c r="G65" i="17"/>
  <c r="L65" i="17"/>
  <c r="N65" i="17" s="1"/>
  <c r="M6" i="17"/>
  <c r="R22" i="17"/>
  <c r="T22" i="17" s="1"/>
  <c r="M28" i="17"/>
  <c r="I44" i="17"/>
  <c r="L44" i="17" s="1"/>
  <c r="M40" i="17"/>
  <c r="G6" i="17"/>
  <c r="B66" i="17"/>
  <c r="R6" i="17"/>
  <c r="T6" i="17" s="1"/>
  <c r="AH6" i="17"/>
  <c r="L11" i="17"/>
  <c r="AG11" i="17"/>
  <c r="AI11" i="17" s="1"/>
  <c r="N25" i="17"/>
  <c r="N27" i="17"/>
  <c r="O33" i="17"/>
  <c r="Q33" i="17" s="1"/>
  <c r="R38" i="17"/>
  <c r="T38" i="17" s="1"/>
  <c r="L40" i="17"/>
  <c r="AG44" i="17"/>
  <c r="AI44" i="17" s="1"/>
  <c r="N46" i="17"/>
  <c r="M49" i="17"/>
  <c r="G54" i="17"/>
  <c r="M11" i="17"/>
  <c r="O49" i="17"/>
  <c r="Q49" i="17" s="1"/>
  <c r="AG54" i="17"/>
  <c r="AI54" i="17" s="1"/>
  <c r="M60" i="17"/>
  <c r="N60" i="17" s="1"/>
  <c r="R60" i="17"/>
  <c r="T60" i="17" s="1"/>
  <c r="AG65" i="17"/>
  <c r="AI65" i="17" s="1"/>
  <c r="L17" i="17"/>
  <c r="M22" i="17"/>
  <c r="M33" i="17"/>
  <c r="M38" i="17"/>
  <c r="L49" i="17"/>
  <c r="N50" i="17"/>
  <c r="N52" i="17"/>
  <c r="L54" i="17"/>
  <c r="M54" i="17"/>
  <c r="D55" i="13"/>
  <c r="N54" i="17" l="1"/>
  <c r="AF66" i="18"/>
  <c r="G73" i="18"/>
  <c r="J80" i="18"/>
  <c r="G80" i="18"/>
  <c r="Z66" i="18"/>
  <c r="K33" i="18"/>
  <c r="AG66" i="18"/>
  <c r="J77" i="18"/>
  <c r="G79" i="18"/>
  <c r="K60" i="18"/>
  <c r="K49" i="18"/>
  <c r="K81" i="18"/>
  <c r="G78" i="18"/>
  <c r="N33" i="17"/>
  <c r="G74" i="18"/>
  <c r="H74" i="18"/>
  <c r="K74" i="18" s="1"/>
  <c r="K81" i="19"/>
  <c r="K79" i="19"/>
  <c r="C65" i="19"/>
  <c r="B82" i="19" s="1"/>
  <c r="J82" i="19" s="1"/>
  <c r="L82" i="19" s="1"/>
  <c r="G71" i="19"/>
  <c r="G84" i="19" s="1"/>
  <c r="K71" i="19"/>
  <c r="K80" i="18"/>
  <c r="J72" i="18"/>
  <c r="K11" i="18"/>
  <c r="N38" i="17"/>
  <c r="N28" i="17"/>
  <c r="G66" i="17"/>
  <c r="I66" i="19"/>
  <c r="C33" i="19"/>
  <c r="B76" i="19" s="1"/>
  <c r="J76" i="19" s="1"/>
  <c r="L76" i="19" s="1"/>
  <c r="C28" i="19"/>
  <c r="B75" i="19" s="1"/>
  <c r="J75" i="19" s="1"/>
  <c r="L75" i="19" s="1"/>
  <c r="C11" i="19"/>
  <c r="B72" i="19" s="1"/>
  <c r="J72" i="19" s="1"/>
  <c r="L72" i="19" s="1"/>
  <c r="AH66" i="17"/>
  <c r="AG66" i="17"/>
  <c r="AI66" i="17" s="1"/>
  <c r="N22" i="17"/>
  <c r="N6" i="17"/>
  <c r="I66" i="18"/>
  <c r="J79" i="18"/>
  <c r="K79" i="18"/>
  <c r="J78" i="18"/>
  <c r="J73" i="18"/>
  <c r="H66" i="18"/>
  <c r="K66" i="18" s="1"/>
  <c r="I66" i="17"/>
  <c r="R66" i="17" s="1"/>
  <c r="O66" i="17"/>
  <c r="Q66" i="17" s="1"/>
  <c r="H85" i="19"/>
  <c r="H84" i="19"/>
  <c r="C17" i="19"/>
  <c r="B73" i="19" s="1"/>
  <c r="C44" i="19"/>
  <c r="B78" i="19" s="1"/>
  <c r="C22" i="19"/>
  <c r="B74" i="19" s="1"/>
  <c r="C60" i="19"/>
  <c r="B81" i="19" s="1"/>
  <c r="C6" i="19"/>
  <c r="B71" i="19" s="1"/>
  <c r="C49" i="19"/>
  <c r="B79" i="19" s="1"/>
  <c r="C38" i="19"/>
  <c r="B77" i="19" s="1"/>
  <c r="C54" i="19"/>
  <c r="B80" i="19" s="1"/>
  <c r="F84" i="19"/>
  <c r="F85" i="19"/>
  <c r="H71" i="18"/>
  <c r="K71" i="18" s="1"/>
  <c r="G71" i="18"/>
  <c r="B84" i="18"/>
  <c r="B85" i="18"/>
  <c r="C73" i="18"/>
  <c r="K17" i="18"/>
  <c r="J81" i="18"/>
  <c r="C74" i="18"/>
  <c r="K22" i="18"/>
  <c r="K65" i="18"/>
  <c r="C82" i="18"/>
  <c r="J75" i="18"/>
  <c r="K38" i="18"/>
  <c r="C77" i="18"/>
  <c r="C80" i="18"/>
  <c r="K54" i="18"/>
  <c r="D81" i="18"/>
  <c r="L81" i="18"/>
  <c r="G82" i="18"/>
  <c r="H82" i="18"/>
  <c r="J82" i="18" s="1"/>
  <c r="C75" i="18"/>
  <c r="K28" i="18"/>
  <c r="D76" i="18"/>
  <c r="L76" i="18"/>
  <c r="E84" i="18"/>
  <c r="E85" i="18"/>
  <c r="K78" i="18"/>
  <c r="H76" i="18"/>
  <c r="J76" i="18" s="1"/>
  <c r="G76" i="18"/>
  <c r="K44" i="18"/>
  <c r="C78" i="18"/>
  <c r="D72" i="18"/>
  <c r="L72" i="18"/>
  <c r="M72" i="18" s="1"/>
  <c r="C71" i="18"/>
  <c r="K6" i="18"/>
  <c r="L79" i="18"/>
  <c r="D79" i="18"/>
  <c r="M44" i="17"/>
  <c r="N44" i="17" s="1"/>
  <c r="R44" i="17"/>
  <c r="T44" i="17" s="1"/>
  <c r="N49" i="17"/>
  <c r="N17" i="17"/>
  <c r="N40" i="17"/>
  <c r="N11" i="17"/>
  <c r="M38" i="13"/>
  <c r="D82" i="19" l="1"/>
  <c r="D72" i="19"/>
  <c r="K84" i="19"/>
  <c r="M81" i="18"/>
  <c r="K82" i="18"/>
  <c r="J74" i="18"/>
  <c r="D75" i="19"/>
  <c r="D76" i="19"/>
  <c r="K85" i="19"/>
  <c r="M79" i="18"/>
  <c r="C66" i="19"/>
  <c r="M66" i="17"/>
  <c r="S66" i="17"/>
  <c r="T66" i="17" s="1"/>
  <c r="L66" i="17"/>
  <c r="J80" i="19"/>
  <c r="L80" i="19" s="1"/>
  <c r="D80" i="19"/>
  <c r="B84" i="19"/>
  <c r="J71" i="19"/>
  <c r="B85" i="19"/>
  <c r="D71" i="19"/>
  <c r="J77" i="19"/>
  <c r="L77" i="19" s="1"/>
  <c r="D77" i="19"/>
  <c r="J81" i="19"/>
  <c r="L81" i="19" s="1"/>
  <c r="D81" i="19"/>
  <c r="J79" i="19"/>
  <c r="L79" i="19" s="1"/>
  <c r="D79" i="19"/>
  <c r="J74" i="19"/>
  <c r="L74" i="19" s="1"/>
  <c r="D74" i="19"/>
  <c r="J78" i="19"/>
  <c r="L78" i="19" s="1"/>
  <c r="D78" i="19"/>
  <c r="D73" i="19"/>
  <c r="J73" i="19"/>
  <c r="L73" i="19" s="1"/>
  <c r="L75" i="18"/>
  <c r="M75" i="18" s="1"/>
  <c r="D75" i="18"/>
  <c r="D80" i="18"/>
  <c r="L80" i="18"/>
  <c r="M80" i="18" s="1"/>
  <c r="D78" i="18"/>
  <c r="L78" i="18"/>
  <c r="M78" i="18" s="1"/>
  <c r="D73" i="18"/>
  <c r="L73" i="18"/>
  <c r="M73" i="18" s="1"/>
  <c r="G84" i="18"/>
  <c r="G85" i="18"/>
  <c r="K76" i="18"/>
  <c r="K85" i="18" s="1"/>
  <c r="D77" i="18"/>
  <c r="L77" i="18"/>
  <c r="M77" i="18" s="1"/>
  <c r="C84" i="18"/>
  <c r="C85" i="18"/>
  <c r="D71" i="18"/>
  <c r="D82" i="18"/>
  <c r="L82" i="18"/>
  <c r="D74" i="18"/>
  <c r="L74" i="18"/>
  <c r="M74" i="18" s="1"/>
  <c r="H84" i="18"/>
  <c r="H85" i="18"/>
  <c r="D46" i="13"/>
  <c r="M82" i="18" l="1"/>
  <c r="N66" i="17"/>
  <c r="D84" i="19"/>
  <c r="J85" i="19"/>
  <c r="L85" i="19" s="1"/>
  <c r="J84" i="19"/>
  <c r="L71" i="19"/>
  <c r="L84" i="19" s="1"/>
  <c r="M76" i="18"/>
  <c r="D85" i="18"/>
  <c r="D84" i="18"/>
  <c r="AE35" i="13"/>
  <c r="G24" i="13"/>
  <c r="H24" i="13" s="1"/>
  <c r="G25" i="13"/>
  <c r="H25" i="13" s="1"/>
  <c r="G26" i="13"/>
  <c r="H26" i="13" s="1"/>
  <c r="G27" i="13"/>
  <c r="H27" i="13" s="1"/>
  <c r="G28" i="13"/>
  <c r="H28" i="13" s="1"/>
  <c r="G29" i="13"/>
  <c r="H29" i="13" s="1"/>
  <c r="G30" i="13"/>
  <c r="H30" i="13" s="1"/>
  <c r="G31" i="13"/>
  <c r="H31" i="13" s="1"/>
  <c r="G32" i="13"/>
  <c r="H32" i="13" s="1"/>
  <c r="G33" i="13"/>
  <c r="H33" i="13" s="1"/>
  <c r="G34" i="13"/>
  <c r="H34" i="13" s="1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1" i="13"/>
  <c r="H52" i="13"/>
  <c r="H53" i="13"/>
  <c r="H54" i="13"/>
  <c r="H56" i="13"/>
  <c r="H57" i="13"/>
  <c r="H58" i="13"/>
  <c r="H59" i="13"/>
  <c r="H60" i="13"/>
  <c r="H62" i="13"/>
  <c r="H63" i="13"/>
  <c r="H64" i="13"/>
  <c r="H65" i="13"/>
  <c r="G14" i="13"/>
  <c r="H14" i="13" s="1"/>
  <c r="G15" i="13"/>
  <c r="H15" i="13" s="1"/>
  <c r="G16" i="13"/>
  <c r="H16" i="13" s="1"/>
  <c r="G17" i="13"/>
  <c r="H17" i="13" s="1"/>
  <c r="G18" i="13"/>
  <c r="H18" i="13" s="1"/>
  <c r="G19" i="13"/>
  <c r="H19" i="13" s="1"/>
  <c r="G20" i="13"/>
  <c r="H20" i="13" s="1"/>
  <c r="G21" i="13"/>
  <c r="H21" i="13" s="1"/>
  <c r="G22" i="13"/>
  <c r="H22" i="13" s="1"/>
  <c r="G23" i="13"/>
  <c r="H23" i="13" s="1"/>
  <c r="G12" i="13"/>
  <c r="H12" i="13" s="1"/>
  <c r="I40" i="9" l="1"/>
  <c r="M35" i="9" l="1"/>
  <c r="L35" i="9"/>
  <c r="N35" i="9" s="1"/>
  <c r="C73" i="14" l="1"/>
  <c r="C72" i="14"/>
  <c r="K65" i="14"/>
  <c r="I82" i="14" s="1"/>
  <c r="J65" i="14"/>
  <c r="H82" i="14" s="1"/>
  <c r="H65" i="14"/>
  <c r="G65" i="14"/>
  <c r="F65" i="14"/>
  <c r="E82" i="14"/>
  <c r="C82" i="14"/>
  <c r="B65" i="14"/>
  <c r="I64" i="14"/>
  <c r="I63" i="14"/>
  <c r="I62" i="14"/>
  <c r="I61" i="14"/>
  <c r="K60" i="14"/>
  <c r="I81" i="14" s="1"/>
  <c r="J60" i="14"/>
  <c r="H81" i="14" s="1"/>
  <c r="H60" i="14"/>
  <c r="G60" i="14"/>
  <c r="F60" i="14"/>
  <c r="E60" i="14"/>
  <c r="E81" i="14" s="1"/>
  <c r="C81" i="14"/>
  <c r="B60" i="14"/>
  <c r="I59" i="14"/>
  <c r="I58" i="14"/>
  <c r="I57" i="14"/>
  <c r="I56" i="14"/>
  <c r="I55" i="14"/>
  <c r="K54" i="14"/>
  <c r="I80" i="14" s="1"/>
  <c r="J54" i="14"/>
  <c r="H80" i="14" s="1"/>
  <c r="H54" i="14"/>
  <c r="G54" i="14"/>
  <c r="F54" i="14"/>
  <c r="E54" i="14"/>
  <c r="E80" i="14" s="1"/>
  <c r="C80" i="14"/>
  <c r="B54" i="14"/>
  <c r="I53" i="14"/>
  <c r="I52" i="14"/>
  <c r="I51" i="14"/>
  <c r="I50" i="14"/>
  <c r="K49" i="14"/>
  <c r="I79" i="14" s="1"/>
  <c r="J49" i="14"/>
  <c r="H79" i="14" s="1"/>
  <c r="H49" i="14"/>
  <c r="G49" i="14"/>
  <c r="F49" i="14"/>
  <c r="E49" i="14"/>
  <c r="E79" i="14" s="1"/>
  <c r="C79" i="14"/>
  <c r="B49" i="14"/>
  <c r="I48" i="14"/>
  <c r="I47" i="14"/>
  <c r="I46" i="14"/>
  <c r="I45" i="14"/>
  <c r="K44" i="14"/>
  <c r="I78" i="14" s="1"/>
  <c r="J44" i="14"/>
  <c r="H78" i="14" s="1"/>
  <c r="H44" i="14"/>
  <c r="G44" i="14"/>
  <c r="F44" i="14"/>
  <c r="E44" i="14"/>
  <c r="E78" i="14" s="1"/>
  <c r="C78" i="14"/>
  <c r="B44" i="14"/>
  <c r="I43" i="14"/>
  <c r="I42" i="14"/>
  <c r="I41" i="14"/>
  <c r="I40" i="14"/>
  <c r="I39" i="14"/>
  <c r="K38" i="14"/>
  <c r="I77" i="14" s="1"/>
  <c r="J38" i="14"/>
  <c r="H77" i="14" s="1"/>
  <c r="H38" i="14"/>
  <c r="G38" i="14"/>
  <c r="F38" i="14"/>
  <c r="E38" i="14"/>
  <c r="E77" i="14" s="1"/>
  <c r="C77" i="14"/>
  <c r="B38" i="14"/>
  <c r="I37" i="14"/>
  <c r="I36" i="14"/>
  <c r="I35" i="14"/>
  <c r="I34" i="14"/>
  <c r="K33" i="14"/>
  <c r="I76" i="14" s="1"/>
  <c r="J33" i="14"/>
  <c r="H76" i="14" s="1"/>
  <c r="H33" i="14"/>
  <c r="G33" i="14"/>
  <c r="F33" i="14"/>
  <c r="E33" i="14"/>
  <c r="E76" i="14" s="1"/>
  <c r="C76" i="14"/>
  <c r="B33" i="14"/>
  <c r="I32" i="14"/>
  <c r="I31" i="14"/>
  <c r="I30" i="14"/>
  <c r="I29" i="14"/>
  <c r="K28" i="14"/>
  <c r="I75" i="14" s="1"/>
  <c r="J28" i="14"/>
  <c r="H75" i="14" s="1"/>
  <c r="H28" i="14"/>
  <c r="G28" i="14"/>
  <c r="F28" i="14"/>
  <c r="E28" i="14"/>
  <c r="E75" i="14" s="1"/>
  <c r="C75" i="14"/>
  <c r="B28" i="14"/>
  <c r="I27" i="14"/>
  <c r="I26" i="14"/>
  <c r="I25" i="14"/>
  <c r="I24" i="14"/>
  <c r="I23" i="14"/>
  <c r="K22" i="14"/>
  <c r="I74" i="14" s="1"/>
  <c r="J22" i="14"/>
  <c r="H74" i="14" s="1"/>
  <c r="H22" i="14"/>
  <c r="G22" i="14"/>
  <c r="F22" i="14"/>
  <c r="E22" i="14"/>
  <c r="E74" i="14" s="1"/>
  <c r="C74" i="14"/>
  <c r="B22" i="14"/>
  <c r="I21" i="14"/>
  <c r="I20" i="14"/>
  <c r="I19" i="14"/>
  <c r="I18" i="14"/>
  <c r="K17" i="14"/>
  <c r="I73" i="14" s="1"/>
  <c r="J17" i="14"/>
  <c r="H73" i="14" s="1"/>
  <c r="H17" i="14"/>
  <c r="G17" i="14"/>
  <c r="F17" i="14"/>
  <c r="E17" i="14"/>
  <c r="E73" i="14" s="1"/>
  <c r="B17" i="14"/>
  <c r="I16" i="14"/>
  <c r="I15" i="14"/>
  <c r="I14" i="14"/>
  <c r="I13" i="14"/>
  <c r="I12" i="14"/>
  <c r="K11" i="14"/>
  <c r="I72" i="14" s="1"/>
  <c r="J11" i="14"/>
  <c r="H72" i="14" s="1"/>
  <c r="H11" i="14"/>
  <c r="G11" i="14"/>
  <c r="F11" i="14"/>
  <c r="E11" i="14"/>
  <c r="E72" i="14" s="1"/>
  <c r="B11" i="14"/>
  <c r="I10" i="14"/>
  <c r="I9" i="14"/>
  <c r="I8" i="14"/>
  <c r="I7" i="14"/>
  <c r="K6" i="14"/>
  <c r="I71" i="14" s="1"/>
  <c r="J6" i="14"/>
  <c r="H71" i="14" s="1"/>
  <c r="H6" i="14"/>
  <c r="G6" i="14"/>
  <c r="F6" i="14"/>
  <c r="E6" i="14"/>
  <c r="E71" i="14" s="1"/>
  <c r="C71" i="14"/>
  <c r="B6" i="14"/>
  <c r="I5" i="14"/>
  <c r="I4" i="14"/>
  <c r="N3" i="14"/>
  <c r="N5" i="14" s="1"/>
  <c r="N6" i="14" s="1"/>
  <c r="B68" i="14" s="1"/>
  <c r="I3" i="14"/>
  <c r="A3" i="14"/>
  <c r="A4" i="14" s="1"/>
  <c r="A5" i="14" s="1"/>
  <c r="A7" i="14" s="1"/>
  <c r="A8" i="14" s="1"/>
  <c r="A9" i="14" s="1"/>
  <c r="A10" i="14" s="1"/>
  <c r="A12" i="14" s="1"/>
  <c r="A13" i="14" s="1"/>
  <c r="A14" i="14" s="1"/>
  <c r="A15" i="14" s="1"/>
  <c r="A16" i="14" s="1"/>
  <c r="A18" i="14" s="1"/>
  <c r="A19" i="14" s="1"/>
  <c r="A20" i="14" s="1"/>
  <c r="A21" i="14" s="1"/>
  <c r="A23" i="14" s="1"/>
  <c r="A24" i="14" s="1"/>
  <c r="A25" i="14" s="1"/>
  <c r="A26" i="14" s="1"/>
  <c r="A27" i="14" s="1"/>
  <c r="A29" i="14" s="1"/>
  <c r="A30" i="14" s="1"/>
  <c r="A31" i="14" s="1"/>
  <c r="A32" i="14" s="1"/>
  <c r="A34" i="14" s="1"/>
  <c r="A35" i="14" s="1"/>
  <c r="A36" i="14" s="1"/>
  <c r="A37" i="14" s="1"/>
  <c r="A39" i="14" s="1"/>
  <c r="A40" i="14" s="1"/>
  <c r="A41" i="14" s="1"/>
  <c r="A42" i="14" s="1"/>
  <c r="A43" i="14" s="1"/>
  <c r="A45" i="14" s="1"/>
  <c r="A46" i="14" s="1"/>
  <c r="A47" i="14" s="1"/>
  <c r="A48" i="14" s="1"/>
  <c r="A50" i="14" s="1"/>
  <c r="A51" i="14" s="1"/>
  <c r="A52" i="14" s="1"/>
  <c r="A53" i="14" s="1"/>
  <c r="A55" i="14" s="1"/>
  <c r="A56" i="14" s="1"/>
  <c r="A57" i="14" s="1"/>
  <c r="A58" i="14" s="1"/>
  <c r="A59" i="14" s="1"/>
  <c r="A61" i="14" s="1"/>
  <c r="A62" i="14" s="1"/>
  <c r="A63" i="14" s="1"/>
  <c r="A64" i="14" s="1"/>
  <c r="I2" i="14"/>
  <c r="M85" i="13"/>
  <c r="L85" i="13"/>
  <c r="K85" i="13"/>
  <c r="J85" i="13"/>
  <c r="I85" i="13"/>
  <c r="AC66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O66" i="13"/>
  <c r="N66" i="13"/>
  <c r="M66" i="13"/>
  <c r="E83" i="13" s="1"/>
  <c r="L66" i="13"/>
  <c r="F66" i="13"/>
  <c r="D66" i="13"/>
  <c r="C66" i="13"/>
  <c r="B66" i="13"/>
  <c r="AE65" i="13"/>
  <c r="AD65" i="13"/>
  <c r="Z65" i="13"/>
  <c r="K65" i="13"/>
  <c r="AE64" i="13"/>
  <c r="AD64" i="13"/>
  <c r="Z64" i="13"/>
  <c r="K64" i="13"/>
  <c r="AD63" i="13"/>
  <c r="Z63" i="13"/>
  <c r="AE63" i="13" s="1"/>
  <c r="K63" i="13"/>
  <c r="AD62" i="13"/>
  <c r="Z62" i="13"/>
  <c r="AE62" i="13" s="1"/>
  <c r="AE66" i="13" s="1"/>
  <c r="I83" i="13" s="1"/>
  <c r="K62" i="13"/>
  <c r="AC61" i="13"/>
  <c r="AB61" i="13"/>
  <c r="AA61" i="13"/>
  <c r="Y61" i="13"/>
  <c r="X61" i="13"/>
  <c r="Z61" i="13" s="1"/>
  <c r="W61" i="13"/>
  <c r="V61" i="13"/>
  <c r="U61" i="13"/>
  <c r="T61" i="13"/>
  <c r="S61" i="13"/>
  <c r="R61" i="13"/>
  <c r="Q61" i="13"/>
  <c r="P61" i="13"/>
  <c r="O61" i="13"/>
  <c r="N61" i="13"/>
  <c r="M61" i="13"/>
  <c r="E82" i="13" s="1"/>
  <c r="L61" i="13"/>
  <c r="F61" i="13"/>
  <c r="D61" i="13"/>
  <c r="C61" i="13"/>
  <c r="B61" i="13"/>
  <c r="AD60" i="13"/>
  <c r="Z60" i="13"/>
  <c r="AE60" i="13" s="1"/>
  <c r="K60" i="13"/>
  <c r="AD59" i="13"/>
  <c r="Z59" i="13"/>
  <c r="AE59" i="13" s="1"/>
  <c r="K59" i="13"/>
  <c r="AE58" i="13"/>
  <c r="AD58" i="13"/>
  <c r="Z58" i="13"/>
  <c r="K58" i="13"/>
  <c r="AE57" i="13"/>
  <c r="AD57" i="13"/>
  <c r="Z57" i="13"/>
  <c r="K57" i="13"/>
  <c r="AD56" i="13"/>
  <c r="Z56" i="13"/>
  <c r="AE56" i="13" s="1"/>
  <c r="AE61" i="13" s="1"/>
  <c r="I82" i="13" s="1"/>
  <c r="K56" i="13"/>
  <c r="AC55" i="13"/>
  <c r="AB55" i="13"/>
  <c r="AA55" i="13"/>
  <c r="Y55" i="13"/>
  <c r="X55" i="13"/>
  <c r="Z55" i="13" s="1"/>
  <c r="W55" i="13"/>
  <c r="V55" i="13"/>
  <c r="U55" i="13"/>
  <c r="T55" i="13"/>
  <c r="S55" i="13"/>
  <c r="R55" i="13"/>
  <c r="Q55" i="13"/>
  <c r="P55" i="13"/>
  <c r="O55" i="13"/>
  <c r="N55" i="13"/>
  <c r="M55" i="13"/>
  <c r="E81" i="13" s="1"/>
  <c r="L55" i="13"/>
  <c r="J55" i="13"/>
  <c r="F55" i="13"/>
  <c r="C55" i="13"/>
  <c r="B55" i="13"/>
  <c r="AE54" i="13"/>
  <c r="AD54" i="13"/>
  <c r="Z54" i="13"/>
  <c r="K54" i="13"/>
  <c r="AD53" i="13"/>
  <c r="Z53" i="13"/>
  <c r="AE53" i="13" s="1"/>
  <c r="K53" i="13"/>
  <c r="AE52" i="13"/>
  <c r="AD52" i="13"/>
  <c r="Z52" i="13"/>
  <c r="K52" i="13"/>
  <c r="AE51" i="13"/>
  <c r="AE55" i="13" s="1"/>
  <c r="I81" i="13" s="1"/>
  <c r="AD51" i="13"/>
  <c r="Z51" i="13"/>
  <c r="AC50" i="13"/>
  <c r="AB50" i="13"/>
  <c r="AA50" i="13"/>
  <c r="Y50" i="13"/>
  <c r="X50" i="13"/>
  <c r="Z50" i="13" s="1"/>
  <c r="W50" i="13"/>
  <c r="V50" i="13"/>
  <c r="U50" i="13"/>
  <c r="T50" i="13"/>
  <c r="S50" i="13"/>
  <c r="R50" i="13"/>
  <c r="Q50" i="13"/>
  <c r="P50" i="13"/>
  <c r="O50" i="13"/>
  <c r="N50" i="13"/>
  <c r="M50" i="13"/>
  <c r="E80" i="13" s="1"/>
  <c r="L50" i="13"/>
  <c r="F50" i="13"/>
  <c r="D50" i="13"/>
  <c r="H50" i="13" s="1"/>
  <c r="C50" i="13"/>
  <c r="B50" i="13"/>
  <c r="AE49" i="13"/>
  <c r="AD49" i="13"/>
  <c r="Z49" i="13"/>
  <c r="K49" i="13"/>
  <c r="AE48" i="13"/>
  <c r="AD48" i="13"/>
  <c r="Z48" i="13"/>
  <c r="K48" i="13"/>
  <c r="AD47" i="13"/>
  <c r="Z47" i="13"/>
  <c r="AE47" i="13" s="1"/>
  <c r="K47" i="13"/>
  <c r="AD46" i="13"/>
  <c r="AD50" i="13" s="1"/>
  <c r="Z46" i="13"/>
  <c r="AE46" i="13" s="1"/>
  <c r="K46" i="13"/>
  <c r="AC45" i="13"/>
  <c r="AB45" i="13"/>
  <c r="AA45" i="13"/>
  <c r="Y45" i="13"/>
  <c r="X45" i="13"/>
  <c r="Z45" i="13" s="1"/>
  <c r="W45" i="13"/>
  <c r="V45" i="13"/>
  <c r="U45" i="13"/>
  <c r="T45" i="13"/>
  <c r="S45" i="13"/>
  <c r="R45" i="13"/>
  <c r="Q45" i="13"/>
  <c r="P45" i="13"/>
  <c r="O45" i="13"/>
  <c r="N45" i="13"/>
  <c r="M45" i="13"/>
  <c r="E79" i="13" s="1"/>
  <c r="L45" i="13"/>
  <c r="F45" i="13"/>
  <c r="D45" i="13"/>
  <c r="I45" i="13" s="1"/>
  <c r="C45" i="13"/>
  <c r="B45" i="13"/>
  <c r="AE44" i="13"/>
  <c r="AD44" i="13"/>
  <c r="Z44" i="13"/>
  <c r="K44" i="13"/>
  <c r="AD43" i="13"/>
  <c r="Z43" i="13"/>
  <c r="AE43" i="13" s="1"/>
  <c r="K43" i="13"/>
  <c r="AD42" i="13"/>
  <c r="Z42" i="13"/>
  <c r="AE42" i="13" s="1"/>
  <c r="K42" i="13"/>
  <c r="AE41" i="13"/>
  <c r="AD41" i="13"/>
  <c r="Z41" i="13"/>
  <c r="K41" i="13"/>
  <c r="AE40" i="13"/>
  <c r="AD40" i="13"/>
  <c r="AD45" i="13" s="1"/>
  <c r="Z40" i="13"/>
  <c r="K40" i="13"/>
  <c r="AC39" i="13"/>
  <c r="AB39" i="13"/>
  <c r="AA39" i="13"/>
  <c r="Y39" i="13"/>
  <c r="X39" i="13"/>
  <c r="Z39" i="13" s="1"/>
  <c r="W39" i="13"/>
  <c r="V39" i="13"/>
  <c r="U39" i="13"/>
  <c r="T39" i="13"/>
  <c r="S39" i="13"/>
  <c r="R39" i="13"/>
  <c r="Q39" i="13"/>
  <c r="P39" i="13"/>
  <c r="O39" i="13"/>
  <c r="N39" i="13"/>
  <c r="M39" i="13"/>
  <c r="E78" i="13" s="1"/>
  <c r="L39" i="13"/>
  <c r="F39" i="13"/>
  <c r="D39" i="13"/>
  <c r="C39" i="13"/>
  <c r="B39" i="13"/>
  <c r="AE38" i="13"/>
  <c r="AD38" i="13"/>
  <c r="Z38" i="13"/>
  <c r="K38" i="13"/>
  <c r="AE37" i="13"/>
  <c r="AD37" i="13"/>
  <c r="Z37" i="13"/>
  <c r="K37" i="13"/>
  <c r="AD36" i="13"/>
  <c r="Z36" i="13"/>
  <c r="AE36" i="13" s="1"/>
  <c r="K36" i="13"/>
  <c r="AD35" i="13"/>
  <c r="Z35" i="13"/>
  <c r="K35" i="13"/>
  <c r="AC34" i="13"/>
  <c r="AB34" i="13"/>
  <c r="AA34" i="13"/>
  <c r="Y34" i="13"/>
  <c r="X34" i="13"/>
  <c r="Z34" i="13" s="1"/>
  <c r="W34" i="13"/>
  <c r="V34" i="13"/>
  <c r="U34" i="13"/>
  <c r="T34" i="13"/>
  <c r="S34" i="13"/>
  <c r="R34" i="13"/>
  <c r="Q34" i="13"/>
  <c r="P34" i="13"/>
  <c r="O34" i="13"/>
  <c r="N34" i="13"/>
  <c r="M34" i="13"/>
  <c r="E77" i="13" s="1"/>
  <c r="L34" i="13"/>
  <c r="J34" i="13"/>
  <c r="F34" i="13"/>
  <c r="D34" i="13"/>
  <c r="B77" i="13" s="1"/>
  <c r="C34" i="13"/>
  <c r="B34" i="13"/>
  <c r="AE33" i="13"/>
  <c r="AD33" i="13"/>
  <c r="Z33" i="13"/>
  <c r="K33" i="13"/>
  <c r="AD32" i="13"/>
  <c r="Z32" i="13"/>
  <c r="AE32" i="13" s="1"/>
  <c r="K32" i="13"/>
  <c r="AD31" i="13"/>
  <c r="Z31" i="13"/>
  <c r="AE31" i="13" s="1"/>
  <c r="K31" i="13"/>
  <c r="AE30" i="13"/>
  <c r="AD30" i="13"/>
  <c r="Z30" i="13"/>
  <c r="AC29" i="13"/>
  <c r="AB29" i="13"/>
  <c r="AA29" i="13"/>
  <c r="Y29" i="13"/>
  <c r="X29" i="13"/>
  <c r="Z29" i="13" s="1"/>
  <c r="W29" i="13"/>
  <c r="V29" i="13"/>
  <c r="U29" i="13"/>
  <c r="T29" i="13"/>
  <c r="S29" i="13"/>
  <c r="R29" i="13"/>
  <c r="Q29" i="13"/>
  <c r="P29" i="13"/>
  <c r="O29" i="13"/>
  <c r="N29" i="13"/>
  <c r="M29" i="13"/>
  <c r="E76" i="13" s="1"/>
  <c r="L29" i="13"/>
  <c r="J29" i="13"/>
  <c r="F29" i="13"/>
  <c r="D29" i="13"/>
  <c r="C29" i="13"/>
  <c r="B29" i="13"/>
  <c r="AD28" i="13"/>
  <c r="Z28" i="13"/>
  <c r="AE28" i="13" s="1"/>
  <c r="K28" i="13"/>
  <c r="AE27" i="13"/>
  <c r="AD27" i="13"/>
  <c r="Z27" i="13"/>
  <c r="K27" i="13"/>
  <c r="AE26" i="13"/>
  <c r="AD26" i="13"/>
  <c r="Z26" i="13"/>
  <c r="K26" i="13"/>
  <c r="AD25" i="13"/>
  <c r="Z25" i="13"/>
  <c r="AE25" i="13" s="1"/>
  <c r="K25" i="13"/>
  <c r="AD24" i="13"/>
  <c r="Z24" i="13"/>
  <c r="AE24" i="13" s="1"/>
  <c r="K24" i="13"/>
  <c r="AC23" i="13"/>
  <c r="AB23" i="13"/>
  <c r="AA23" i="13"/>
  <c r="Y23" i="13"/>
  <c r="X23" i="13"/>
  <c r="Z23" i="13" s="1"/>
  <c r="W23" i="13"/>
  <c r="V23" i="13"/>
  <c r="U23" i="13"/>
  <c r="T23" i="13"/>
  <c r="S23" i="13"/>
  <c r="R23" i="13"/>
  <c r="Q23" i="13"/>
  <c r="P23" i="13"/>
  <c r="O23" i="13"/>
  <c r="N23" i="13"/>
  <c r="M23" i="13"/>
  <c r="E75" i="13" s="1"/>
  <c r="L23" i="13"/>
  <c r="J23" i="13"/>
  <c r="F23" i="13"/>
  <c r="D23" i="13"/>
  <c r="C23" i="13"/>
  <c r="B23" i="13"/>
  <c r="AE22" i="13"/>
  <c r="AD22" i="13"/>
  <c r="Z22" i="13"/>
  <c r="K22" i="13"/>
  <c r="AE21" i="13"/>
  <c r="AD21" i="13"/>
  <c r="Z21" i="13"/>
  <c r="K21" i="13"/>
  <c r="AD20" i="13"/>
  <c r="Z20" i="13"/>
  <c r="AE20" i="13" s="1"/>
  <c r="K20" i="13"/>
  <c r="AD19" i="13"/>
  <c r="Z19" i="13"/>
  <c r="AE19" i="13" s="1"/>
  <c r="K19" i="13"/>
  <c r="AC18" i="13"/>
  <c r="AB18" i="13"/>
  <c r="AA18" i="13"/>
  <c r="Y18" i="13"/>
  <c r="X18" i="13"/>
  <c r="Z18" i="13" s="1"/>
  <c r="W18" i="13"/>
  <c r="V18" i="13"/>
  <c r="U18" i="13"/>
  <c r="T18" i="13"/>
  <c r="S18" i="13"/>
  <c r="R18" i="13"/>
  <c r="Q18" i="13"/>
  <c r="P18" i="13"/>
  <c r="O18" i="13"/>
  <c r="N18" i="13"/>
  <c r="M18" i="13"/>
  <c r="E74" i="13" s="1"/>
  <c r="L18" i="13"/>
  <c r="J18" i="13"/>
  <c r="F18" i="13"/>
  <c r="D18" i="13"/>
  <c r="B74" i="13" s="1"/>
  <c r="C18" i="13"/>
  <c r="B18" i="13"/>
  <c r="AD17" i="13"/>
  <c r="Z17" i="13"/>
  <c r="AE17" i="13" s="1"/>
  <c r="K17" i="13"/>
  <c r="AD16" i="13"/>
  <c r="Z16" i="13"/>
  <c r="AE16" i="13" s="1"/>
  <c r="K16" i="13"/>
  <c r="AD15" i="13"/>
  <c r="Z15" i="13"/>
  <c r="AE15" i="13" s="1"/>
  <c r="K15" i="13"/>
  <c r="AD14" i="13"/>
  <c r="Z14" i="13"/>
  <c r="AE14" i="13" s="1"/>
  <c r="K14" i="13"/>
  <c r="AD13" i="13"/>
  <c r="Z13" i="13"/>
  <c r="AE13" i="13" s="1"/>
  <c r="K13" i="13"/>
  <c r="AC12" i="13"/>
  <c r="AB12" i="13"/>
  <c r="AA12" i="13"/>
  <c r="Y12" i="13"/>
  <c r="X12" i="13"/>
  <c r="Z12" i="13" s="1"/>
  <c r="W12" i="13"/>
  <c r="V12" i="13"/>
  <c r="U12" i="13"/>
  <c r="T12" i="13"/>
  <c r="S12" i="13"/>
  <c r="R12" i="13"/>
  <c r="Q12" i="13"/>
  <c r="P12" i="13"/>
  <c r="O12" i="13"/>
  <c r="M12" i="13"/>
  <c r="E73" i="13" s="1"/>
  <c r="L12" i="13"/>
  <c r="J12" i="13"/>
  <c r="F12" i="13"/>
  <c r="D12" i="13"/>
  <c r="C12" i="13"/>
  <c r="B12" i="13"/>
  <c r="AD11" i="13"/>
  <c r="Z11" i="13"/>
  <c r="AE11" i="13" s="1"/>
  <c r="K11" i="13"/>
  <c r="AE10" i="13"/>
  <c r="AD10" i="13"/>
  <c r="Z10" i="13"/>
  <c r="K10" i="13"/>
  <c r="AE9" i="13"/>
  <c r="AD9" i="13"/>
  <c r="Z9" i="13"/>
  <c r="K9" i="13"/>
  <c r="AD8" i="13"/>
  <c r="Z8" i="13"/>
  <c r="AE8" i="13" s="1"/>
  <c r="AE12" i="13" s="1"/>
  <c r="I73" i="13" s="1"/>
  <c r="AC7" i="13"/>
  <c r="AC67" i="13" s="1"/>
  <c r="AB7" i="13"/>
  <c r="AB67" i="13" s="1"/>
  <c r="AA7" i="13"/>
  <c r="AA67" i="13" s="1"/>
  <c r="Y7" i="13"/>
  <c r="Z7" i="13" s="1"/>
  <c r="X7" i="13"/>
  <c r="X67" i="13" s="1"/>
  <c r="W7" i="13"/>
  <c r="V7" i="13"/>
  <c r="U7" i="13"/>
  <c r="U67" i="13" s="1"/>
  <c r="T7" i="13"/>
  <c r="T67" i="13" s="1"/>
  <c r="S7" i="13"/>
  <c r="R7" i="13"/>
  <c r="Q7" i="13"/>
  <c r="Q67" i="13" s="1"/>
  <c r="P7" i="13"/>
  <c r="P67" i="13" s="1"/>
  <c r="O7" i="13"/>
  <c r="N7" i="13"/>
  <c r="M7" i="13"/>
  <c r="E72" i="13" s="1"/>
  <c r="L7" i="13"/>
  <c r="J7" i="13"/>
  <c r="F7" i="13"/>
  <c r="F67" i="13" s="1"/>
  <c r="D7" i="13"/>
  <c r="C7" i="13"/>
  <c r="C67" i="13" s="1"/>
  <c r="B7" i="13"/>
  <c r="B67" i="13" s="1"/>
  <c r="AE6" i="13"/>
  <c r="AD6" i="13"/>
  <c r="Z6" i="13"/>
  <c r="AD5" i="13"/>
  <c r="Z5" i="13"/>
  <c r="AE5" i="13" s="1"/>
  <c r="AD4" i="13"/>
  <c r="Z4" i="13"/>
  <c r="AE4" i="13" s="1"/>
  <c r="A4" i="13"/>
  <c r="A5" i="13" s="1"/>
  <c r="A6" i="13" s="1"/>
  <c r="A8" i="13" s="1"/>
  <c r="A9" i="13" s="1"/>
  <c r="A10" i="13" s="1"/>
  <c r="A11" i="13" s="1"/>
  <c r="A13" i="13" s="1"/>
  <c r="A14" i="13" s="1"/>
  <c r="A15" i="13" s="1"/>
  <c r="A16" i="13" s="1"/>
  <c r="A17" i="13" s="1"/>
  <c r="A19" i="13" s="1"/>
  <c r="A20" i="13" s="1"/>
  <c r="A21" i="13" s="1"/>
  <c r="A22" i="13" s="1"/>
  <c r="A24" i="13" s="1"/>
  <c r="A25" i="13" s="1"/>
  <c r="A26" i="13" s="1"/>
  <c r="A27" i="13" s="1"/>
  <c r="A28" i="13" s="1"/>
  <c r="A30" i="13" s="1"/>
  <c r="A31" i="13" s="1"/>
  <c r="A32" i="13" s="1"/>
  <c r="A33" i="13" s="1"/>
  <c r="A35" i="13" s="1"/>
  <c r="A36" i="13" s="1"/>
  <c r="A37" i="13" s="1"/>
  <c r="A38" i="13" s="1"/>
  <c r="A40" i="13" s="1"/>
  <c r="A41" i="13" s="1"/>
  <c r="A42" i="13" s="1"/>
  <c r="A43" i="13" s="1"/>
  <c r="A44" i="13" s="1"/>
  <c r="A46" i="13" s="1"/>
  <c r="A47" i="13" s="1"/>
  <c r="A48" i="13" s="1"/>
  <c r="A49" i="13" s="1"/>
  <c r="A51" i="13" s="1"/>
  <c r="A52" i="13" s="1"/>
  <c r="A53" i="13" s="1"/>
  <c r="A54" i="13" s="1"/>
  <c r="A56" i="13" s="1"/>
  <c r="A57" i="13" s="1"/>
  <c r="A58" i="13" s="1"/>
  <c r="A59" i="13" s="1"/>
  <c r="A60" i="13" s="1"/>
  <c r="A62" i="13" s="1"/>
  <c r="A63" i="13" s="1"/>
  <c r="A64" i="13" s="1"/>
  <c r="A65" i="13" s="1"/>
  <c r="AE3" i="13"/>
  <c r="AE7" i="13" s="1"/>
  <c r="I72" i="13" s="1"/>
  <c r="AD3" i="13"/>
  <c r="AD7" i="13" s="1"/>
  <c r="Z3" i="13"/>
  <c r="Z67" i="13" s="1"/>
  <c r="P85" i="9"/>
  <c r="O85" i="9"/>
  <c r="N85" i="9"/>
  <c r="M85" i="9"/>
  <c r="L85" i="9"/>
  <c r="K85" i="9"/>
  <c r="J85" i="9"/>
  <c r="I85" i="9"/>
  <c r="H85" i="9"/>
  <c r="G85" i="9"/>
  <c r="P66" i="9"/>
  <c r="AF65" i="9"/>
  <c r="AE65" i="9"/>
  <c r="AD65" i="9"/>
  <c r="AC65" i="9"/>
  <c r="AB65" i="9"/>
  <c r="AA65" i="9"/>
  <c r="Z65" i="9"/>
  <c r="Y65" i="9"/>
  <c r="X65" i="9"/>
  <c r="W65" i="9"/>
  <c r="V65" i="9"/>
  <c r="U65" i="9"/>
  <c r="S65" i="9"/>
  <c r="K65" i="9"/>
  <c r="E83" i="9" s="1"/>
  <c r="I65" i="9"/>
  <c r="B83" i="9"/>
  <c r="F65" i="9"/>
  <c r="E65" i="9"/>
  <c r="D65" i="9"/>
  <c r="C65" i="9"/>
  <c r="B65" i="9"/>
  <c r="AH64" i="9"/>
  <c r="AG64" i="9"/>
  <c r="AI64" i="9" s="1"/>
  <c r="M64" i="9"/>
  <c r="L64" i="9"/>
  <c r="N64" i="9" s="1"/>
  <c r="G64" i="9"/>
  <c r="AH63" i="9"/>
  <c r="AG63" i="9"/>
  <c r="AI63" i="9" s="1"/>
  <c r="M63" i="9"/>
  <c r="L63" i="9"/>
  <c r="G63" i="9"/>
  <c r="AH62" i="9"/>
  <c r="AG62" i="9"/>
  <c r="AI62" i="9" s="1"/>
  <c r="M62" i="9"/>
  <c r="L62" i="9"/>
  <c r="N62" i="9" s="1"/>
  <c r="G62" i="9"/>
  <c r="AH61" i="9"/>
  <c r="AG61" i="9"/>
  <c r="AI61" i="9" s="1"/>
  <c r="M61" i="9"/>
  <c r="L61" i="9"/>
  <c r="G61" i="9"/>
  <c r="G65" i="9" s="1"/>
  <c r="AF60" i="9"/>
  <c r="AE60" i="9"/>
  <c r="AD60" i="9"/>
  <c r="AC60" i="9"/>
  <c r="AB60" i="9"/>
  <c r="AA60" i="9"/>
  <c r="Z60" i="9"/>
  <c r="Y60" i="9"/>
  <c r="X60" i="9"/>
  <c r="W60" i="9"/>
  <c r="V60" i="9"/>
  <c r="U60" i="9"/>
  <c r="S60" i="9"/>
  <c r="K60" i="9"/>
  <c r="I60" i="9"/>
  <c r="C82" i="9" s="1"/>
  <c r="B82" i="9"/>
  <c r="F60" i="9"/>
  <c r="E60" i="9"/>
  <c r="D60" i="9"/>
  <c r="C60" i="9"/>
  <c r="B60" i="9"/>
  <c r="AH59" i="9"/>
  <c r="AG59" i="9"/>
  <c r="AI59" i="9" s="1"/>
  <c r="M59" i="9"/>
  <c r="L59" i="9"/>
  <c r="G59" i="9"/>
  <c r="AH58" i="9"/>
  <c r="AG58" i="9"/>
  <c r="AI58" i="9" s="1"/>
  <c r="M58" i="9"/>
  <c r="L58" i="9"/>
  <c r="G58" i="9"/>
  <c r="AH57" i="9"/>
  <c r="AG57" i="9"/>
  <c r="AI57" i="9" s="1"/>
  <c r="M57" i="9"/>
  <c r="L57" i="9"/>
  <c r="G57" i="9"/>
  <c r="AH56" i="9"/>
  <c r="AG56" i="9"/>
  <c r="AI56" i="9" s="1"/>
  <c r="M56" i="9"/>
  <c r="N56" i="9" s="1"/>
  <c r="L56" i="9"/>
  <c r="G56" i="9"/>
  <c r="AH55" i="9"/>
  <c r="AG55" i="9"/>
  <c r="AI55" i="9" s="1"/>
  <c r="M55" i="9"/>
  <c r="L55" i="9"/>
  <c r="G55" i="9"/>
  <c r="AF54" i="9"/>
  <c r="AG54" i="9" s="1"/>
  <c r="AE54" i="9"/>
  <c r="AD54" i="9"/>
  <c r="AC54" i="9"/>
  <c r="AB54" i="9"/>
  <c r="AA54" i="9"/>
  <c r="Z54" i="9"/>
  <c r="Y54" i="9"/>
  <c r="X54" i="9"/>
  <c r="AI54" i="9" s="1"/>
  <c r="L81" i="9" s="1"/>
  <c r="W54" i="9"/>
  <c r="V54" i="9"/>
  <c r="U54" i="9"/>
  <c r="S54" i="9"/>
  <c r="K54" i="9"/>
  <c r="I54" i="9"/>
  <c r="C81" i="9" s="1"/>
  <c r="B81" i="9"/>
  <c r="F54" i="9"/>
  <c r="E54" i="9"/>
  <c r="D54" i="9"/>
  <c r="C54" i="9"/>
  <c r="B54" i="9"/>
  <c r="AH53" i="9"/>
  <c r="AG53" i="9"/>
  <c r="AI53" i="9" s="1"/>
  <c r="M53" i="9"/>
  <c r="L53" i="9"/>
  <c r="G53" i="9"/>
  <c r="AH52" i="9"/>
  <c r="AG52" i="9"/>
  <c r="AI52" i="9" s="1"/>
  <c r="M52" i="9"/>
  <c r="L52" i="9"/>
  <c r="G52" i="9"/>
  <c r="AH51" i="9"/>
  <c r="AG51" i="9"/>
  <c r="AI51" i="9" s="1"/>
  <c r="M51" i="9"/>
  <c r="L51" i="9"/>
  <c r="G51" i="9"/>
  <c r="AH50" i="9"/>
  <c r="AG50" i="9"/>
  <c r="AI50" i="9" s="1"/>
  <c r="M50" i="9"/>
  <c r="L50" i="9"/>
  <c r="G50" i="9"/>
  <c r="AF49" i="9"/>
  <c r="AE49" i="9"/>
  <c r="AD49" i="9"/>
  <c r="AC49" i="9"/>
  <c r="AB49" i="9"/>
  <c r="AA49" i="9"/>
  <c r="Z49" i="9"/>
  <c r="Y49" i="9"/>
  <c r="X49" i="9"/>
  <c r="W49" i="9"/>
  <c r="V49" i="9"/>
  <c r="U49" i="9"/>
  <c r="AH49" i="9" s="1"/>
  <c r="K80" i="9" s="1"/>
  <c r="S49" i="9"/>
  <c r="K49" i="9"/>
  <c r="I49" i="9"/>
  <c r="C80" i="9" s="1"/>
  <c r="H49" i="9"/>
  <c r="B80" i="9" s="1"/>
  <c r="F49" i="9"/>
  <c r="E49" i="9"/>
  <c r="D49" i="9"/>
  <c r="C49" i="9"/>
  <c r="B49" i="9"/>
  <c r="AH48" i="9"/>
  <c r="AG48" i="9"/>
  <c r="AI48" i="9" s="1"/>
  <c r="M48" i="9"/>
  <c r="L48" i="9"/>
  <c r="G48" i="9"/>
  <c r="AH47" i="9"/>
  <c r="AG47" i="9"/>
  <c r="AI47" i="9" s="1"/>
  <c r="G47" i="9"/>
  <c r="AH46" i="9"/>
  <c r="AG46" i="9"/>
  <c r="AI46" i="9" s="1"/>
  <c r="M46" i="9"/>
  <c r="L46" i="9"/>
  <c r="G46" i="9"/>
  <c r="AH45" i="9"/>
  <c r="AG45" i="9"/>
  <c r="AI45" i="9" s="1"/>
  <c r="M45" i="9"/>
  <c r="L45" i="9"/>
  <c r="G45" i="9"/>
  <c r="G49" i="9" s="1"/>
  <c r="AF44" i="9"/>
  <c r="AE44" i="9"/>
  <c r="AD44" i="9"/>
  <c r="AC44" i="9"/>
  <c r="AB44" i="9"/>
  <c r="AA44" i="9"/>
  <c r="Z44" i="9"/>
  <c r="Y44" i="9"/>
  <c r="X44" i="9"/>
  <c r="W44" i="9"/>
  <c r="V44" i="9"/>
  <c r="U44" i="9"/>
  <c r="AH44" i="9" s="1"/>
  <c r="K79" i="9" s="1"/>
  <c r="S44" i="9"/>
  <c r="K44" i="9"/>
  <c r="I44" i="9"/>
  <c r="C79" i="9" s="1"/>
  <c r="B79" i="9"/>
  <c r="F44" i="9"/>
  <c r="E44" i="9"/>
  <c r="D44" i="9"/>
  <c r="C44" i="9"/>
  <c r="B44" i="9"/>
  <c r="AH43" i="9"/>
  <c r="AG43" i="9"/>
  <c r="AI43" i="9" s="1"/>
  <c r="M43" i="9"/>
  <c r="L43" i="9"/>
  <c r="G43" i="9"/>
  <c r="AH42" i="9"/>
  <c r="AG42" i="9"/>
  <c r="AI42" i="9" s="1"/>
  <c r="M42" i="9"/>
  <c r="L42" i="9"/>
  <c r="N42" i="9" s="1"/>
  <c r="G42" i="9"/>
  <c r="AH41" i="9"/>
  <c r="AG41" i="9"/>
  <c r="AI41" i="9" s="1"/>
  <c r="M41" i="9"/>
  <c r="L41" i="9"/>
  <c r="G41" i="9"/>
  <c r="AH40" i="9"/>
  <c r="AG40" i="9"/>
  <c r="AI40" i="9" s="1"/>
  <c r="M40" i="9"/>
  <c r="L40" i="9"/>
  <c r="G40" i="9"/>
  <c r="AH39" i="9"/>
  <c r="AG39" i="9"/>
  <c r="AI39" i="9" s="1"/>
  <c r="M39" i="9"/>
  <c r="L39" i="9"/>
  <c r="G39" i="9"/>
  <c r="G44" i="9" s="1"/>
  <c r="AF38" i="9"/>
  <c r="AE38" i="9"/>
  <c r="AD38" i="9"/>
  <c r="AC38" i="9"/>
  <c r="AB38" i="9"/>
  <c r="AA38" i="9"/>
  <c r="Z38" i="9"/>
  <c r="Y38" i="9"/>
  <c r="X38" i="9"/>
  <c r="W38" i="9"/>
  <c r="V38" i="9"/>
  <c r="U38" i="9"/>
  <c r="AH38" i="9" s="1"/>
  <c r="K78" i="9" s="1"/>
  <c r="S38" i="9"/>
  <c r="K38" i="9"/>
  <c r="E77" i="9" s="1"/>
  <c r="O38" i="9"/>
  <c r="Q38" i="9" s="1"/>
  <c r="G78" i="9" s="1"/>
  <c r="I38" i="9"/>
  <c r="B78" i="9"/>
  <c r="F38" i="9"/>
  <c r="E38" i="9"/>
  <c r="D38" i="9"/>
  <c r="C38" i="9"/>
  <c r="B38" i="9"/>
  <c r="AH37" i="9"/>
  <c r="AG37" i="9"/>
  <c r="AI37" i="9" s="1"/>
  <c r="M37" i="9"/>
  <c r="L37" i="9"/>
  <c r="N37" i="9" s="1"/>
  <c r="G37" i="9"/>
  <c r="AH36" i="9"/>
  <c r="AG36" i="9"/>
  <c r="AI36" i="9" s="1"/>
  <c r="M36" i="9"/>
  <c r="L36" i="9"/>
  <c r="AI35" i="9"/>
  <c r="AH35" i="9"/>
  <c r="AG35" i="9"/>
  <c r="AH34" i="9"/>
  <c r="AG34" i="9"/>
  <c r="AI34" i="9" s="1"/>
  <c r="M34" i="9"/>
  <c r="L34" i="9"/>
  <c r="G34" i="9"/>
  <c r="G38" i="9" s="1"/>
  <c r="AF33" i="9"/>
  <c r="AE33" i="9"/>
  <c r="AD33" i="9"/>
  <c r="AC33" i="9"/>
  <c r="AB33" i="9"/>
  <c r="AA33" i="9"/>
  <c r="Z33" i="9"/>
  <c r="Y33" i="9"/>
  <c r="X33" i="9"/>
  <c r="W33" i="9"/>
  <c r="V33" i="9"/>
  <c r="U33" i="9"/>
  <c r="S33" i="9"/>
  <c r="K33" i="9"/>
  <c r="I33" i="9"/>
  <c r="C77" i="9" s="1"/>
  <c r="B77" i="9"/>
  <c r="F33" i="9"/>
  <c r="E33" i="9"/>
  <c r="D33" i="9"/>
  <c r="C33" i="9"/>
  <c r="B33" i="9"/>
  <c r="AH32" i="9"/>
  <c r="AG32" i="9"/>
  <c r="AI32" i="9" s="1"/>
  <c r="M32" i="9"/>
  <c r="L32" i="9"/>
  <c r="G32" i="9"/>
  <c r="AH31" i="9"/>
  <c r="AG31" i="9"/>
  <c r="AI31" i="9" s="1"/>
  <c r="M31" i="9"/>
  <c r="L31" i="9"/>
  <c r="G31" i="9"/>
  <c r="AH30" i="9"/>
  <c r="AG30" i="9"/>
  <c r="AI30" i="9" s="1"/>
  <c r="M30" i="9"/>
  <c r="L30" i="9"/>
  <c r="G30" i="9"/>
  <c r="AH29" i="9"/>
  <c r="AG29" i="9"/>
  <c r="AI29" i="9" s="1"/>
  <c r="M29" i="9"/>
  <c r="L29" i="9"/>
  <c r="G29" i="9"/>
  <c r="AF28" i="9"/>
  <c r="AE28" i="9"/>
  <c r="AD28" i="9"/>
  <c r="AC28" i="9"/>
  <c r="AB28" i="9"/>
  <c r="AA28" i="9"/>
  <c r="Z28" i="9"/>
  <c r="Y28" i="9"/>
  <c r="X28" i="9"/>
  <c r="W28" i="9"/>
  <c r="V28" i="9"/>
  <c r="U28" i="9"/>
  <c r="S28" i="9"/>
  <c r="P28" i="9"/>
  <c r="I28" i="9"/>
  <c r="C76" i="9" s="1"/>
  <c r="H28" i="9"/>
  <c r="B76" i="9" s="1"/>
  <c r="F28" i="9"/>
  <c r="E28" i="9"/>
  <c r="D28" i="9"/>
  <c r="C28" i="9"/>
  <c r="B28" i="9"/>
  <c r="AH27" i="9"/>
  <c r="AG27" i="9"/>
  <c r="AI27" i="9" s="1"/>
  <c r="M27" i="9"/>
  <c r="L27" i="9"/>
  <c r="G27" i="9"/>
  <c r="AH26" i="9"/>
  <c r="AG26" i="9"/>
  <c r="AI26" i="9" s="1"/>
  <c r="M26" i="9"/>
  <c r="L26" i="9"/>
  <c r="G26" i="9"/>
  <c r="AH25" i="9"/>
  <c r="AG25" i="9"/>
  <c r="AI25" i="9" s="1"/>
  <c r="M25" i="9"/>
  <c r="L25" i="9"/>
  <c r="N25" i="9" s="1"/>
  <c r="G25" i="9"/>
  <c r="AH24" i="9"/>
  <c r="AG24" i="9"/>
  <c r="AI24" i="9" s="1"/>
  <c r="M24" i="9"/>
  <c r="L24" i="9"/>
  <c r="G24" i="9"/>
  <c r="AH23" i="9"/>
  <c r="AG23" i="9"/>
  <c r="AI23" i="9" s="1"/>
  <c r="M23" i="9"/>
  <c r="L23" i="9"/>
  <c r="G23" i="9"/>
  <c r="AF22" i="9"/>
  <c r="AE22" i="9"/>
  <c r="AD22" i="9"/>
  <c r="AC22" i="9"/>
  <c r="AB22" i="9"/>
  <c r="AA22" i="9"/>
  <c r="Z22" i="9"/>
  <c r="Y22" i="9"/>
  <c r="X22" i="9"/>
  <c r="W22" i="9"/>
  <c r="V22" i="9"/>
  <c r="U22" i="9"/>
  <c r="S22" i="9"/>
  <c r="P22" i="9"/>
  <c r="J22" i="9"/>
  <c r="I22" i="9"/>
  <c r="H22" i="9"/>
  <c r="B75" i="9" s="1"/>
  <c r="F22" i="9"/>
  <c r="E22" i="9"/>
  <c r="D22" i="9"/>
  <c r="C22" i="9"/>
  <c r="B22" i="9"/>
  <c r="AH21" i="9"/>
  <c r="AG21" i="9"/>
  <c r="AI21" i="9" s="1"/>
  <c r="M21" i="9"/>
  <c r="L21" i="9"/>
  <c r="G21" i="9"/>
  <c r="AH20" i="9"/>
  <c r="AG20" i="9"/>
  <c r="AI20" i="9" s="1"/>
  <c r="G20" i="9"/>
  <c r="AH19" i="9"/>
  <c r="AG19" i="9"/>
  <c r="AI19" i="9" s="1"/>
  <c r="M19" i="9"/>
  <c r="L19" i="9"/>
  <c r="N19" i="9" s="1"/>
  <c r="G19" i="9"/>
  <c r="AH18" i="9"/>
  <c r="AG18" i="9"/>
  <c r="AI18" i="9" s="1"/>
  <c r="M18" i="9"/>
  <c r="L18" i="9"/>
  <c r="G18" i="9"/>
  <c r="AF17" i="9"/>
  <c r="AE17" i="9"/>
  <c r="AG17" i="9" s="1"/>
  <c r="AD17" i="9"/>
  <c r="AC17" i="9"/>
  <c r="AB17" i="9"/>
  <c r="AA17" i="9"/>
  <c r="Z17" i="9"/>
  <c r="Y17" i="9"/>
  <c r="X17" i="9"/>
  <c r="W17" i="9"/>
  <c r="V17" i="9"/>
  <c r="U17" i="9"/>
  <c r="S17" i="9"/>
  <c r="P17" i="9"/>
  <c r="K17" i="9"/>
  <c r="J17" i="9"/>
  <c r="I17" i="9"/>
  <c r="C74" i="9" s="1"/>
  <c r="H17" i="9"/>
  <c r="B74" i="9" s="1"/>
  <c r="F17" i="9"/>
  <c r="E17" i="9"/>
  <c r="D17" i="9"/>
  <c r="C17" i="9"/>
  <c r="B17" i="9"/>
  <c r="AH16" i="9"/>
  <c r="AG16" i="9"/>
  <c r="AI16" i="9" s="1"/>
  <c r="M16" i="9"/>
  <c r="L16" i="9"/>
  <c r="G16" i="9"/>
  <c r="AI15" i="9"/>
  <c r="AH15" i="9"/>
  <c r="AG15" i="9"/>
  <c r="M15" i="9"/>
  <c r="L15" i="9"/>
  <c r="G15" i="9"/>
  <c r="AH14" i="9"/>
  <c r="AG14" i="9"/>
  <c r="AI14" i="9" s="1"/>
  <c r="M14" i="9"/>
  <c r="L14" i="9"/>
  <c r="G14" i="9"/>
  <c r="AH13" i="9"/>
  <c r="AG13" i="9"/>
  <c r="AI13" i="9" s="1"/>
  <c r="M13" i="9"/>
  <c r="L13" i="9"/>
  <c r="G13" i="9"/>
  <c r="AH12" i="9"/>
  <c r="AG12" i="9"/>
  <c r="AI12" i="9" s="1"/>
  <c r="M12" i="9"/>
  <c r="L12" i="9"/>
  <c r="G12" i="9"/>
  <c r="AF11" i="9"/>
  <c r="AE11" i="9"/>
  <c r="AD11" i="9"/>
  <c r="AC11" i="9"/>
  <c r="AB11" i="9"/>
  <c r="AA11" i="9"/>
  <c r="Z11" i="9"/>
  <c r="Y11" i="9"/>
  <c r="X11" i="9"/>
  <c r="W11" i="9"/>
  <c r="V11" i="9"/>
  <c r="U11" i="9"/>
  <c r="AH11" i="9" s="1"/>
  <c r="K73" i="9" s="1"/>
  <c r="S11" i="9"/>
  <c r="P11" i="9"/>
  <c r="K11" i="9"/>
  <c r="J11" i="9"/>
  <c r="I11" i="9"/>
  <c r="C73" i="9" s="1"/>
  <c r="H11" i="9"/>
  <c r="F11" i="9"/>
  <c r="E11" i="9"/>
  <c r="D11" i="9"/>
  <c r="C11" i="9"/>
  <c r="B11" i="9"/>
  <c r="AH10" i="9"/>
  <c r="AG10" i="9"/>
  <c r="AI10" i="9" s="1"/>
  <c r="M10" i="9"/>
  <c r="L10" i="9"/>
  <c r="N10" i="9" s="1"/>
  <c r="G10" i="9"/>
  <c r="AH9" i="9"/>
  <c r="AG9" i="9"/>
  <c r="AI9" i="9" s="1"/>
  <c r="M9" i="9"/>
  <c r="N9" i="9" s="1"/>
  <c r="L9" i="9"/>
  <c r="G9" i="9"/>
  <c r="AH8" i="9"/>
  <c r="AG8" i="9"/>
  <c r="AI8" i="9" s="1"/>
  <c r="M8" i="9"/>
  <c r="L8" i="9"/>
  <c r="G8" i="9"/>
  <c r="AI7" i="9"/>
  <c r="AH7" i="9"/>
  <c r="AG7" i="9"/>
  <c r="M7" i="9"/>
  <c r="L7" i="9"/>
  <c r="G7" i="9"/>
  <c r="AF6" i="9"/>
  <c r="AE6" i="9"/>
  <c r="AD6" i="9"/>
  <c r="AC6" i="9"/>
  <c r="AB6" i="9"/>
  <c r="AA6" i="9"/>
  <c r="Z6" i="9"/>
  <c r="Y6" i="9"/>
  <c r="X6" i="9"/>
  <c r="W6" i="9"/>
  <c r="W66" i="9" s="1"/>
  <c r="V6" i="9"/>
  <c r="U6" i="9"/>
  <c r="S6" i="9"/>
  <c r="P6" i="9"/>
  <c r="J6" i="9"/>
  <c r="I6" i="9"/>
  <c r="C72" i="9" s="1"/>
  <c r="H6" i="9"/>
  <c r="B72" i="9" s="1"/>
  <c r="F6" i="9"/>
  <c r="E6" i="9"/>
  <c r="D6" i="9"/>
  <c r="C6" i="9"/>
  <c r="B6" i="9"/>
  <c r="AH5" i="9"/>
  <c r="AG5" i="9"/>
  <c r="AI5" i="9" s="1"/>
  <c r="M5" i="9"/>
  <c r="L5" i="9"/>
  <c r="G5" i="9"/>
  <c r="AH4" i="9"/>
  <c r="AG4" i="9"/>
  <c r="AI4" i="9" s="1"/>
  <c r="M4" i="9"/>
  <c r="L4" i="9"/>
  <c r="G4" i="9"/>
  <c r="AH3" i="9"/>
  <c r="AG3" i="9"/>
  <c r="AI3" i="9" s="1"/>
  <c r="M3" i="9"/>
  <c r="L3" i="9"/>
  <c r="G3" i="9"/>
  <c r="A3" i="9"/>
  <c r="A4" i="9" s="1"/>
  <c r="A5" i="9" s="1"/>
  <c r="A7" i="9" s="1"/>
  <c r="A8" i="9" s="1"/>
  <c r="A9" i="9" s="1"/>
  <c r="A10" i="9" s="1"/>
  <c r="A12" i="9" s="1"/>
  <c r="A13" i="9" s="1"/>
  <c r="A14" i="9" s="1"/>
  <c r="A15" i="9" s="1"/>
  <c r="A16" i="9" s="1"/>
  <c r="A18" i="9" s="1"/>
  <c r="A19" i="9" s="1"/>
  <c r="A20" i="9" s="1"/>
  <c r="A21" i="9" s="1"/>
  <c r="A23" i="9" s="1"/>
  <c r="A24" i="9" s="1"/>
  <c r="A25" i="9" s="1"/>
  <c r="A26" i="9" s="1"/>
  <c r="A27" i="9" s="1"/>
  <c r="A29" i="9" s="1"/>
  <c r="A30" i="9" s="1"/>
  <c r="A31" i="9" s="1"/>
  <c r="A32" i="9" s="1"/>
  <c r="A34" i="9" s="1"/>
  <c r="A35" i="9" s="1"/>
  <c r="A36" i="9" s="1"/>
  <c r="A37" i="9" s="1"/>
  <c r="A39" i="9" s="1"/>
  <c r="A40" i="9" s="1"/>
  <c r="A41" i="9" s="1"/>
  <c r="A42" i="9" s="1"/>
  <c r="A43" i="9" s="1"/>
  <c r="A45" i="9" s="1"/>
  <c r="A46" i="9" s="1"/>
  <c r="A47" i="9" s="1"/>
  <c r="A48" i="9" s="1"/>
  <c r="A50" i="9" s="1"/>
  <c r="A51" i="9" s="1"/>
  <c r="A52" i="9" s="1"/>
  <c r="A53" i="9" s="1"/>
  <c r="A55" i="9" s="1"/>
  <c r="A56" i="9" s="1"/>
  <c r="A57" i="9" s="1"/>
  <c r="A58" i="9" s="1"/>
  <c r="A59" i="9" s="1"/>
  <c r="A61" i="9" s="1"/>
  <c r="A62" i="9" s="1"/>
  <c r="A63" i="9" s="1"/>
  <c r="A64" i="9" s="1"/>
  <c r="AH2" i="9"/>
  <c r="AG2" i="9"/>
  <c r="AI2" i="9" s="1"/>
  <c r="M2" i="9"/>
  <c r="L2" i="9"/>
  <c r="G2" i="9"/>
  <c r="D38" i="2"/>
  <c r="B38" i="2"/>
  <c r="C37" i="2"/>
  <c r="C36" i="2"/>
  <c r="C26" i="2"/>
  <c r="C25" i="2"/>
  <c r="C24" i="2"/>
  <c r="C23" i="2"/>
  <c r="C22" i="2"/>
  <c r="C21" i="2"/>
  <c r="C20" i="2"/>
  <c r="C19" i="2"/>
  <c r="C18" i="2"/>
  <c r="C38" i="2" s="1"/>
  <c r="E38" i="2" s="1"/>
  <c r="B104" i="1"/>
  <c r="R85" i="1"/>
  <c r="U84" i="1"/>
  <c r="R84" i="1"/>
  <c r="Q84" i="1"/>
  <c r="S84" i="1" s="1"/>
  <c r="G104" i="1" s="1"/>
  <c r="M84" i="1"/>
  <c r="N84" i="1" s="1"/>
  <c r="P84" i="1" s="1"/>
  <c r="L84" i="1"/>
  <c r="E104" i="1" s="1"/>
  <c r="K84" i="1"/>
  <c r="O84" i="1" s="1"/>
  <c r="J84" i="1"/>
  <c r="I84" i="1"/>
  <c r="H84" i="1"/>
  <c r="G84" i="1"/>
  <c r="F84" i="1"/>
  <c r="E84" i="1"/>
  <c r="D84" i="1"/>
  <c r="C84" i="1"/>
  <c r="B84" i="1"/>
  <c r="P83" i="1"/>
  <c r="O83" i="1"/>
  <c r="N83" i="1"/>
  <c r="I83" i="1"/>
  <c r="P82" i="1"/>
  <c r="O82" i="1"/>
  <c r="N82" i="1"/>
  <c r="I82" i="1"/>
  <c r="P81" i="1"/>
  <c r="O81" i="1"/>
  <c r="N81" i="1"/>
  <c r="I81" i="1"/>
  <c r="P80" i="1"/>
  <c r="O80" i="1"/>
  <c r="N80" i="1"/>
  <c r="I80" i="1"/>
  <c r="U79" i="1"/>
  <c r="R79" i="1"/>
  <c r="M79" i="1"/>
  <c r="T79" i="1" s="1"/>
  <c r="V79" i="1" s="1"/>
  <c r="H103" i="1" s="1"/>
  <c r="L79" i="1"/>
  <c r="E103" i="1" s="1"/>
  <c r="K79" i="1"/>
  <c r="O79" i="1" s="1"/>
  <c r="J79" i="1"/>
  <c r="B103" i="1" s="1"/>
  <c r="H79" i="1"/>
  <c r="G79" i="1"/>
  <c r="F79" i="1"/>
  <c r="E79" i="1"/>
  <c r="D79" i="1"/>
  <c r="C79" i="1"/>
  <c r="B79" i="1"/>
  <c r="O78" i="1"/>
  <c r="N78" i="1"/>
  <c r="P78" i="1" s="1"/>
  <c r="I78" i="1"/>
  <c r="O77" i="1"/>
  <c r="N77" i="1"/>
  <c r="P77" i="1" s="1"/>
  <c r="I77" i="1"/>
  <c r="O76" i="1"/>
  <c r="N76" i="1"/>
  <c r="P76" i="1" s="1"/>
  <c r="I76" i="1"/>
  <c r="O75" i="1"/>
  <c r="N75" i="1"/>
  <c r="P75" i="1" s="1"/>
  <c r="P74" i="1"/>
  <c r="O74" i="1"/>
  <c r="N74" i="1"/>
  <c r="I74" i="1"/>
  <c r="I79" i="1" s="1"/>
  <c r="U73" i="1"/>
  <c r="R73" i="1"/>
  <c r="M73" i="1"/>
  <c r="L73" i="1"/>
  <c r="E102" i="1" s="1"/>
  <c r="K73" i="1"/>
  <c r="T73" i="1" s="1"/>
  <c r="V73" i="1" s="1"/>
  <c r="H102" i="1" s="1"/>
  <c r="J73" i="1"/>
  <c r="B102" i="1" s="1"/>
  <c r="H73" i="1"/>
  <c r="G73" i="1"/>
  <c r="F73" i="1"/>
  <c r="E73" i="1"/>
  <c r="D73" i="1"/>
  <c r="C73" i="1"/>
  <c r="B73" i="1"/>
  <c r="O72" i="1"/>
  <c r="N72" i="1"/>
  <c r="P72" i="1" s="1"/>
  <c r="I72" i="1"/>
  <c r="O71" i="1"/>
  <c r="N71" i="1"/>
  <c r="P71" i="1" s="1"/>
  <c r="I71" i="1"/>
  <c r="O70" i="1"/>
  <c r="N70" i="1"/>
  <c r="P70" i="1" s="1"/>
  <c r="I70" i="1"/>
  <c r="I73" i="1" s="1"/>
  <c r="O69" i="1"/>
  <c r="N69" i="1"/>
  <c r="P69" i="1" s="1"/>
  <c r="V68" i="1"/>
  <c r="H101" i="1" s="1"/>
  <c r="U68" i="1"/>
  <c r="T68" i="1"/>
  <c r="R68" i="1"/>
  <c r="M68" i="1"/>
  <c r="L68" i="1"/>
  <c r="E101" i="1" s="1"/>
  <c r="K68" i="1"/>
  <c r="O68" i="1" s="1"/>
  <c r="J68" i="1"/>
  <c r="B101" i="1" s="1"/>
  <c r="H68" i="1"/>
  <c r="G68" i="1"/>
  <c r="F68" i="1"/>
  <c r="E68" i="1"/>
  <c r="D68" i="1"/>
  <c r="C68" i="1"/>
  <c r="B68" i="1"/>
  <c r="O67" i="1"/>
  <c r="N67" i="1"/>
  <c r="P67" i="1" s="1"/>
  <c r="I67" i="1"/>
  <c r="O66" i="1"/>
  <c r="N66" i="1"/>
  <c r="P66" i="1" s="1"/>
  <c r="I66" i="1"/>
  <c r="O64" i="1"/>
  <c r="N64" i="1"/>
  <c r="P64" i="1" s="1"/>
  <c r="I64" i="1"/>
  <c r="O63" i="1"/>
  <c r="N63" i="1"/>
  <c r="P63" i="1" s="1"/>
  <c r="I63" i="1"/>
  <c r="I68" i="1" s="1"/>
  <c r="U62" i="1"/>
  <c r="S62" i="1"/>
  <c r="G100" i="1" s="1"/>
  <c r="R62" i="1"/>
  <c r="Q62" i="1"/>
  <c r="M62" i="1"/>
  <c r="L62" i="1"/>
  <c r="E99" i="1" s="1"/>
  <c r="K62" i="1"/>
  <c r="C100" i="1" s="1"/>
  <c r="J62" i="1"/>
  <c r="B100" i="1" s="1"/>
  <c r="I62" i="1"/>
  <c r="H62" i="1"/>
  <c r="G62" i="1"/>
  <c r="F62" i="1"/>
  <c r="E62" i="1"/>
  <c r="D62" i="1"/>
  <c r="C62" i="1"/>
  <c r="B62" i="1"/>
  <c r="O61" i="1"/>
  <c r="N61" i="1"/>
  <c r="P61" i="1" s="1"/>
  <c r="I61" i="1"/>
  <c r="O60" i="1"/>
  <c r="N60" i="1"/>
  <c r="P60" i="1" s="1"/>
  <c r="I60" i="1"/>
  <c r="O59" i="1"/>
  <c r="N59" i="1"/>
  <c r="P59" i="1" s="1"/>
  <c r="I59" i="1"/>
  <c r="O58" i="1"/>
  <c r="N58" i="1"/>
  <c r="P58" i="1" s="1"/>
  <c r="I58" i="1"/>
  <c r="O57" i="1"/>
  <c r="N57" i="1"/>
  <c r="P57" i="1" s="1"/>
  <c r="I57" i="1"/>
  <c r="U56" i="1"/>
  <c r="T56" i="1"/>
  <c r="V56" i="1" s="1"/>
  <c r="H99" i="1" s="1"/>
  <c r="R56" i="1"/>
  <c r="M56" i="1"/>
  <c r="N56" i="1" s="1"/>
  <c r="L56" i="1"/>
  <c r="K56" i="1"/>
  <c r="C99" i="1" s="1"/>
  <c r="J56" i="1"/>
  <c r="B99" i="1" s="1"/>
  <c r="D99" i="1" s="1"/>
  <c r="F99" i="1" s="1"/>
  <c r="I99" i="1" s="1"/>
  <c r="H56" i="1"/>
  <c r="G56" i="1"/>
  <c r="F56" i="1"/>
  <c r="E56" i="1"/>
  <c r="D56" i="1"/>
  <c r="C56" i="1"/>
  <c r="B56" i="1"/>
  <c r="O55" i="1"/>
  <c r="P55" i="1" s="1"/>
  <c r="N55" i="1"/>
  <c r="I55" i="1"/>
  <c r="O54" i="1"/>
  <c r="P54" i="1" s="1"/>
  <c r="N54" i="1"/>
  <c r="I54" i="1"/>
  <c r="I56" i="1" s="1"/>
  <c r="O53" i="1"/>
  <c r="P53" i="1" s="1"/>
  <c r="N53" i="1"/>
  <c r="O51" i="1"/>
  <c r="N51" i="1"/>
  <c r="P51" i="1" s="1"/>
  <c r="I51" i="1"/>
  <c r="U50" i="1"/>
  <c r="T50" i="1"/>
  <c r="V50" i="1" s="1"/>
  <c r="H98" i="1" s="1"/>
  <c r="R50" i="1"/>
  <c r="M50" i="1"/>
  <c r="N50" i="1" s="1"/>
  <c r="L50" i="1"/>
  <c r="K50" i="1"/>
  <c r="C98" i="1" s="1"/>
  <c r="J50" i="1"/>
  <c r="B98" i="1" s="1"/>
  <c r="D98" i="1" s="1"/>
  <c r="I50" i="1"/>
  <c r="H50" i="1"/>
  <c r="G50" i="1"/>
  <c r="F50" i="1"/>
  <c r="E50" i="1"/>
  <c r="D50" i="1"/>
  <c r="C50" i="1"/>
  <c r="B50" i="1"/>
  <c r="O49" i="1"/>
  <c r="P49" i="1" s="1"/>
  <c r="N49" i="1"/>
  <c r="I49" i="1"/>
  <c r="O48" i="1"/>
  <c r="P48" i="1" s="1"/>
  <c r="N48" i="1"/>
  <c r="I48" i="1"/>
  <c r="O47" i="1"/>
  <c r="P47" i="1" s="1"/>
  <c r="N47" i="1"/>
  <c r="I47" i="1"/>
  <c r="O46" i="1"/>
  <c r="P46" i="1" s="1"/>
  <c r="N46" i="1"/>
  <c r="I46" i="1"/>
  <c r="O45" i="1"/>
  <c r="P45" i="1" s="1"/>
  <c r="N45" i="1"/>
  <c r="I45" i="1"/>
  <c r="U44" i="1"/>
  <c r="R44" i="1"/>
  <c r="M44" i="1"/>
  <c r="L44" i="1"/>
  <c r="E96" i="1" s="1"/>
  <c r="K44" i="1"/>
  <c r="C97" i="1" s="1"/>
  <c r="J44" i="1"/>
  <c r="B97" i="1" s="1"/>
  <c r="I44" i="1"/>
  <c r="H44" i="1"/>
  <c r="G44" i="1"/>
  <c r="F44" i="1"/>
  <c r="E44" i="1"/>
  <c r="D44" i="1"/>
  <c r="C44" i="1"/>
  <c r="B44" i="1"/>
  <c r="O43" i="1"/>
  <c r="N43" i="1"/>
  <c r="P43" i="1" s="1"/>
  <c r="I43" i="1"/>
  <c r="O42" i="1"/>
  <c r="N42" i="1"/>
  <c r="P42" i="1" s="1"/>
  <c r="I42" i="1"/>
  <c r="O41" i="1"/>
  <c r="N41" i="1"/>
  <c r="P41" i="1" s="1"/>
  <c r="I41" i="1"/>
  <c r="O40" i="1"/>
  <c r="N40" i="1"/>
  <c r="P40" i="1" s="1"/>
  <c r="I40" i="1"/>
  <c r="U39" i="1"/>
  <c r="T39" i="1"/>
  <c r="V39" i="1" s="1"/>
  <c r="H96" i="1" s="1"/>
  <c r="R39" i="1"/>
  <c r="M39" i="1"/>
  <c r="N39" i="1" s="1"/>
  <c r="L39" i="1"/>
  <c r="Q39" i="1" s="1"/>
  <c r="S39" i="1" s="1"/>
  <c r="G96" i="1" s="1"/>
  <c r="K39" i="1"/>
  <c r="C96" i="1" s="1"/>
  <c r="J39" i="1"/>
  <c r="B96" i="1" s="1"/>
  <c r="D96" i="1" s="1"/>
  <c r="F96" i="1" s="1"/>
  <c r="I96" i="1" s="1"/>
  <c r="H39" i="1"/>
  <c r="G39" i="1"/>
  <c r="F39" i="1"/>
  <c r="E39" i="1"/>
  <c r="D39" i="1"/>
  <c r="C39" i="1"/>
  <c r="B39" i="1"/>
  <c r="O38" i="1"/>
  <c r="P38" i="1" s="1"/>
  <c r="N38" i="1"/>
  <c r="I38" i="1"/>
  <c r="O37" i="1"/>
  <c r="P37" i="1" s="1"/>
  <c r="N37" i="1"/>
  <c r="I37" i="1"/>
  <c r="I36" i="1"/>
  <c r="P35" i="1"/>
  <c r="O35" i="1"/>
  <c r="N35" i="1"/>
  <c r="I35" i="1"/>
  <c r="P34" i="1"/>
  <c r="O34" i="1"/>
  <c r="N34" i="1"/>
  <c r="I34" i="1"/>
  <c r="I39" i="1" s="1"/>
  <c r="U33" i="1"/>
  <c r="R33" i="1"/>
  <c r="M33" i="1"/>
  <c r="L33" i="1"/>
  <c r="E95" i="1" s="1"/>
  <c r="K33" i="1"/>
  <c r="C95" i="1" s="1"/>
  <c r="J33" i="1"/>
  <c r="B95" i="1" s="1"/>
  <c r="D95" i="1" s="1"/>
  <c r="F95" i="1" s="1"/>
  <c r="I95" i="1" s="1"/>
  <c r="H33" i="1"/>
  <c r="G33" i="1"/>
  <c r="F33" i="1"/>
  <c r="E33" i="1"/>
  <c r="D33" i="1"/>
  <c r="C33" i="1"/>
  <c r="B33" i="1"/>
  <c r="O32" i="1"/>
  <c r="N32" i="1"/>
  <c r="P32" i="1" s="1"/>
  <c r="I32" i="1"/>
  <c r="O31" i="1"/>
  <c r="N31" i="1"/>
  <c r="P31" i="1" s="1"/>
  <c r="I31" i="1"/>
  <c r="O30" i="1"/>
  <c r="N30" i="1"/>
  <c r="P30" i="1" s="1"/>
  <c r="I30" i="1"/>
  <c r="O29" i="1"/>
  <c r="N29" i="1"/>
  <c r="P29" i="1" s="1"/>
  <c r="I29" i="1"/>
  <c r="O28" i="1"/>
  <c r="N28" i="1"/>
  <c r="P28" i="1" s="1"/>
  <c r="I28" i="1"/>
  <c r="O27" i="1"/>
  <c r="N27" i="1"/>
  <c r="P27" i="1" s="1"/>
  <c r="I27" i="1"/>
  <c r="I33" i="1" s="1"/>
  <c r="U26" i="1"/>
  <c r="R26" i="1"/>
  <c r="M26" i="1"/>
  <c r="N26" i="1" s="1"/>
  <c r="L26" i="1"/>
  <c r="K26" i="1"/>
  <c r="C94" i="1" s="1"/>
  <c r="J26" i="1"/>
  <c r="B94" i="1" s="1"/>
  <c r="I26" i="1"/>
  <c r="H26" i="1"/>
  <c r="G26" i="1"/>
  <c r="F26" i="1"/>
  <c r="E26" i="1"/>
  <c r="D26" i="1"/>
  <c r="C26" i="1"/>
  <c r="B26" i="1"/>
  <c r="O25" i="1"/>
  <c r="N25" i="1"/>
  <c r="P25" i="1" s="1"/>
  <c r="I25" i="1"/>
  <c r="O24" i="1"/>
  <c r="N24" i="1"/>
  <c r="P24" i="1" s="1"/>
  <c r="I24" i="1"/>
  <c r="O23" i="1"/>
  <c r="N23" i="1"/>
  <c r="P23" i="1" s="1"/>
  <c r="I23" i="1"/>
  <c r="O22" i="1"/>
  <c r="N22" i="1"/>
  <c r="P22" i="1" s="1"/>
  <c r="I22" i="1"/>
  <c r="O21" i="1"/>
  <c r="N21" i="1"/>
  <c r="P21" i="1" s="1"/>
  <c r="I21" i="1"/>
  <c r="U20" i="1"/>
  <c r="T20" i="1"/>
  <c r="V20" i="1" s="1"/>
  <c r="H93" i="1" s="1"/>
  <c r="R20" i="1"/>
  <c r="M20" i="1"/>
  <c r="N20" i="1" s="1"/>
  <c r="L20" i="1"/>
  <c r="E93" i="1" s="1"/>
  <c r="K20" i="1"/>
  <c r="C93" i="1" s="1"/>
  <c r="J20" i="1"/>
  <c r="B93" i="1" s="1"/>
  <c r="H20" i="1"/>
  <c r="G20" i="1"/>
  <c r="F20" i="1"/>
  <c r="E20" i="1"/>
  <c r="D20" i="1"/>
  <c r="C20" i="1"/>
  <c r="B20" i="1"/>
  <c r="O19" i="1"/>
  <c r="P19" i="1" s="1"/>
  <c r="N19" i="1"/>
  <c r="I19" i="1"/>
  <c r="O18" i="1"/>
  <c r="P18" i="1" s="1"/>
  <c r="N18" i="1"/>
  <c r="I18" i="1"/>
  <c r="O17" i="1"/>
  <c r="P17" i="1" s="1"/>
  <c r="N17" i="1"/>
  <c r="I17" i="1"/>
  <c r="O16" i="1"/>
  <c r="P16" i="1" s="1"/>
  <c r="N16" i="1"/>
  <c r="I16" i="1"/>
  <c r="I20" i="1" s="1"/>
  <c r="U15" i="1"/>
  <c r="R15" i="1"/>
  <c r="U14" i="1"/>
  <c r="R14" i="1"/>
  <c r="M14" i="1"/>
  <c r="L14" i="1"/>
  <c r="E92" i="1" s="1"/>
  <c r="K14" i="1"/>
  <c r="C92" i="1" s="1"/>
  <c r="J14" i="1"/>
  <c r="B92" i="1" s="1"/>
  <c r="D92" i="1" s="1"/>
  <c r="F92" i="1" s="1"/>
  <c r="I92" i="1" s="1"/>
  <c r="H14" i="1"/>
  <c r="G14" i="1"/>
  <c r="F14" i="1"/>
  <c r="E14" i="1"/>
  <c r="D14" i="1"/>
  <c r="C14" i="1"/>
  <c r="B14" i="1"/>
  <c r="O13" i="1"/>
  <c r="N13" i="1"/>
  <c r="P13" i="1" s="1"/>
  <c r="I13" i="1"/>
  <c r="O12" i="1"/>
  <c r="N12" i="1"/>
  <c r="P12" i="1" s="1"/>
  <c r="I12" i="1"/>
  <c r="O11" i="1"/>
  <c r="N11" i="1"/>
  <c r="P11" i="1" s="1"/>
  <c r="I11" i="1"/>
  <c r="O10" i="1"/>
  <c r="N10" i="1"/>
  <c r="P10" i="1" s="1"/>
  <c r="I10" i="1"/>
  <c r="O9" i="1"/>
  <c r="N9" i="1"/>
  <c r="P9" i="1" s="1"/>
  <c r="I9" i="1"/>
  <c r="I14" i="1" s="1"/>
  <c r="U8" i="1"/>
  <c r="R8" i="1"/>
  <c r="M8" i="1"/>
  <c r="N8" i="1" s="1"/>
  <c r="L8" i="1"/>
  <c r="E91" i="1" s="1"/>
  <c r="K8" i="1"/>
  <c r="C91" i="1" s="1"/>
  <c r="J8" i="1"/>
  <c r="B91" i="1" s="1"/>
  <c r="I8" i="1"/>
  <c r="H8" i="1"/>
  <c r="G8" i="1"/>
  <c r="F8" i="1"/>
  <c r="E8" i="1"/>
  <c r="D8" i="1"/>
  <c r="C8" i="1"/>
  <c r="B8" i="1"/>
  <c r="O7" i="1"/>
  <c r="N7" i="1"/>
  <c r="P7" i="1" s="1"/>
  <c r="I7" i="1"/>
  <c r="O6" i="1"/>
  <c r="N6" i="1"/>
  <c r="P6" i="1" s="1"/>
  <c r="I6" i="1"/>
  <c r="O5" i="1"/>
  <c r="N5" i="1"/>
  <c r="P5" i="1" s="1"/>
  <c r="I5" i="1"/>
  <c r="O4" i="1"/>
  <c r="N4" i="1"/>
  <c r="P4" i="1" s="1"/>
  <c r="I4" i="1"/>
  <c r="U3" i="1"/>
  <c r="R3" i="1"/>
  <c r="M3" i="1"/>
  <c r="M15" i="1" s="1"/>
  <c r="L3" i="1"/>
  <c r="E90" i="1" s="1"/>
  <c r="E110" i="1" s="1"/>
  <c r="K3" i="1"/>
  <c r="C90" i="1" s="1"/>
  <c r="J3" i="1"/>
  <c r="B90" i="1" s="1"/>
  <c r="I3" i="1"/>
  <c r="H3" i="1"/>
  <c r="H15" i="1" s="1"/>
  <c r="H85" i="1" s="1"/>
  <c r="G3" i="1"/>
  <c r="G15" i="1" s="1"/>
  <c r="G85" i="1" s="1"/>
  <c r="F3" i="1"/>
  <c r="F15" i="1" s="1"/>
  <c r="F85" i="1" s="1"/>
  <c r="E3" i="1"/>
  <c r="E15" i="1" s="1"/>
  <c r="E85" i="1" s="1"/>
  <c r="D3" i="1"/>
  <c r="D15" i="1" s="1"/>
  <c r="D85" i="1" s="1"/>
  <c r="C3" i="1"/>
  <c r="C15" i="1" s="1"/>
  <c r="C85" i="1" s="1"/>
  <c r="B3" i="1"/>
  <c r="B15" i="1" s="1"/>
  <c r="B85" i="1" s="1"/>
  <c r="O2" i="1"/>
  <c r="P2" i="1" s="1"/>
  <c r="N2" i="1"/>
  <c r="I2" i="1"/>
  <c r="I15" i="1" s="1"/>
  <c r="I85" i="1" s="1"/>
  <c r="AA66" i="9" l="1"/>
  <c r="N30" i="9"/>
  <c r="AG65" i="9"/>
  <c r="AI65" i="9" s="1"/>
  <c r="L83" i="9" s="1"/>
  <c r="AI17" i="9"/>
  <c r="L74" i="9" s="1"/>
  <c r="M74" i="9" s="1"/>
  <c r="AG33" i="9"/>
  <c r="AI33" i="9" s="1"/>
  <c r="L77" i="9" s="1"/>
  <c r="M65" i="9"/>
  <c r="N3" i="9"/>
  <c r="N15" i="9"/>
  <c r="N24" i="9"/>
  <c r="G22" i="9"/>
  <c r="AG38" i="9"/>
  <c r="AI38" i="9" s="1"/>
  <c r="L78" i="9" s="1"/>
  <c r="M78" i="9" s="1"/>
  <c r="AG44" i="9"/>
  <c r="AG49" i="9"/>
  <c r="AH60" i="9"/>
  <c r="K82" i="9" s="1"/>
  <c r="AH54" i="9"/>
  <c r="K81" i="9" s="1"/>
  <c r="M81" i="9" s="1"/>
  <c r="AG60" i="9"/>
  <c r="N14" i="9"/>
  <c r="N23" i="9"/>
  <c r="N31" i="9"/>
  <c r="N36" i="9"/>
  <c r="K66" i="9"/>
  <c r="N46" i="9"/>
  <c r="AD66" i="13"/>
  <c r="G83" i="13" s="1"/>
  <c r="AD61" i="13"/>
  <c r="H82" i="13" s="1"/>
  <c r="J82" i="13" s="1"/>
  <c r="K30" i="13"/>
  <c r="K8" i="13"/>
  <c r="K7" i="13"/>
  <c r="N18" i="9"/>
  <c r="L49" i="9"/>
  <c r="N48" i="9"/>
  <c r="O54" i="9"/>
  <c r="Q54" i="9" s="1"/>
  <c r="G81" i="9" s="1"/>
  <c r="B83" i="13"/>
  <c r="H66" i="13"/>
  <c r="N58" i="9"/>
  <c r="R60" i="9"/>
  <c r="T60" i="9" s="1"/>
  <c r="H82" i="9" s="1"/>
  <c r="C72" i="13"/>
  <c r="L72" i="13" s="1"/>
  <c r="M72" i="13" s="1"/>
  <c r="B82" i="13"/>
  <c r="H61" i="13"/>
  <c r="C82" i="13" s="1"/>
  <c r="L82" i="13" s="1"/>
  <c r="AD55" i="13"/>
  <c r="G81" i="13" s="1"/>
  <c r="R54" i="9"/>
  <c r="T54" i="9" s="1"/>
  <c r="H81" i="9" s="1"/>
  <c r="N52" i="9"/>
  <c r="K51" i="13"/>
  <c r="I55" i="13"/>
  <c r="H55" i="13"/>
  <c r="AD18" i="13"/>
  <c r="AD12" i="13"/>
  <c r="AD34" i="13"/>
  <c r="G77" i="13" s="1"/>
  <c r="N45" i="9"/>
  <c r="AD39" i="13"/>
  <c r="H78" i="13" s="1"/>
  <c r="AE34" i="13"/>
  <c r="I77" i="13" s="1"/>
  <c r="R67" i="13"/>
  <c r="V67" i="13"/>
  <c r="O67" i="13"/>
  <c r="S67" i="13"/>
  <c r="W67" i="13"/>
  <c r="N40" i="9"/>
  <c r="B78" i="13"/>
  <c r="G33" i="9"/>
  <c r="H86" i="1"/>
  <c r="E86" i="1"/>
  <c r="M85" i="1"/>
  <c r="D86" i="1"/>
  <c r="F86" i="1"/>
  <c r="G86" i="1"/>
  <c r="T3" i="1"/>
  <c r="V3" i="1" s="1"/>
  <c r="H90" i="1" s="1"/>
  <c r="T8" i="1"/>
  <c r="V8" i="1" s="1"/>
  <c r="H91" i="1" s="1"/>
  <c r="O14" i="1"/>
  <c r="J15" i="1"/>
  <c r="J85" i="1" s="1"/>
  <c r="Q20" i="1"/>
  <c r="S20" i="1" s="1"/>
  <c r="G93" i="1" s="1"/>
  <c r="E94" i="1"/>
  <c r="T26" i="1"/>
  <c r="V26" i="1" s="1"/>
  <c r="H94" i="1" s="1"/>
  <c r="H106" i="1" s="1" a="1"/>
  <c r="H106" i="1" s="1"/>
  <c r="O33" i="1"/>
  <c r="Q44" i="1"/>
  <c r="S44" i="1" s="1"/>
  <c r="G97" i="1" s="1"/>
  <c r="Q3" i="1"/>
  <c r="S3" i="1" s="1"/>
  <c r="G90" i="1" s="1"/>
  <c r="N3" i="1"/>
  <c r="P3" i="1" s="1"/>
  <c r="Q8" i="1"/>
  <c r="S8" i="1" s="1"/>
  <c r="G91" i="1" s="1"/>
  <c r="T14" i="1"/>
  <c r="V14" i="1" s="1"/>
  <c r="H92" i="1" s="1"/>
  <c r="K15" i="1"/>
  <c r="B106" i="1"/>
  <c r="B111" i="1"/>
  <c r="D93" i="1"/>
  <c r="Q26" i="1"/>
  <c r="S26" i="1" s="1"/>
  <c r="G94" i="1" s="1"/>
  <c r="T33" i="1"/>
  <c r="V33" i="1" s="1"/>
  <c r="H95" i="1" s="1"/>
  <c r="T44" i="1"/>
  <c r="V44" i="1" s="1"/>
  <c r="H97" i="1" s="1"/>
  <c r="Q56" i="1"/>
  <c r="S56" i="1" s="1"/>
  <c r="G99" i="1" s="1"/>
  <c r="E98" i="1"/>
  <c r="F98" i="1" s="1"/>
  <c r="I98" i="1" s="1"/>
  <c r="T62" i="1"/>
  <c r="V62" i="1" s="1"/>
  <c r="H100" i="1" s="1"/>
  <c r="B110" i="1"/>
  <c r="D90" i="1"/>
  <c r="C110" i="1"/>
  <c r="O3" i="1"/>
  <c r="D91" i="1"/>
  <c r="F91" i="1" s="1"/>
  <c r="I91" i="1" s="1"/>
  <c r="Q14" i="1"/>
  <c r="S14" i="1" s="1"/>
  <c r="G92" i="1" s="1"/>
  <c r="L15" i="1"/>
  <c r="O20" i="1"/>
  <c r="P20" i="1" s="1"/>
  <c r="D94" i="1"/>
  <c r="F94" i="1" s="1"/>
  <c r="I94" i="1" s="1"/>
  <c r="Q33" i="1"/>
  <c r="S33" i="1" s="1"/>
  <c r="G95" i="1" s="1"/>
  <c r="O39" i="1"/>
  <c r="P39" i="1" s="1"/>
  <c r="D97" i="1"/>
  <c r="N44" i="1"/>
  <c r="P44" i="1" s="1"/>
  <c r="D100" i="1"/>
  <c r="O62" i="1"/>
  <c r="D104" i="1"/>
  <c r="F104" i="1" s="1"/>
  <c r="I104" i="1" s="1"/>
  <c r="O8" i="1"/>
  <c r="P8" i="1" s="1"/>
  <c r="N14" i="1"/>
  <c r="P14" i="1" s="1"/>
  <c r="O26" i="1"/>
  <c r="P26" i="1" s="1"/>
  <c r="N33" i="1"/>
  <c r="P33" i="1" s="1"/>
  <c r="O44" i="1"/>
  <c r="E97" i="1"/>
  <c r="E106" i="1" s="1"/>
  <c r="Q50" i="1"/>
  <c r="S50" i="1" s="1"/>
  <c r="G98" i="1" s="1"/>
  <c r="O50" i="1"/>
  <c r="P50" i="1" s="1"/>
  <c r="O56" i="1"/>
  <c r="P56" i="1" s="1"/>
  <c r="N62" i="1"/>
  <c r="P62" i="1" s="1"/>
  <c r="Q68" i="1"/>
  <c r="S68" i="1" s="1"/>
  <c r="G101" i="1" s="1"/>
  <c r="Q73" i="1"/>
  <c r="S73" i="1" s="1"/>
  <c r="G102" i="1" s="1"/>
  <c r="Q79" i="1"/>
  <c r="S79" i="1" s="1"/>
  <c r="G103" i="1" s="1"/>
  <c r="T84" i="1"/>
  <c r="V84" i="1" s="1"/>
  <c r="H104" i="1" s="1"/>
  <c r="E100" i="1"/>
  <c r="C101" i="1"/>
  <c r="C106" i="1" s="1"/>
  <c r="C103" i="1"/>
  <c r="D103" i="1" s="1"/>
  <c r="F103" i="1" s="1"/>
  <c r="I103" i="1" s="1"/>
  <c r="AG6" i="9"/>
  <c r="AI6" i="9" s="1"/>
  <c r="L72" i="9" s="1"/>
  <c r="N7" i="9"/>
  <c r="G17" i="9"/>
  <c r="AH17" i="9"/>
  <c r="K74" i="9" s="1"/>
  <c r="N74" i="9" s="1"/>
  <c r="H79" i="13"/>
  <c r="G79" i="13"/>
  <c r="AE50" i="13"/>
  <c r="I80" i="13" s="1"/>
  <c r="G82" i="13"/>
  <c r="N68" i="1"/>
  <c r="P68" i="1" s="1"/>
  <c r="N73" i="1"/>
  <c r="N79" i="1"/>
  <c r="P79" i="1" s="1"/>
  <c r="G6" i="9"/>
  <c r="N4" i="9"/>
  <c r="E72" i="9"/>
  <c r="G11" i="9"/>
  <c r="F66" i="9"/>
  <c r="R11" i="9"/>
  <c r="T11" i="9" s="1"/>
  <c r="H73" i="9" s="1"/>
  <c r="AE29" i="13"/>
  <c r="I76" i="13" s="1"/>
  <c r="AE45" i="13"/>
  <c r="I79" i="13" s="1"/>
  <c r="H80" i="13"/>
  <c r="G80" i="13"/>
  <c r="O73" i="1"/>
  <c r="C102" i="1"/>
  <c r="D102" i="1" s="1"/>
  <c r="F102" i="1" s="1"/>
  <c r="I102" i="1" s="1"/>
  <c r="C104" i="1"/>
  <c r="N2" i="9"/>
  <c r="N5" i="9"/>
  <c r="R6" i="9"/>
  <c r="T6" i="9" s="1"/>
  <c r="H72" i="9" s="1"/>
  <c r="AG11" i="9"/>
  <c r="AI11" i="9" s="1"/>
  <c r="L73" i="9" s="1"/>
  <c r="M73" i="9" s="1"/>
  <c r="N13" i="9"/>
  <c r="N16" i="9"/>
  <c r="H72" i="13"/>
  <c r="G72" i="13"/>
  <c r="AE18" i="13"/>
  <c r="I74" i="13" s="1"/>
  <c r="AE39" i="13"/>
  <c r="I78" i="13" s="1"/>
  <c r="O6" i="9"/>
  <c r="Q6" i="9" s="1"/>
  <c r="G72" i="9" s="1"/>
  <c r="J72" i="13"/>
  <c r="H73" i="13"/>
  <c r="J73" i="13" s="1"/>
  <c r="G73" i="13"/>
  <c r="G74" i="13"/>
  <c r="G78" i="13"/>
  <c r="N29" i="9"/>
  <c r="N32" i="9"/>
  <c r="G60" i="9"/>
  <c r="N57" i="9"/>
  <c r="N61" i="9"/>
  <c r="O65" i="9"/>
  <c r="Q65" i="9" s="1"/>
  <c r="G83" i="9" s="1"/>
  <c r="I12" i="13"/>
  <c r="I39" i="13"/>
  <c r="I66" i="13"/>
  <c r="B81" i="13"/>
  <c r="M49" i="9"/>
  <c r="AI49" i="9"/>
  <c r="L80" i="9" s="1"/>
  <c r="M80" i="9" s="1"/>
  <c r="G54" i="9"/>
  <c r="L60" i="9"/>
  <c r="C83" i="9"/>
  <c r="I7" i="13"/>
  <c r="I50" i="13"/>
  <c r="Y67" i="13"/>
  <c r="B73" i="13"/>
  <c r="B80" i="13"/>
  <c r="F66" i="14"/>
  <c r="O17" i="9"/>
  <c r="Q17" i="9" s="1"/>
  <c r="G74" i="9" s="1"/>
  <c r="AH22" i="9"/>
  <c r="K75" i="9" s="1"/>
  <c r="N34" i="9"/>
  <c r="N39" i="9"/>
  <c r="N41" i="9"/>
  <c r="N43" i="9"/>
  <c r="N50" i="9"/>
  <c r="N55" i="9"/>
  <c r="N59" i="9"/>
  <c r="M60" i="9"/>
  <c r="N63" i="9"/>
  <c r="I61" i="13"/>
  <c r="B72" i="13"/>
  <c r="K72" i="13" s="1"/>
  <c r="B79" i="13"/>
  <c r="K79" i="13" s="1"/>
  <c r="N26" i="9"/>
  <c r="AH28" i="9"/>
  <c r="K76" i="9" s="1"/>
  <c r="N76" i="9" s="1"/>
  <c r="AH33" i="9"/>
  <c r="K77" i="9" s="1"/>
  <c r="N82" i="9"/>
  <c r="R65" i="9"/>
  <c r="T65" i="9" s="1"/>
  <c r="H83" i="9" s="1"/>
  <c r="AD23" i="13"/>
  <c r="G75" i="13" s="1"/>
  <c r="AD29" i="13"/>
  <c r="G76" i="13" s="1"/>
  <c r="L67" i="13"/>
  <c r="R33" i="9"/>
  <c r="T33" i="9" s="1"/>
  <c r="H77" i="9" s="1"/>
  <c r="AG28" i="9"/>
  <c r="AI28" i="9" s="1"/>
  <c r="L76" i="9" s="1"/>
  <c r="I34" i="13"/>
  <c r="AE23" i="13"/>
  <c r="I75" i="13" s="1"/>
  <c r="N27" i="9"/>
  <c r="I33" i="14"/>
  <c r="F76" i="14" s="1"/>
  <c r="G76" i="14" s="1"/>
  <c r="I65" i="14"/>
  <c r="I54" i="14"/>
  <c r="F80" i="14" s="1"/>
  <c r="G80" i="14" s="1"/>
  <c r="I38" i="14"/>
  <c r="F77" i="14" s="1"/>
  <c r="K77" i="14" s="1"/>
  <c r="I44" i="14"/>
  <c r="F78" i="14" s="1"/>
  <c r="I49" i="14"/>
  <c r="F79" i="14" s="1"/>
  <c r="G79" i="14" s="1"/>
  <c r="I60" i="14"/>
  <c r="F81" i="14" s="1"/>
  <c r="G81" i="14" s="1"/>
  <c r="I6" i="14"/>
  <c r="F71" i="14" s="1"/>
  <c r="K71" i="14" s="1"/>
  <c r="I28" i="14"/>
  <c r="F75" i="14" s="1"/>
  <c r="G75" i="14" s="1"/>
  <c r="C61" i="14"/>
  <c r="C58" i="14"/>
  <c r="C51" i="14"/>
  <c r="C48" i="14"/>
  <c r="C41" i="14"/>
  <c r="C34" i="14"/>
  <c r="C31" i="14"/>
  <c r="C24" i="14"/>
  <c r="C19" i="14"/>
  <c r="C14" i="14"/>
  <c r="C9" i="14"/>
  <c r="C4" i="14"/>
  <c r="C3" i="14"/>
  <c r="C37" i="14"/>
  <c r="C23" i="14"/>
  <c r="C13" i="14"/>
  <c r="C8" i="14"/>
  <c r="C62" i="14"/>
  <c r="C59" i="14"/>
  <c r="C55" i="14"/>
  <c r="C52" i="14"/>
  <c r="C45" i="14"/>
  <c r="C42" i="14"/>
  <c r="C35" i="14"/>
  <c r="C32" i="14"/>
  <c r="C25" i="14"/>
  <c r="C20" i="14"/>
  <c r="C15" i="14"/>
  <c r="C10" i="14"/>
  <c r="C5" i="14"/>
  <c r="C27" i="14"/>
  <c r="C2" i="14"/>
  <c r="C63" i="14"/>
  <c r="C56" i="14"/>
  <c r="C53" i="14"/>
  <c r="C46" i="14"/>
  <c r="C43" i="14"/>
  <c r="C39" i="14"/>
  <c r="C36" i="14"/>
  <c r="C29" i="14"/>
  <c r="C26" i="14"/>
  <c r="C21" i="14"/>
  <c r="C16" i="14"/>
  <c r="C12" i="14"/>
  <c r="C7" i="14"/>
  <c r="C64" i="14"/>
  <c r="C57" i="14"/>
  <c r="C50" i="14"/>
  <c r="C47" i="14"/>
  <c r="C40" i="14"/>
  <c r="C30" i="14"/>
  <c r="C18" i="14"/>
  <c r="H66" i="14"/>
  <c r="K81" i="14"/>
  <c r="K66" i="14"/>
  <c r="I17" i="14"/>
  <c r="F73" i="14" s="1"/>
  <c r="I22" i="14"/>
  <c r="F74" i="14" s="1"/>
  <c r="G74" i="14" s="1"/>
  <c r="I11" i="14"/>
  <c r="F72" i="14" s="1"/>
  <c r="G72" i="14" s="1"/>
  <c r="K78" i="14"/>
  <c r="H85" i="14"/>
  <c r="H84" i="14"/>
  <c r="I85" i="14"/>
  <c r="K76" i="14"/>
  <c r="J66" i="14"/>
  <c r="G78" i="14"/>
  <c r="I84" i="14"/>
  <c r="B66" i="14"/>
  <c r="G66" i="14"/>
  <c r="E66" i="14"/>
  <c r="G28" i="9"/>
  <c r="D74" i="9"/>
  <c r="D76" i="9"/>
  <c r="R44" i="9"/>
  <c r="T44" i="9" s="1"/>
  <c r="H79" i="9" s="1"/>
  <c r="E79" i="9"/>
  <c r="E80" i="9"/>
  <c r="AI60" i="9"/>
  <c r="L82" i="9" s="1"/>
  <c r="M82" i="9" s="1"/>
  <c r="D66" i="9"/>
  <c r="D72" i="9"/>
  <c r="F72" i="9" s="1"/>
  <c r="L6" i="9"/>
  <c r="X66" i="9"/>
  <c r="AB66" i="9"/>
  <c r="AF66" i="9"/>
  <c r="O28" i="9"/>
  <c r="Q28" i="9" s="1"/>
  <c r="G76" i="9" s="1"/>
  <c r="D77" i="9"/>
  <c r="F77" i="9" s="1"/>
  <c r="N77" i="9"/>
  <c r="L33" i="9"/>
  <c r="L38" i="9"/>
  <c r="R38" i="9"/>
  <c r="T38" i="9" s="1"/>
  <c r="H78" i="9" s="1"/>
  <c r="E78" i="9"/>
  <c r="O44" i="9"/>
  <c r="Q44" i="9" s="1"/>
  <c r="G79" i="9" s="1"/>
  <c r="M28" i="9"/>
  <c r="M44" i="9"/>
  <c r="O49" i="9"/>
  <c r="Q49" i="9" s="1"/>
  <c r="G80" i="9" s="1"/>
  <c r="E66" i="9"/>
  <c r="M6" i="9"/>
  <c r="U66" i="9"/>
  <c r="Y66" i="9"/>
  <c r="AC66" i="9"/>
  <c r="H66" i="9"/>
  <c r="B73" i="9"/>
  <c r="B85" i="9" s="1"/>
  <c r="M33" i="9"/>
  <c r="M38" i="9"/>
  <c r="N80" i="9"/>
  <c r="D81" i="9"/>
  <c r="N81" i="9"/>
  <c r="L54" i="9"/>
  <c r="D82" i="9"/>
  <c r="O11" i="9"/>
  <c r="Q11" i="9" s="1"/>
  <c r="G73" i="9" s="1"/>
  <c r="E73" i="9"/>
  <c r="AI44" i="9"/>
  <c r="L79" i="9" s="1"/>
  <c r="M79" i="9" s="1"/>
  <c r="B66" i="9"/>
  <c r="V66" i="9"/>
  <c r="Z66" i="9"/>
  <c r="AH6" i="9"/>
  <c r="K72" i="9" s="1"/>
  <c r="N8" i="9"/>
  <c r="N12" i="9"/>
  <c r="M17" i="9"/>
  <c r="N21" i="9"/>
  <c r="O22" i="9"/>
  <c r="Q22" i="9" s="1"/>
  <c r="G75" i="9" s="1"/>
  <c r="E75" i="9"/>
  <c r="E76" i="9"/>
  <c r="O33" i="9"/>
  <c r="Q33" i="9" s="1"/>
  <c r="G77" i="9" s="1"/>
  <c r="N79" i="9"/>
  <c r="D79" i="9"/>
  <c r="L44" i="9"/>
  <c r="R49" i="9"/>
  <c r="T49" i="9" s="1"/>
  <c r="H80" i="9" s="1"/>
  <c r="N51" i="9"/>
  <c r="N53" i="9"/>
  <c r="M54" i="9"/>
  <c r="E82" i="9"/>
  <c r="O60" i="9"/>
  <c r="Q60" i="9" s="1"/>
  <c r="G82" i="9" s="1"/>
  <c r="D83" i="9"/>
  <c r="F83" i="9" s="1"/>
  <c r="L65" i="9"/>
  <c r="N65" i="9" s="1"/>
  <c r="AH65" i="9"/>
  <c r="K83" i="9" s="1"/>
  <c r="M83" i="9" s="1"/>
  <c r="D80" i="9"/>
  <c r="E81" i="9"/>
  <c r="C78" i="9"/>
  <c r="D78" i="9" s="1"/>
  <c r="I29" i="13"/>
  <c r="B76" i="13"/>
  <c r="D67" i="13"/>
  <c r="I67" i="13" s="1"/>
  <c r="R28" i="9"/>
  <c r="T28" i="9" s="1"/>
  <c r="H76" i="9" s="1"/>
  <c r="L28" i="9"/>
  <c r="C66" i="9"/>
  <c r="K73" i="14"/>
  <c r="G73" i="14"/>
  <c r="AE66" i="9"/>
  <c r="AG22" i="9"/>
  <c r="AI22" i="9" s="1"/>
  <c r="L75" i="9" s="1"/>
  <c r="M75" i="9" s="1"/>
  <c r="D66" i="14"/>
  <c r="C84" i="14"/>
  <c r="C85" i="14"/>
  <c r="R22" i="9"/>
  <c r="T22" i="9" s="1"/>
  <c r="H75" i="9" s="1"/>
  <c r="N67" i="13"/>
  <c r="B75" i="13"/>
  <c r="I23" i="13"/>
  <c r="L22" i="9"/>
  <c r="I66" i="9"/>
  <c r="S66" i="9" s="1"/>
  <c r="C75" i="9"/>
  <c r="M22" i="9"/>
  <c r="E67" i="13"/>
  <c r="E86" i="13"/>
  <c r="E85" i="13"/>
  <c r="M67" i="13"/>
  <c r="J66" i="9"/>
  <c r="N73" i="9"/>
  <c r="L11" i="9"/>
  <c r="M11" i="9"/>
  <c r="D73" i="9"/>
  <c r="B86" i="9"/>
  <c r="E74" i="9"/>
  <c r="L17" i="9"/>
  <c r="R17" i="9"/>
  <c r="T17" i="9" s="1"/>
  <c r="H74" i="9" s="1"/>
  <c r="M77" i="9" l="1"/>
  <c r="M76" i="9"/>
  <c r="L86" i="9"/>
  <c r="N17" i="9"/>
  <c r="F74" i="9"/>
  <c r="O74" i="9" s="1"/>
  <c r="H83" i="13"/>
  <c r="J83" i="13" s="1"/>
  <c r="K82" i="13"/>
  <c r="M82" i="13" s="1"/>
  <c r="H67" i="13"/>
  <c r="K67" i="13" s="1"/>
  <c r="C79" i="13"/>
  <c r="L79" i="13" s="1"/>
  <c r="M79" i="13" s="1"/>
  <c r="K45" i="13"/>
  <c r="C78" i="13"/>
  <c r="D78" i="13" s="1"/>
  <c r="K39" i="13"/>
  <c r="C77" i="13"/>
  <c r="K34" i="13"/>
  <c r="C76" i="13"/>
  <c r="L76" i="13" s="1"/>
  <c r="K29" i="13"/>
  <c r="C75" i="13"/>
  <c r="L75" i="13" s="1"/>
  <c r="K23" i="13"/>
  <c r="C74" i="13"/>
  <c r="K18" i="13"/>
  <c r="C73" i="13"/>
  <c r="L73" i="13" s="1"/>
  <c r="M73" i="13" s="1"/>
  <c r="K12" i="13"/>
  <c r="F82" i="9"/>
  <c r="I82" i="9" s="1"/>
  <c r="N49" i="9"/>
  <c r="D82" i="13"/>
  <c r="K61" i="13"/>
  <c r="K83" i="13"/>
  <c r="C83" i="13"/>
  <c r="K66" i="13"/>
  <c r="D72" i="13"/>
  <c r="H81" i="13"/>
  <c r="J81" i="13" s="1"/>
  <c r="C81" i="13"/>
  <c r="L81" i="13" s="1"/>
  <c r="K55" i="13"/>
  <c r="J79" i="13"/>
  <c r="H77" i="13"/>
  <c r="K77" i="13" s="1"/>
  <c r="H75" i="13"/>
  <c r="J75" i="13" s="1"/>
  <c r="AD67" i="13"/>
  <c r="H74" i="13"/>
  <c r="J74" i="13" s="1"/>
  <c r="K74" i="13"/>
  <c r="K73" i="13"/>
  <c r="G86" i="13"/>
  <c r="J78" i="13"/>
  <c r="C80" i="13"/>
  <c r="K50" i="13"/>
  <c r="AE67" i="13"/>
  <c r="I86" i="13"/>
  <c r="K78" i="13"/>
  <c r="G66" i="9"/>
  <c r="AG66" i="9"/>
  <c r="F80" i="9"/>
  <c r="I80" i="9" s="1"/>
  <c r="N83" i="9"/>
  <c r="F79" i="9"/>
  <c r="O79" i="9" s="1"/>
  <c r="P79" i="9" s="1"/>
  <c r="F81" i="9"/>
  <c r="O81" i="9" s="1"/>
  <c r="P81" i="9" s="1"/>
  <c r="AH66" i="9"/>
  <c r="N78" i="9"/>
  <c r="G71" i="14"/>
  <c r="G84" i="14" s="1"/>
  <c r="F82" i="14"/>
  <c r="I66" i="14"/>
  <c r="G85" i="13"/>
  <c r="K80" i="13"/>
  <c r="F100" i="1"/>
  <c r="I100" i="1" s="1"/>
  <c r="C111" i="1"/>
  <c r="N38" i="9"/>
  <c r="H76" i="13"/>
  <c r="J76" i="13" s="1"/>
  <c r="E111" i="1"/>
  <c r="L85" i="1"/>
  <c r="Q85" i="1" s="1"/>
  <c r="S85" i="1" s="1"/>
  <c r="G111" i="1" s="1"/>
  <c r="Q15" i="1"/>
  <c r="S15" i="1" s="1"/>
  <c r="G110" i="1" s="1"/>
  <c r="G106" i="1" a="1"/>
  <c r="G106" i="1" s="1"/>
  <c r="N15" i="1"/>
  <c r="F78" i="9"/>
  <c r="O78" i="9" s="1"/>
  <c r="P78" i="9" s="1"/>
  <c r="N54" i="9"/>
  <c r="N60" i="9"/>
  <c r="L78" i="13"/>
  <c r="P73" i="1"/>
  <c r="J80" i="13"/>
  <c r="D101" i="1"/>
  <c r="F101" i="1" s="1"/>
  <c r="I101" i="1" s="1"/>
  <c r="F97" i="1"/>
  <c r="I97" i="1" s="1"/>
  <c r="D110" i="1"/>
  <c r="F90" i="1"/>
  <c r="K85" i="1"/>
  <c r="N85" i="1" s="1"/>
  <c r="O15" i="1"/>
  <c r="T15" i="1"/>
  <c r="V15" i="1" s="1"/>
  <c r="H110" i="1" s="1"/>
  <c r="F93" i="1"/>
  <c r="D106" i="1"/>
  <c r="T85" i="1"/>
  <c r="K75" i="14"/>
  <c r="K80" i="14"/>
  <c r="G77" i="14"/>
  <c r="K72" i="14"/>
  <c r="F85" i="14"/>
  <c r="K79" i="14"/>
  <c r="K74" i="14"/>
  <c r="C11" i="14"/>
  <c r="B72" i="14" s="1"/>
  <c r="F84" i="14"/>
  <c r="C22" i="14"/>
  <c r="B74" i="14" s="1"/>
  <c r="D74" i="14" s="1"/>
  <c r="C54" i="14"/>
  <c r="B80" i="14" s="1"/>
  <c r="J80" i="14" s="1"/>
  <c r="C17" i="14"/>
  <c r="B73" i="14" s="1"/>
  <c r="D73" i="14" s="1"/>
  <c r="C33" i="14"/>
  <c r="B76" i="14" s="1"/>
  <c r="J76" i="14" s="1"/>
  <c r="L76" i="14" s="1"/>
  <c r="C6" i="14"/>
  <c r="B71" i="14" s="1"/>
  <c r="C60" i="14"/>
  <c r="B81" i="14" s="1"/>
  <c r="C28" i="14"/>
  <c r="B75" i="14" s="1"/>
  <c r="C44" i="14"/>
  <c r="B78" i="14" s="1"/>
  <c r="C49" i="14"/>
  <c r="B79" i="14" s="1"/>
  <c r="C38" i="14"/>
  <c r="B77" i="14" s="1"/>
  <c r="C65" i="14"/>
  <c r="B82" i="14" s="1"/>
  <c r="N28" i="9"/>
  <c r="O66" i="9"/>
  <c r="Q66" i="9" s="1"/>
  <c r="G86" i="9" s="1"/>
  <c r="AI66" i="9"/>
  <c r="K86" i="9"/>
  <c r="N33" i="9"/>
  <c r="N6" i="9"/>
  <c r="F76" i="9"/>
  <c r="E86" i="9"/>
  <c r="I83" i="9"/>
  <c r="O83" i="9"/>
  <c r="P83" i="9" s="1"/>
  <c r="N44" i="9"/>
  <c r="N72" i="9"/>
  <c r="O77" i="9"/>
  <c r="P77" i="9" s="1"/>
  <c r="I77" i="9"/>
  <c r="O72" i="9"/>
  <c r="I72" i="9"/>
  <c r="J72" i="9" s="1" a="1"/>
  <c r="J72" i="9" s="1"/>
  <c r="M72" i="9"/>
  <c r="D76" i="13"/>
  <c r="B86" i="13"/>
  <c r="B85" i="13"/>
  <c r="K75" i="13"/>
  <c r="C85" i="9"/>
  <c r="D75" i="9"/>
  <c r="F75" i="9" s="1"/>
  <c r="C86" i="9"/>
  <c r="N75" i="9"/>
  <c r="L66" i="9"/>
  <c r="M66" i="9"/>
  <c r="R66" i="9"/>
  <c r="T66" i="9" s="1"/>
  <c r="H86" i="9" s="1"/>
  <c r="N22" i="9"/>
  <c r="E85" i="9"/>
  <c r="F73" i="9"/>
  <c r="N11" i="9"/>
  <c r="I74" i="9"/>
  <c r="M86" i="9" l="1"/>
  <c r="O82" i="9"/>
  <c r="P82" i="9" s="1"/>
  <c r="I79" i="9"/>
  <c r="D79" i="13"/>
  <c r="D81" i="13"/>
  <c r="L77" i="13"/>
  <c r="M77" i="13" s="1"/>
  <c r="D77" i="13"/>
  <c r="M75" i="13"/>
  <c r="D75" i="13"/>
  <c r="D74" i="13"/>
  <c r="L74" i="13"/>
  <c r="M74" i="13" s="1"/>
  <c r="D73" i="13"/>
  <c r="I78" i="9"/>
  <c r="C85" i="13"/>
  <c r="I81" i="9"/>
  <c r="O80" i="9"/>
  <c r="P80" i="9" s="1"/>
  <c r="D83" i="13"/>
  <c r="L83" i="13"/>
  <c r="M83" i="13" s="1"/>
  <c r="K81" i="13"/>
  <c r="M81" i="13" s="1"/>
  <c r="J77" i="13"/>
  <c r="K76" i="13"/>
  <c r="M76" i="13" s="1"/>
  <c r="H86" i="13"/>
  <c r="J86" i="13" s="1"/>
  <c r="H85" i="13"/>
  <c r="D80" i="13"/>
  <c r="C86" i="13"/>
  <c r="L80" i="13"/>
  <c r="F86" i="9"/>
  <c r="I86" i="9" s="1"/>
  <c r="F85" i="9"/>
  <c r="M78" i="13"/>
  <c r="D86" i="9"/>
  <c r="P72" i="9"/>
  <c r="I90" i="1"/>
  <c r="F110" i="1"/>
  <c r="I110" i="1" s="1"/>
  <c r="D85" i="9"/>
  <c r="D111" i="1"/>
  <c r="P15" i="1"/>
  <c r="K82" i="14"/>
  <c r="K85" i="14" s="1"/>
  <c r="G82" i="14"/>
  <c r="F106" i="1"/>
  <c r="F111" i="1"/>
  <c r="I111" i="1" s="1"/>
  <c r="I93" i="1"/>
  <c r="I106" i="1" s="1" a="1"/>
  <c r="I106" i="1" s="1"/>
  <c r="U85" i="1"/>
  <c r="V85" i="1" s="1"/>
  <c r="H111" i="1" s="1"/>
  <c r="O85" i="1"/>
  <c r="P85" i="1" s="1"/>
  <c r="L80" i="14"/>
  <c r="J73" i="14"/>
  <c r="L73" i="14" s="1"/>
  <c r="J74" i="14"/>
  <c r="L74" i="14" s="1"/>
  <c r="D80" i="14"/>
  <c r="D76" i="14"/>
  <c r="B84" i="14"/>
  <c r="D81" i="14"/>
  <c r="J81" i="14"/>
  <c r="L81" i="14" s="1"/>
  <c r="J72" i="14"/>
  <c r="L72" i="14" s="1"/>
  <c r="D72" i="14"/>
  <c r="D71" i="14"/>
  <c r="J71" i="14"/>
  <c r="L71" i="14" s="1"/>
  <c r="D79" i="14"/>
  <c r="J79" i="14"/>
  <c r="L79" i="14" s="1"/>
  <c r="D82" i="14"/>
  <c r="J82" i="14"/>
  <c r="L82" i="14" s="1"/>
  <c r="J78" i="14"/>
  <c r="L78" i="14" s="1"/>
  <c r="D78" i="14"/>
  <c r="J75" i="14"/>
  <c r="L75" i="14" s="1"/>
  <c r="D75" i="14"/>
  <c r="C66" i="14"/>
  <c r="B85" i="14"/>
  <c r="J77" i="14"/>
  <c r="L77" i="14" s="1"/>
  <c r="D77" i="14"/>
  <c r="N66" i="9"/>
  <c r="N86" i="9"/>
  <c r="O76" i="9"/>
  <c r="P76" i="9" s="1"/>
  <c r="I76" i="9"/>
  <c r="K86" i="13"/>
  <c r="I75" i="9"/>
  <c r="O75" i="9"/>
  <c r="P75" i="9" s="1"/>
  <c r="I73" i="9"/>
  <c r="J73" i="9" s="1"/>
  <c r="O73" i="9"/>
  <c r="P73" i="9" s="1"/>
  <c r="P74" i="9"/>
  <c r="D85" i="13" l="1"/>
  <c r="L86" i="13"/>
  <c r="M86" i="13" s="1"/>
  <c r="K84" i="14"/>
  <c r="J81" i="9"/>
  <c r="D86" i="13"/>
  <c r="J78" i="9"/>
  <c r="J82" i="9"/>
  <c r="J79" i="9"/>
  <c r="J80" i="9"/>
  <c r="J83" i="9"/>
  <c r="M80" i="13"/>
  <c r="J74" i="9"/>
  <c r="J103" i="1" a="1"/>
  <c r="J103" i="1" s="1"/>
  <c r="J101" i="1" a="1"/>
  <c r="J101" i="1" s="1"/>
  <c r="J99" i="1" a="1"/>
  <c r="J99" i="1" s="1"/>
  <c r="J97" i="1" a="1"/>
  <c r="J97" i="1" s="1"/>
  <c r="J93" i="1"/>
  <c r="J96" i="1"/>
  <c r="J92" i="1"/>
  <c r="J104" i="1" a="1"/>
  <c r="J104" i="1" s="1"/>
  <c r="J102" i="1" a="1"/>
  <c r="J102" i="1" s="1"/>
  <c r="J100" i="1" a="1"/>
  <c r="J100" i="1" s="1"/>
  <c r="J98" i="1" a="1"/>
  <c r="J98" i="1" s="1"/>
  <c r="J95" i="1"/>
  <c r="J91" i="1"/>
  <c r="J94" i="1"/>
  <c r="J90" i="1"/>
  <c r="J75" i="9"/>
  <c r="J77" i="9"/>
  <c r="D84" i="14"/>
  <c r="L84" i="14"/>
  <c r="J84" i="14"/>
  <c r="J85" i="14"/>
  <c r="L85" i="14" s="1"/>
  <c r="J76" i="9"/>
  <c r="O86" i="9"/>
  <c r="P86" i="9" s="1"/>
  <c r="I71" i="18" l="1"/>
  <c r="J71" i="18" l="1"/>
  <c r="I85" i="18"/>
  <c r="J85" i="18" s="1"/>
  <c r="L71" i="18"/>
  <c r="M71" i="18" l="1"/>
  <c r="L85" i="18"/>
  <c r="M85" i="18" s="1"/>
  <c r="G6" i="19"/>
  <c r="G66" i="19" s="1"/>
  <c r="H65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Wilmot</author>
    <author>Erin Blaney</author>
  </authors>
  <commentList>
    <comment ref="I37" authorId="0" shapeId="0" xr:uid="{C2C11CFE-B761-4BB3-80B3-21554F246CCD}">
      <text>
        <r>
          <rPr>
            <b/>
            <sz val="9"/>
            <color indexed="81"/>
            <rFont val="Tahoma"/>
            <family val="2"/>
          </rPr>
          <t>Sarah Wilmot:</t>
        </r>
        <r>
          <rPr>
            <sz val="9"/>
            <color indexed="81"/>
            <rFont val="Tahoma"/>
            <family val="2"/>
          </rPr>
          <t xml:space="preserve">
In Erin's spreadsheet, this is just 4 total, no breakdown. I made an assumption about the breakdown.</t>
        </r>
      </text>
    </comment>
    <comment ref="I40" authorId="0" shapeId="0" xr:uid="{A13F06AA-4160-4B72-8B46-DAFD18603290}">
      <text>
        <r>
          <rPr>
            <b/>
            <sz val="9"/>
            <color indexed="81"/>
            <rFont val="Tahoma"/>
            <family val="2"/>
          </rPr>
          <t>Sarah Wilmot:</t>
        </r>
        <r>
          <rPr>
            <sz val="9"/>
            <color indexed="81"/>
            <rFont val="Tahoma"/>
            <family val="2"/>
          </rPr>
          <t xml:space="preserve">
In Erin's spreadsheet, this is just 4 total, no breakdown. I made an assumption about the breakdown.</t>
        </r>
      </text>
    </comment>
    <comment ref="A54" authorId="1" shapeId="0" xr:uid="{BF518316-C7B9-4B5B-AA66-25BB97D33FC4}">
      <text>
        <r>
          <rPr>
            <b/>
            <sz val="9"/>
            <color indexed="81"/>
            <rFont val="Tahoma"/>
            <family val="2"/>
          </rPr>
          <t>Erin Blaney:</t>
        </r>
        <r>
          <rPr>
            <sz val="9"/>
            <color indexed="81"/>
            <rFont val="Tahoma"/>
            <family val="2"/>
          </rPr>
          <t xml:space="preserve">
No pick-up service form Bandstra</t>
        </r>
      </text>
    </comment>
    <comment ref="J89" authorId="0" shapeId="0" xr:uid="{7EDBDA2A-8C7A-445C-AA3D-0E254339514F}">
      <text>
        <r>
          <rPr>
            <b/>
            <sz val="9"/>
            <color indexed="81"/>
            <rFont val="Tahoma"/>
            <family val="2"/>
          </rPr>
          <t>Sarah Wilmot:</t>
        </r>
        <r>
          <rPr>
            <sz val="9"/>
            <color indexed="81"/>
            <rFont val="Tahoma"/>
            <family val="2"/>
          </rPr>
          <t xml:space="preserve">
This one changes each month; it's the average of all data up to and including each month</t>
        </r>
      </text>
    </comment>
    <comment ref="G94" authorId="0" shapeId="0" xr:uid="{5FF8BCD5-E357-4C92-8635-844560A3C955}">
      <text>
        <r>
          <rPr>
            <b/>
            <sz val="9"/>
            <color indexed="81"/>
            <rFont val="Tahoma"/>
            <family val="2"/>
          </rPr>
          <t>Sarah Wilmot:</t>
        </r>
        <r>
          <rPr>
            <sz val="9"/>
            <color indexed="81"/>
            <rFont val="Tahoma"/>
            <family val="2"/>
          </rPr>
          <t xml:space="preserve">
This month DYP did not report any OCC, so cost per tonne cannot be calculated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Blaney</author>
  </authors>
  <commentList>
    <comment ref="B27" authorId="0" shapeId="0" xr:uid="{F59E03EA-1985-407A-8716-9DD5E4B230D5}">
      <text>
        <r>
          <rPr>
            <b/>
            <sz val="9"/>
            <color indexed="81"/>
            <rFont val="Tahoma"/>
            <family val="2"/>
          </rPr>
          <t>Erin Blaney:</t>
        </r>
        <r>
          <rPr>
            <sz val="9"/>
            <color indexed="81"/>
            <rFont val="Tahoma"/>
            <family val="2"/>
          </rPr>
          <t xml:space="preserve">
This is an estimated tonnage; scale error at Do Your 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tc={C12CDD49-9F29-4205-A6B1-6CDB6D3AF479}</author>
    <author>tc={D933CBB4-0BCF-4FD5-BCB7-9EBD2D639375}</author>
    <author>tc={DF865B28-EEF2-4AB1-A2C4-CB4FCA67A7AE}</author>
    <author>tc={029EB315-925F-4CF7-AB21-A06A0AB04921}</author>
    <author>tc={1EA5833A-FDEA-4904-8645-D86A1C7AB1BA}</author>
    <author>tc={623D52B3-1C55-4C64-BC2A-CEBD8EC956C5}</author>
    <author>tc={69DEBC18-53CC-4C62-8933-BA3201995519}</author>
    <author>tc={1A7B19CC-5FA6-4C2F-84DA-B6892DFBCE13}</author>
    <author>tc={282649AD-7182-4463-8EFA-36895F1B8277}</author>
    <author>tc={AF55630E-CE2B-4025-972D-AEE952691B7F}</author>
    <author>Sarah Wilmot</author>
  </authors>
  <commentList>
    <comment ref="I8" authorId="0" shapeId="0" xr:uid="{C12CDD49-9F29-4205-A6B1-6CDB6D3AF479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a scale error; should be higher value</t>
      </text>
    </comment>
    <comment ref="A20" authorId="1" shapeId="0" xr:uid="{D933CBB4-0BCF-4FD5-BCB7-9EBD2D639375}">
      <text>
        <t>[Threaded comment]
Your version of Excel allows you to read this threaded comment; however, any edits to it will get removed if the file is opened in a newer version of Excel. Learn more: https://go.microsoft.com/fwlink/?linkid=870924
Comment:
    HOLIDAY NO PICK UP</t>
      </text>
    </comment>
    <comment ref="A23" authorId="2" shapeId="0" xr:uid="{DF865B28-EEF2-4AB1-A2C4-CB4FCA67A7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delivery this week</t>
      </text>
    </comment>
    <comment ref="A24" authorId="3" shapeId="0" xr:uid="{029EB315-925F-4CF7-AB21-A06A0AB0492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pick up - Do Your Part equipment failure</t>
      </text>
    </comment>
    <comment ref="I37" authorId="4" shapeId="0" xr:uid="{1EA5833A-FDEA-4904-8645-D86A1C7AB1B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pick-up</t>
      </text>
    </comment>
    <comment ref="I39" authorId="5" shapeId="0" xr:uid="{623D52B3-1C55-4C64-BC2A-CEBD8EC956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pick-up</t>
      </text>
    </comment>
    <comment ref="J61" authorId="6" shapeId="0" xr:uid="{69DEBC18-53CC-4C62-8933-BA3201995519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5%GST when entering</t>
      </text>
    </comment>
    <comment ref="J62" authorId="7" shapeId="0" xr:uid="{1A7B19CC-5FA6-4C2F-84DA-B6892DFBCE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5%GST when entering</t>
      </text>
    </comment>
    <comment ref="J63" authorId="8" shapeId="0" xr:uid="{282649AD-7182-4463-8EFA-36895F1B82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5%GST when entering</t>
      </text>
    </comment>
    <comment ref="J64" authorId="9" shapeId="0" xr:uid="{AF55630E-CE2B-4025-972D-AEE952691B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5%GST when entering</t>
      </text>
    </comment>
    <comment ref="J71" authorId="10" shapeId="0" xr:uid="{17E0BF8A-82F9-4F8E-982E-216EE241621A}">
      <text>
        <r>
          <rPr>
            <b/>
            <sz val="9"/>
            <color indexed="81"/>
            <rFont val="Tahoma"/>
            <family val="2"/>
          </rPr>
          <t>Sarah Wilmot:</t>
        </r>
        <r>
          <rPr>
            <sz val="9"/>
            <color indexed="81"/>
            <rFont val="Tahoma"/>
            <family val="2"/>
          </rPr>
          <t xml:space="preserve">
This one changes each month; it's the average of all data up to and including each month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tc={D828663F-3546-4272-A06E-457CDB27D8FB}</author>
    <author>tc={1D5B7899-2896-499D-9B1D-29CE8A60A436}</author>
    <author>tc={726A2B3E-CC3B-431D-8B62-D7C90DA6A1C9}</author>
    <author>tc={1A5C0CC0-4075-4957-93A9-69B36C4D78EA}</author>
    <author>tc={CA9CC199-81DE-4531-9D90-4E41CDCC5389}</author>
  </authors>
  <commentList>
    <comment ref="E4" authorId="0" shapeId="0" xr:uid="{D828663F-3546-4272-A06E-457CDB27D8F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January PPP hauling costs</t>
      </text>
    </comment>
    <comment ref="M4" authorId="1" shapeId="0" xr:uid="{1D5B7899-2896-499D-9B1D-29CE8A60A436}">
      <text>
        <t>[Threaded comment]
Your version of Excel allows you to read this threaded comment; however, any edits to it will get removed if the file is opened in a newer version of Excel. Learn more: https://go.microsoft.com/fwlink/?linkid=870924
Comment:
    Do Your Part</t>
      </text>
    </comment>
    <comment ref="E6" authorId="2" shapeId="0" xr:uid="{726A2B3E-CC3B-431D-8B62-D7C90DA6A1C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PPP transprot cost</t>
      </text>
    </comment>
    <comment ref="M6" authorId="3" shapeId="0" xr:uid="{1A5C0CC0-4075-4957-93A9-69B36C4D78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 Your Part</t>
      </text>
    </comment>
    <comment ref="A24" authorId="4" shapeId="0" xr:uid="{CA9CC199-81DE-4531-9D90-4E41CDCC538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deliveries due to Do Your Part equipment failure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Blaney</author>
  </authors>
  <commentList>
    <comment ref="H1" authorId="0" shapeId="0" xr:uid="{654B6B5B-E84D-406C-AE13-52CED990006C}">
      <text>
        <r>
          <rPr>
            <b/>
            <sz val="9"/>
            <color indexed="81"/>
            <rFont val="Tahoma"/>
            <family val="2"/>
          </rPr>
          <t>Erin Blaney:</t>
        </r>
        <r>
          <rPr>
            <sz val="9"/>
            <color indexed="81"/>
            <rFont val="Tahoma"/>
            <family val="2"/>
          </rPr>
          <t xml:space="preserve">
OCC is estimated based on two full  6-yard bins emptied weekly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Blaney</author>
    <author>Kieran Griffith</author>
  </authors>
  <commentList>
    <comment ref="B1" authorId="0" shapeId="0" xr:uid="{158AC5EF-7A60-4FD5-B08B-4516F2049C99}">
      <text>
        <r>
          <rPr>
            <b/>
            <sz val="9"/>
            <color indexed="81"/>
            <rFont val="Tahoma"/>
            <family val="2"/>
          </rPr>
          <t>Erin Blaney:</t>
        </r>
        <r>
          <rPr>
            <sz val="9"/>
            <color indexed="81"/>
            <rFont val="Tahoma"/>
            <family val="2"/>
          </rPr>
          <t xml:space="preserve">
OCC is estimated based on two full  6-yard bins emptied weekly</t>
        </r>
      </text>
    </comment>
    <comment ref="F1" authorId="1" shapeId="0" xr:uid="{BAB4FF26-3981-40FC-B8B5-02E167FF3930}">
      <text>
        <r>
          <rPr>
            <b/>
            <sz val="9"/>
            <color indexed="81"/>
            <rFont val="Tahoma"/>
            <charset val="1"/>
          </rPr>
          <t>Kieran Griffith:</t>
        </r>
        <r>
          <rPr>
            <sz val="9"/>
            <color indexed="81"/>
            <rFont val="Tahoma"/>
            <charset val="1"/>
          </rPr>
          <t xml:space="preserve">
Values are multiplied by 0.25
</t>
        </r>
      </text>
    </comment>
    <comment ref="D47" authorId="1" shapeId="0" xr:uid="{144CF10B-DADC-4998-BFF0-A43BCA4E8469}">
      <text>
        <r>
          <rPr>
            <b/>
            <sz val="9"/>
            <color indexed="81"/>
            <rFont val="Tahoma"/>
            <charset val="1"/>
          </rPr>
          <t>Kieran Griffith:</t>
        </r>
        <r>
          <rPr>
            <sz val="9"/>
            <color indexed="81"/>
            <rFont val="Tahoma"/>
            <charset val="1"/>
          </rPr>
          <t xml:space="preserve">
Overage fine added here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Kieran Griffith</author>
  </authors>
  <commentList>
    <comment ref="E1" authorId="0" shapeId="0" xr:uid="{0FC71BA4-9024-4A19-AD5B-E4C667590402}">
      <text>
        <r>
          <rPr>
            <b/>
            <sz val="9"/>
            <color indexed="81"/>
            <rFont val="Tahoma"/>
            <charset val="1"/>
          </rPr>
          <t>Kieran Griffith:</t>
        </r>
        <r>
          <rPr>
            <sz val="9"/>
            <color indexed="81"/>
            <rFont val="Tahoma"/>
            <charset val="1"/>
          </rPr>
          <t xml:space="preserve">
Values are multiplied by 0.25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Kieran Griffith</author>
  </authors>
  <commentList>
    <comment ref="C1" authorId="0" shapeId="0" xr:uid="{A2DBF11C-2024-4CA1-833D-41C283566AC3}">
      <text>
        <r>
          <rPr>
            <b/>
            <sz val="9"/>
            <color indexed="81"/>
            <rFont val="Tahoma"/>
            <charset val="1"/>
          </rPr>
          <t>Kieran Griffith:</t>
        </r>
        <r>
          <rPr>
            <sz val="9"/>
            <color indexed="81"/>
            <rFont val="Tahoma"/>
            <charset val="1"/>
          </rPr>
          <t xml:space="preserve">
Values are multiplied by 0.25
</t>
        </r>
      </text>
    </comment>
    <comment ref="B47" authorId="0" shapeId="0" xr:uid="{A5B2C174-0614-4789-AED7-2C0188FED192}">
      <text>
        <r>
          <rPr>
            <b/>
            <sz val="9"/>
            <color indexed="81"/>
            <rFont val="Tahoma"/>
            <charset val="1"/>
          </rPr>
          <t>Kieran Griffith:</t>
        </r>
        <r>
          <rPr>
            <sz val="9"/>
            <color indexed="81"/>
            <rFont val="Tahoma"/>
            <charset val="1"/>
          </rPr>
          <t xml:space="preserve">
Overage fine added here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Kieran Griffith</author>
  </authors>
  <commentList>
    <comment ref="E1" authorId="0" shapeId="0" xr:uid="{D0328D81-308E-4A93-B998-36B5D1F37A2E}">
      <text>
        <r>
          <rPr>
            <b/>
            <sz val="9"/>
            <color indexed="81"/>
            <rFont val="Tahoma"/>
            <charset val="1"/>
          </rPr>
          <t>Kieran Griffith:</t>
        </r>
        <r>
          <rPr>
            <sz val="9"/>
            <color indexed="81"/>
            <rFont val="Tahoma"/>
            <charset val="1"/>
          </rPr>
          <t xml:space="preserve">
Values are multiplied by 0.25
</t>
        </r>
      </text>
    </comment>
  </commentList>
</comments>
</file>

<file path=xl/sharedStrings.xml><?xml version="1.0" encoding="utf-8"?>
<sst xmlns="http://schemas.openxmlformats.org/spreadsheetml/2006/main" count="686" uniqueCount="202">
  <si>
    <t>Date</t>
  </si>
  <si>
    <t>Total Bags shipped</t>
  </si>
  <si>
    <t>KTS Paper and Boxboard Mega Bags</t>
  </si>
  <si>
    <t>KTS Glass Mega Bags</t>
  </si>
  <si>
    <t>KTS Styrofoam Mega Bags</t>
  </si>
  <si>
    <t>KTS Mixed Containers Mega Bags</t>
  </si>
  <si>
    <t>KTS Plastic Bags and Overwrap Mega Bags</t>
  </si>
  <si>
    <t>KTS OCC Tonnage (DoYourPart)</t>
  </si>
  <si>
    <t>KTS PPP Tonnage (DoYourPart)</t>
  </si>
  <si>
    <t>KTS OCC (40 yd bin)</t>
  </si>
  <si>
    <t>KTS OCC Mega Bags</t>
  </si>
  <si>
    <t xml:space="preserve">November </t>
  </si>
  <si>
    <t xml:space="preserve">December </t>
  </si>
  <si>
    <t>DYP Processing fees</t>
  </si>
  <si>
    <t>per tonne for OCC</t>
  </si>
  <si>
    <t>Combined Hauling &amp; Bin Rental cost per tonne</t>
  </si>
  <si>
    <t>Combined Processing Costs per tonne</t>
  </si>
  <si>
    <t>Combined Total cost per tonne</t>
  </si>
  <si>
    <t>OCC Hauling &amp; Bin Rental Cost per tonne</t>
  </si>
  <si>
    <t>OCC Processing Cost per tonne</t>
  </si>
  <si>
    <t>OCC Total Cost per tonne</t>
  </si>
  <si>
    <t>PPP Processing Cost per tonne</t>
  </si>
  <si>
    <t>PPP Total Cost Per tonne</t>
  </si>
  <si>
    <t>Monthly Summaries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</si>
  <si>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</si>
  <si>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</si>
  <si>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</si>
  <si>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</si>
  <si>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</si>
  <si>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</si>
  <si>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</si>
  <si>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</si>
  <si>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</si>
  <si>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</si>
  <si>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</si>
  <si>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</si>
  <si>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Tonnes OCC</t>
  </si>
  <si>
    <t>Tonnes PPP</t>
  </si>
  <si>
    <t>Total</t>
  </si>
  <si>
    <t>Total Processing fees</t>
  </si>
  <si>
    <t>Total Hauling &amp; Bin Rental</t>
  </si>
  <si>
    <t>Total costs</t>
  </si>
  <si>
    <t>PPP Hauling Cost per tonne</t>
  </si>
  <si>
    <t>PPP cost per tonne</t>
  </si>
  <si>
    <t>Total monthly cost per tonne</t>
  </si>
  <si>
    <t>OCC cost per tonne</t>
  </si>
  <si>
    <t>Moving average</t>
  </si>
  <si>
    <t>Do-your-Part tonneage</t>
  </si>
  <si>
    <t>Do-Your-Part Billing</t>
  </si>
  <si>
    <t>Bandstra Billing</t>
  </si>
  <si>
    <t>Cost per tonne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</si>
  <si>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</si>
  <si>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</si>
  <si>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</si>
  <si>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</si>
  <si>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</si>
  <si>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</si>
  <si>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</si>
  <si>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May Total</t>
  </si>
  <si>
    <t xml:space="preserve">June Total </t>
  </si>
  <si>
    <t>per tonne for PPP until March 1</t>
  </si>
  <si>
    <t>per tonne for PPP after March 1</t>
  </si>
  <si>
    <t>Geier OCC Hauling &amp; Bin Rental costs ($)</t>
  </si>
  <si>
    <t>Bandstra  PPP Hauling costs ($)</t>
  </si>
  <si>
    <t>July Total</t>
  </si>
  <si>
    <t>August Total</t>
  </si>
  <si>
    <t>September Total</t>
  </si>
  <si>
    <t>2017 Total (Partial Year)</t>
  </si>
  <si>
    <t>2018 TOTALS</t>
  </si>
  <si>
    <t>2017 Annual (Partial Year)</t>
  </si>
  <si>
    <t>2018 (Full Year)</t>
  </si>
  <si>
    <t>2018 Averages (excludes zero values)</t>
  </si>
  <si>
    <t>2019 Averages (excludes zero values)</t>
  </si>
  <si>
    <t>2019 Totals</t>
  </si>
  <si>
    <t>KTS Mega Bags</t>
  </si>
  <si>
    <t>Gitsegulka  Mega Bags</t>
  </si>
  <si>
    <t>Gitanyow Mega Bags</t>
  </si>
  <si>
    <t>Gitwangak Mega Bags</t>
  </si>
  <si>
    <t>OCC Tonnage (Source: DoYourPart)</t>
  </si>
  <si>
    <t>2019 TOTALS</t>
  </si>
  <si>
    <t>CESA Tonnes</t>
  </si>
  <si>
    <t>EPRA Tonnes</t>
  </si>
  <si>
    <t>Scrap Metal Tonnes</t>
  </si>
  <si>
    <t>Total scrap metal income</t>
  </si>
  <si>
    <t>LightRecycle Counts</t>
  </si>
  <si>
    <t>Tire counts</t>
  </si>
  <si>
    <t>Tire charges</t>
  </si>
  <si>
    <t>Total tonnes EPR</t>
  </si>
  <si>
    <t>EPR Program Diversion</t>
  </si>
  <si>
    <t>Net Income/ Cost of EPR</t>
  </si>
  <si>
    <t>per tonne for PPP</t>
  </si>
  <si>
    <t>Tonnes EPR</t>
  </si>
  <si>
    <t>EPR Net Cost</t>
  </si>
  <si>
    <t>EPR Cost per tonne</t>
  </si>
  <si>
    <t>Total tonnes diverted</t>
  </si>
  <si>
    <t>Total Cost</t>
  </si>
  <si>
    <t>Total cost per tonne</t>
  </si>
  <si>
    <t>PPP Tonnage (Source: DoYourPart)</t>
  </si>
  <si>
    <t>Total OCC Cost</t>
  </si>
  <si>
    <t>Tire Counts</t>
  </si>
  <si>
    <t>Tire Charges</t>
  </si>
  <si>
    <t>Total Diversion Cost</t>
  </si>
  <si>
    <r>
      <t xml:space="preserve">ABC Income </t>
    </r>
    <r>
      <rPr>
        <b/>
        <sz val="10"/>
        <color rgb="FFFF0000"/>
        <rFont val="Arial"/>
        <family val="2"/>
      </rPr>
      <t>(enter as negative number)</t>
    </r>
  </si>
  <si>
    <r>
      <t xml:space="preserve">MARR Income </t>
    </r>
    <r>
      <rPr>
        <b/>
        <sz val="10"/>
        <color rgb="FFFF0000"/>
        <rFont val="Arial"/>
        <family val="2"/>
      </rPr>
      <t>(enter as negative number)</t>
    </r>
  </si>
  <si>
    <r>
      <t xml:space="preserve">LightRecycle Income </t>
    </r>
    <r>
      <rPr>
        <b/>
        <sz val="10"/>
        <color rgb="FFFF0000"/>
        <rFont val="Arial"/>
        <family val="2"/>
      </rPr>
      <t>(enter as negative number)</t>
    </r>
  </si>
  <si>
    <r>
      <t xml:space="preserve">EPRA Income </t>
    </r>
    <r>
      <rPr>
        <b/>
        <sz val="10"/>
        <color rgb="FFFF0000"/>
        <rFont val="Arial"/>
        <family val="2"/>
      </rPr>
      <t>(enter as negative number)</t>
    </r>
  </si>
  <si>
    <r>
      <t xml:space="preserve">CESA Income </t>
    </r>
    <r>
      <rPr>
        <b/>
        <sz val="10"/>
        <color rgb="FFFF0000"/>
        <rFont val="Arial"/>
        <family val="2"/>
      </rPr>
      <t>(enter as negative number)</t>
    </r>
  </si>
  <si>
    <t>Total Cost per tonne diverted</t>
  </si>
  <si>
    <t>OCC Cost per Tonne</t>
  </si>
  <si>
    <t>PPP Tonnage (Source: Recycle BC)</t>
  </si>
  <si>
    <t>PPP bags</t>
  </si>
  <si>
    <t>DYP OCC Processing costs
($)</t>
  </si>
  <si>
    <t>Alarm Recycle Counts</t>
  </si>
  <si>
    <t>Call2recycle Counts</t>
  </si>
  <si>
    <t>OCC Bins hauled
(40 yd bin)</t>
  </si>
  <si>
    <t>DYP Processing fee</t>
  </si>
  <si>
    <t>Tonnes Other EPR</t>
  </si>
  <si>
    <t>Total Tonnes EPR</t>
  </si>
  <si>
    <t>Webb Charges</t>
  </si>
  <si>
    <r>
      <t xml:space="preserve">Alarm Recycle Income
</t>
    </r>
    <r>
      <rPr>
        <b/>
        <sz val="10"/>
        <color rgb="FFFF0000"/>
        <rFont val="Arial"/>
        <family val="2"/>
      </rPr>
      <t>(enter as negative number)</t>
    </r>
  </si>
  <si>
    <t>OCC Mega Bags</t>
  </si>
  <si>
    <t>Bandstra OCC Hauling costs 
($)</t>
  </si>
  <si>
    <r>
      <t xml:space="preserve">Recycle BC Income </t>
    </r>
    <r>
      <rPr>
        <b/>
        <sz val="10"/>
        <color rgb="FFFF0000"/>
        <rFont val="Arial"/>
        <family val="2"/>
      </rPr>
      <t>(enter as negative number)</t>
    </r>
  </si>
  <si>
    <t xml:space="preserve">Commercial OCC </t>
  </si>
  <si>
    <t>Waste Mgmt Billing</t>
  </si>
  <si>
    <t>Estimated OCC Tonnage</t>
  </si>
  <si>
    <t>kg</t>
  </si>
  <si>
    <t xml:space="preserve">per </t>
  </si>
  <si>
    <t xml:space="preserve">kg </t>
  </si>
  <si>
    <t>per</t>
  </si>
  <si>
    <t>m3</t>
  </si>
  <si>
    <t xml:space="preserve">= </t>
  </si>
  <si>
    <t>yd3</t>
  </si>
  <si>
    <t>6 yd3 bin</t>
  </si>
  <si>
    <t>Typical  Bin Weight (kg)</t>
  </si>
  <si>
    <t>Bin Weight Calculations</t>
  </si>
  <si>
    <t>Total Cost of OCC Recycling</t>
  </si>
  <si>
    <t>OCC Recycling Cost per Tonne</t>
  </si>
  <si>
    <t>Tonnes Scrap metal</t>
  </si>
  <si>
    <t>Net scrap metal income</t>
  </si>
  <si>
    <t>Scrap Metal Recycling Cost per Tonne</t>
  </si>
  <si>
    <t>Date (Week of)</t>
  </si>
  <si>
    <r>
      <t># of 6yd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OCC Bins hauled (typically 4)</t>
    </r>
  </si>
  <si>
    <t>Net Scrap Metal Cost</t>
  </si>
  <si>
    <t>OCC Hauling &amp; Bin Rental costs ($)</t>
  </si>
  <si>
    <t>2020 TOTALS</t>
  </si>
  <si>
    <t>2020 Averages (excludes zero values)</t>
  </si>
  <si>
    <t>2020 Totals</t>
  </si>
  <si>
    <t>per tonne after June 30 2019</t>
  </si>
  <si>
    <t>OCC Tonnage Estimsate</t>
  </si>
  <si>
    <t>Paint Recycle count - 1 tub = 0.5 tonne</t>
  </si>
  <si>
    <t>Paint Recycle Income</t>
  </si>
  <si>
    <t>JAN Total</t>
  </si>
  <si>
    <t>FEB Total</t>
  </si>
  <si>
    <t>MAR Total</t>
  </si>
  <si>
    <t>APR Total</t>
  </si>
  <si>
    <t>TOTAL</t>
  </si>
  <si>
    <t>MAY Total</t>
  </si>
  <si>
    <t>JUN Total</t>
  </si>
  <si>
    <t>JUL Total</t>
  </si>
  <si>
    <r>
      <t xml:space="preserve">ABC / Magnacharge  Income </t>
    </r>
    <r>
      <rPr>
        <b/>
        <sz val="10"/>
        <color rgb="FFFF0000"/>
        <rFont val="Arial"/>
        <family val="2"/>
      </rPr>
      <t>(enter as negative number)</t>
    </r>
  </si>
  <si>
    <r>
      <t xml:space="preserve">ABC / Magnacharge Income </t>
    </r>
    <r>
      <rPr>
        <b/>
        <sz val="10"/>
        <color rgb="FFFF0000"/>
        <rFont val="Arial"/>
        <family val="2"/>
      </rPr>
      <t>(enter as negative number)</t>
    </r>
  </si>
  <si>
    <t>Freon Removal Charges</t>
  </si>
  <si>
    <r>
      <t xml:space="preserve">CESA Income </t>
    </r>
    <r>
      <rPr>
        <b/>
        <sz val="10"/>
        <color rgb="FFFF0000"/>
        <rFont val="Arial"/>
        <family val="2"/>
      </rPr>
      <t>(Negative #)</t>
    </r>
  </si>
  <si>
    <r>
      <t xml:space="preserve">EPRA Income </t>
    </r>
    <r>
      <rPr>
        <b/>
        <sz val="10"/>
        <color rgb="FFFF0000"/>
        <rFont val="Arial"/>
        <family val="2"/>
      </rPr>
      <t>(Negative #)</t>
    </r>
  </si>
  <si>
    <t>Paint Recycle Counts  1tub = 0.5tonne</t>
  </si>
  <si>
    <r>
      <t xml:space="preserve">MARR Income </t>
    </r>
    <r>
      <rPr>
        <b/>
        <sz val="10"/>
        <color rgb="FFFF0000"/>
        <rFont val="Arial"/>
        <family val="2"/>
      </rPr>
      <t>(Negative #)</t>
    </r>
  </si>
  <si>
    <r>
      <t xml:space="preserve">LAB Income </t>
    </r>
    <r>
      <rPr>
        <b/>
        <sz val="10"/>
        <color rgb="FFFF0000"/>
        <rFont val="Arial"/>
        <family val="2"/>
      </rPr>
      <t>(Negative #)</t>
    </r>
  </si>
  <si>
    <t>AUG Total</t>
  </si>
  <si>
    <t>LAB Tonnes</t>
  </si>
  <si>
    <t>Scrap Metal - MARR tonne estimate</t>
  </si>
  <si>
    <t>Light Recycle Counts</t>
  </si>
  <si>
    <r>
      <t xml:space="preserve">Paint Recycle Income </t>
    </r>
    <r>
      <rPr>
        <b/>
        <sz val="10"/>
        <color rgb="FFFF0000"/>
        <rFont val="Arial"/>
        <family val="2"/>
      </rPr>
      <t>(Negative #)</t>
    </r>
  </si>
  <si>
    <t>PPP Tonnage (DYP Scale)</t>
  </si>
  <si>
    <r>
      <t xml:space="preserve">Light Recycle Income </t>
    </r>
    <r>
      <rPr>
        <b/>
        <sz val="10"/>
        <color rgb="FFFF0000"/>
        <rFont val="Arial"/>
        <family val="2"/>
      </rPr>
      <t>(Negative #)</t>
    </r>
  </si>
  <si>
    <r>
      <t xml:space="preserve">Tire counts </t>
    </r>
    <r>
      <rPr>
        <b/>
        <sz val="7"/>
        <rFont val="Arial"/>
        <family val="2"/>
      </rPr>
      <t>(100 tires = 1 tonne</t>
    </r>
    <r>
      <rPr>
        <b/>
        <sz val="10"/>
        <rFont val="Arial"/>
        <family val="2"/>
      </rPr>
      <t>)</t>
    </r>
  </si>
  <si>
    <t>Recycle BC Tonnage</t>
  </si>
  <si>
    <t>OCC Tonnes</t>
  </si>
  <si>
    <t>Bandstra OCC Hauling costs</t>
  </si>
  <si>
    <r>
      <t xml:space="preserve">Recycle BC Income </t>
    </r>
    <r>
      <rPr>
        <b/>
        <sz val="11"/>
        <color rgb="FFFF0000"/>
        <rFont val="Calibri"/>
        <family val="2"/>
        <scheme val="minor"/>
      </rPr>
      <t>(Negative #)</t>
    </r>
  </si>
  <si>
    <t>SEPT Total</t>
  </si>
  <si>
    <t>NOV Total</t>
  </si>
  <si>
    <t>OCT Total</t>
  </si>
  <si>
    <t>DEC Total</t>
  </si>
  <si>
    <t>PPP Cost per tonne</t>
  </si>
  <si>
    <t>OCC est. Cost per tonne</t>
  </si>
  <si>
    <t>EPR Net per tonne</t>
  </si>
  <si>
    <t>OCC Total Cost</t>
  </si>
  <si>
    <t>Total diversion net per tonne</t>
  </si>
  <si>
    <r>
      <t xml:space="preserve">Tire counts </t>
    </r>
    <r>
      <rPr>
        <b/>
        <sz val="8"/>
        <rFont val="Arial"/>
        <family val="2"/>
      </rPr>
      <t>(100 tires = 1 tonne)</t>
    </r>
  </si>
  <si>
    <t>Tire collection charges</t>
  </si>
  <si>
    <r>
      <t xml:space="preserve">ABC Income </t>
    </r>
    <r>
      <rPr>
        <b/>
        <sz val="10"/>
        <color rgb="FFFF0000"/>
        <rFont val="Arial"/>
        <family val="2"/>
      </rPr>
      <t>(Negative #)</t>
    </r>
  </si>
  <si>
    <t>Date     (Week-of)</t>
  </si>
  <si>
    <r>
      <t xml:space="preserve">Estimated OCC Tonnes      </t>
    </r>
    <r>
      <rPr>
        <b/>
        <sz val="8"/>
        <rFont val="Arial"/>
        <family val="2"/>
      </rPr>
      <t>(4 x 6-yrd bins/week)</t>
    </r>
  </si>
  <si>
    <t>OCC Bin Billing</t>
  </si>
  <si>
    <t>Per tonne:</t>
  </si>
  <si>
    <t xml:space="preserve">Scrap Metal - MARR included </t>
  </si>
  <si>
    <r>
      <t># of 6yd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OCC Bins hauled</t>
    </r>
  </si>
  <si>
    <t>PPP Hauling costs ($)</t>
  </si>
  <si>
    <t>OCC Tonnage Estimate</t>
  </si>
  <si>
    <t>full</t>
  </si>
  <si>
    <t>full 2.5x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</si>
</sst>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0.0"/>
    <numFmt numFmtId="168" formatCode="&quot;$&quot;#,##0.00"/>
  </numFmts>
  <fonts count="3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 Black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FF0000"/>
      <name val="Arial"/>
      <family val="2"/>
    </font>
    <font>
      <b/>
      <vertAlign val="superscript"/>
      <sz val="10"/>
      <name val="Arial"/>
      <family val="2"/>
    </font>
    <font>
      <sz val="11"/>
      <color rgb="FF9C5700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7"/>
      <name val="Arial"/>
      <family val="2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7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5" fillId="12" borderId="0" applyNumberFormat="0" applyBorder="0" applyAlignment="0" applyProtection="0"/>
    <xf numFmtId="0" fontId="6" fillId="13" borderId="45" applyNumberFormat="0" applyFont="0" applyAlignment="0" applyProtection="0"/>
  </cellStyleXfs>
  <cellXfs count="43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2" fontId="3" fillId="4" borderId="3" xfId="0" applyNumberFormat="1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4" fontId="1" fillId="8" borderId="3" xfId="0" applyNumberFormat="1" applyFont="1" applyFill="1" applyBorder="1" applyAlignment="1">
      <alignment horizontal="left"/>
    </xf>
    <xf numFmtId="0" fontId="1" fillId="8" borderId="3" xfId="0" applyFont="1" applyFill="1" applyBorder="1" applyAlignment="1">
      <alignment horizontal="center"/>
    </xf>
    <xf numFmtId="2" fontId="1" fillId="8" borderId="3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164" fontId="3" fillId="4" borderId="3" xfId="1" applyFont="1" applyFill="1" applyBorder="1" applyAlignment="1">
      <alignment horizontal="center"/>
    </xf>
    <xf numFmtId="164" fontId="3" fillId="0" borderId="3" xfId="1" applyFont="1" applyBorder="1" applyAlignment="1">
      <alignment horizontal="center"/>
    </xf>
    <xf numFmtId="164" fontId="3" fillId="7" borderId="3" xfId="1" applyFont="1" applyFill="1" applyBorder="1" applyAlignment="1">
      <alignment horizontal="center"/>
    </xf>
    <xf numFmtId="164" fontId="3" fillId="7" borderId="5" xfId="1" applyFont="1" applyFill="1" applyBorder="1" applyAlignment="1">
      <alignment horizontal="center"/>
    </xf>
    <xf numFmtId="164" fontId="3" fillId="5" borderId="5" xfId="1" applyFont="1" applyFill="1" applyBorder="1" applyAlignment="1">
      <alignment horizontal="center"/>
    </xf>
    <xf numFmtId="164" fontId="1" fillId="8" borderId="3" xfId="1" applyFont="1" applyFill="1" applyBorder="1" applyAlignment="1">
      <alignment horizontal="center"/>
    </xf>
    <xf numFmtId="164" fontId="1" fillId="8" borderId="5" xfId="1" applyFont="1" applyFill="1" applyBorder="1" applyAlignment="1">
      <alignment horizontal="center"/>
    </xf>
    <xf numFmtId="164" fontId="1" fillId="4" borderId="2" xfId="1" applyFont="1" applyFill="1" applyBorder="1" applyAlignment="1">
      <alignment horizontal="center"/>
    </xf>
    <xf numFmtId="164" fontId="1" fillId="0" borderId="2" xfId="1" applyFont="1" applyBorder="1" applyAlignment="1">
      <alignment horizontal="center"/>
    </xf>
    <xf numFmtId="164" fontId="1" fillId="0" borderId="4" xfId="1" applyFont="1" applyBorder="1" applyAlignment="1">
      <alignment horizontal="center"/>
    </xf>
    <xf numFmtId="164" fontId="1" fillId="7" borderId="2" xfId="1" applyFont="1" applyFill="1" applyBorder="1" applyAlignment="1">
      <alignment horizontal="center"/>
    </xf>
    <xf numFmtId="164" fontId="1" fillId="7" borderId="3" xfId="1" applyFont="1" applyFill="1" applyBorder="1" applyAlignment="1">
      <alignment horizontal="center" vertical="center" wrapText="1"/>
    </xf>
    <xf numFmtId="164" fontId="1" fillId="5" borderId="3" xfId="1" applyFont="1" applyFill="1" applyBorder="1" applyAlignment="1">
      <alignment horizontal="center" vertical="center" wrapText="1"/>
    </xf>
    <xf numFmtId="164" fontId="1" fillId="5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10" fillId="0" borderId="0" xfId="0" applyFont="1"/>
    <xf numFmtId="0" fontId="10" fillId="0" borderId="5" xfId="0" applyFont="1" applyBorder="1"/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4" fontId="10" fillId="0" borderId="11" xfId="0" applyNumberFormat="1" applyFont="1" applyBorder="1"/>
    <xf numFmtId="0" fontId="10" fillId="0" borderId="14" xfId="0" applyFont="1" applyBorder="1"/>
    <xf numFmtId="166" fontId="3" fillId="0" borderId="0" xfId="1" applyNumberFormat="1" applyFont="1" applyAlignment="1">
      <alignment horizontal="left"/>
    </xf>
    <xf numFmtId="164" fontId="1" fillId="8" borderId="14" xfId="1" applyFont="1" applyFill="1" applyBorder="1" applyAlignment="1">
      <alignment horizontal="center"/>
    </xf>
    <xf numFmtId="164" fontId="10" fillId="0" borderId="5" xfId="1" applyFont="1" applyBorder="1"/>
    <xf numFmtId="164" fontId="10" fillId="0" borderId="14" xfId="1" applyFont="1" applyBorder="1"/>
    <xf numFmtId="164" fontId="10" fillId="0" borderId="12" xfId="1" applyFont="1" applyBorder="1"/>
    <xf numFmtId="164" fontId="10" fillId="0" borderId="15" xfId="1" applyFont="1" applyBorder="1"/>
    <xf numFmtId="14" fontId="1" fillId="8" borderId="3" xfId="0" applyNumberFormat="1" applyFont="1" applyFill="1" applyBorder="1" applyAlignment="1">
      <alignment horizontal="left" wrapText="1"/>
    </xf>
    <xf numFmtId="164" fontId="10" fillId="0" borderId="0" xfId="1" applyFont="1"/>
    <xf numFmtId="0" fontId="10" fillId="0" borderId="11" xfId="0" applyFont="1" applyBorder="1"/>
    <xf numFmtId="0" fontId="10" fillId="0" borderId="13" xfId="0" applyFont="1" applyBorder="1"/>
    <xf numFmtId="165" fontId="10" fillId="0" borderId="5" xfId="1" applyNumberFormat="1" applyFont="1" applyBorder="1"/>
    <xf numFmtId="14" fontId="3" fillId="0" borderId="19" xfId="0" applyNumberFormat="1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2" fontId="3" fillId="4" borderId="19" xfId="0" applyNumberFormat="1" applyFont="1" applyFill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164" fontId="3" fillId="7" borderId="19" xfId="1" applyFont="1" applyFill="1" applyBorder="1" applyAlignment="1">
      <alignment horizontal="center"/>
    </xf>
    <xf numFmtId="164" fontId="3" fillId="7" borderId="16" xfId="1" applyFont="1" applyFill="1" applyBorder="1" applyAlignment="1">
      <alignment horizontal="center"/>
    </xf>
    <xf numFmtId="164" fontId="3" fillId="5" borderId="16" xfId="1" applyFont="1" applyFill="1" applyBorder="1" applyAlignment="1">
      <alignment horizontal="center"/>
    </xf>
    <xf numFmtId="164" fontId="1" fillId="8" borderId="1" xfId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5" borderId="22" xfId="1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4" fontId="1" fillId="9" borderId="4" xfId="0" applyNumberFormat="1" applyFont="1" applyFill="1" applyBorder="1" applyAlignment="1">
      <alignment horizontal="left"/>
    </xf>
    <xf numFmtId="0" fontId="1" fillId="9" borderId="2" xfId="0" applyFont="1" applyFill="1" applyBorder="1" applyAlignment="1">
      <alignment horizontal="center"/>
    </xf>
    <xf numFmtId="2" fontId="1" fillId="9" borderId="2" xfId="0" applyNumberFormat="1" applyFont="1" applyFill="1" applyBorder="1" applyAlignment="1">
      <alignment horizontal="center"/>
    </xf>
    <xf numFmtId="164" fontId="1" fillId="9" borderId="2" xfId="1" applyFont="1" applyFill="1" applyBorder="1" applyAlignment="1">
      <alignment horizontal="center"/>
    </xf>
    <xf numFmtId="164" fontId="1" fillId="9" borderId="22" xfId="1" applyFont="1" applyFill="1" applyBorder="1" applyAlignment="1">
      <alignment horizontal="center"/>
    </xf>
    <xf numFmtId="164" fontId="1" fillId="9" borderId="23" xfId="1" applyFont="1" applyFill="1" applyBorder="1" applyAlignment="1">
      <alignment horizontal="center"/>
    </xf>
    <xf numFmtId="0" fontId="1" fillId="9" borderId="4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center"/>
    </xf>
    <xf numFmtId="164" fontId="1" fillId="9" borderId="4" xfId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1" applyFont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7" borderId="2" xfId="1" applyFont="1" applyFill="1" applyBorder="1" applyAlignment="1">
      <alignment horizontal="center" vertical="center" wrapText="1"/>
    </xf>
    <xf numFmtId="164" fontId="1" fillId="5" borderId="2" xfId="1" applyFont="1" applyFill="1" applyBorder="1" applyAlignment="1">
      <alignment horizontal="center" vertical="center" wrapText="1"/>
    </xf>
    <xf numFmtId="164" fontId="3" fillId="5" borderId="27" xfId="1" applyFont="1" applyFill="1" applyBorder="1" applyAlignment="1">
      <alignment horizontal="center"/>
    </xf>
    <xf numFmtId="164" fontId="3" fillId="5" borderId="28" xfId="1" applyFont="1" applyFill="1" applyBorder="1" applyAlignment="1">
      <alignment horizontal="center"/>
    </xf>
    <xf numFmtId="164" fontId="1" fillId="8" borderId="28" xfId="1" applyFont="1" applyFill="1" applyBorder="1" applyAlignment="1">
      <alignment horizontal="center"/>
    </xf>
    <xf numFmtId="164" fontId="1" fillId="8" borderId="20" xfId="1" applyFont="1" applyFill="1" applyBorder="1" applyAlignment="1">
      <alignment horizontal="center"/>
    </xf>
    <xf numFmtId="164" fontId="1" fillId="5" borderId="2" xfId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6" fontId="3" fillId="0" borderId="16" xfId="1" applyNumberFormat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1" fillId="0" borderId="29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8" borderId="16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166" fontId="3" fillId="0" borderId="35" xfId="1" applyNumberFormat="1" applyFont="1" applyBorder="1" applyAlignment="1">
      <alignment horizontal="left"/>
    </xf>
    <xf numFmtId="0" fontId="1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1" fillId="8" borderId="37" xfId="0" applyFont="1" applyFill="1" applyBorder="1" applyAlignment="1">
      <alignment horizontal="center"/>
    </xf>
    <xf numFmtId="0" fontId="1" fillId="8" borderId="38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14" fontId="3" fillId="0" borderId="26" xfId="0" applyNumberFormat="1" applyFont="1" applyBorder="1" applyAlignment="1">
      <alignment horizontal="left"/>
    </xf>
    <xf numFmtId="14" fontId="3" fillId="0" borderId="32" xfId="0" applyNumberFormat="1" applyFont="1" applyBorder="1" applyAlignment="1">
      <alignment horizontal="left"/>
    </xf>
    <xf numFmtId="14" fontId="1" fillId="8" borderId="32" xfId="0" applyNumberFormat="1" applyFont="1" applyFill="1" applyBorder="1" applyAlignment="1">
      <alignment horizontal="left"/>
    </xf>
    <xf numFmtId="14" fontId="1" fillId="8" borderId="32" xfId="0" applyNumberFormat="1" applyFont="1" applyFill="1" applyBorder="1" applyAlignment="1">
      <alignment horizontal="left" wrapText="1"/>
    </xf>
    <xf numFmtId="0" fontId="1" fillId="8" borderId="15" xfId="0" applyFont="1" applyFill="1" applyBorder="1" applyAlignment="1">
      <alignment horizontal="center"/>
    </xf>
    <xf numFmtId="164" fontId="10" fillId="0" borderId="40" xfId="1" applyFont="1" applyBorder="1"/>
    <xf numFmtId="164" fontId="10" fillId="11" borderId="17" xfId="1" applyFont="1" applyFill="1" applyBorder="1"/>
    <xf numFmtId="0" fontId="1" fillId="8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164" fontId="3" fillId="0" borderId="31" xfId="1" applyFont="1" applyBorder="1" applyAlignment="1">
      <alignment horizontal="center"/>
    </xf>
    <xf numFmtId="164" fontId="1" fillId="8" borderId="31" xfId="1" applyFont="1" applyFill="1" applyBorder="1" applyAlignment="1">
      <alignment horizontal="center"/>
    </xf>
    <xf numFmtId="164" fontId="1" fillId="8" borderId="34" xfId="1" applyFont="1" applyFill="1" applyBorder="1" applyAlignment="1">
      <alignment horizontal="center"/>
    </xf>
    <xf numFmtId="164" fontId="1" fillId="11" borderId="23" xfId="1" applyFont="1" applyFill="1" applyBorder="1" applyAlignment="1">
      <alignment horizontal="center"/>
    </xf>
    <xf numFmtId="164" fontId="3" fillId="0" borderId="31" xfId="1" applyFont="1" applyBorder="1" applyAlignment="1">
      <alignment horizontal="left"/>
    </xf>
    <xf numFmtId="164" fontId="1" fillId="0" borderId="12" xfId="1" applyFont="1" applyBorder="1" applyAlignment="1">
      <alignment horizontal="center"/>
    </xf>
    <xf numFmtId="164" fontId="3" fillId="0" borderId="12" xfId="1" applyFont="1" applyBorder="1" applyAlignment="1">
      <alignment horizontal="center"/>
    </xf>
    <xf numFmtId="164" fontId="1" fillId="8" borderId="39" xfId="1" applyFont="1" applyFill="1" applyBorder="1" applyAlignment="1">
      <alignment horizontal="center"/>
    </xf>
    <xf numFmtId="164" fontId="1" fillId="8" borderId="15" xfId="1" applyFont="1" applyFill="1" applyBorder="1" applyAlignment="1">
      <alignment horizontal="center"/>
    </xf>
    <xf numFmtId="164" fontId="1" fillId="6" borderId="23" xfId="1" applyFont="1" applyFill="1" applyBorder="1" applyAlignment="1">
      <alignment horizontal="center"/>
    </xf>
    <xf numFmtId="164" fontId="3" fillId="0" borderId="16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1" fillId="0" borderId="5" xfId="1" applyFont="1" applyBorder="1" applyAlignment="1">
      <alignment horizontal="center"/>
    </xf>
    <xf numFmtId="164" fontId="1" fillId="6" borderId="2" xfId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165" fontId="3" fillId="0" borderId="0" xfId="2" applyFont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166" fontId="3" fillId="0" borderId="31" xfId="0" applyNumberFormat="1" applyFont="1" applyBorder="1" applyAlignment="1">
      <alignment horizontal="center"/>
    </xf>
    <xf numFmtId="164" fontId="1" fillId="0" borderId="2" xfId="1" applyFont="1" applyBorder="1" applyAlignment="1">
      <alignment horizontal="center" vertical="center" wrapText="1"/>
    </xf>
    <xf numFmtId="164" fontId="3" fillId="0" borderId="19" xfId="1" applyFont="1" applyBorder="1" applyAlignment="1">
      <alignment horizontal="center"/>
    </xf>
    <xf numFmtId="164" fontId="3" fillId="0" borderId="27" xfId="1" applyFont="1" applyBorder="1" applyAlignment="1">
      <alignment horizontal="center"/>
    </xf>
    <xf numFmtId="164" fontId="3" fillId="0" borderId="28" xfId="1" applyFont="1" applyBorder="1" applyAlignment="1">
      <alignment horizontal="center"/>
    </xf>
    <xf numFmtId="0" fontId="3" fillId="0" borderId="0" xfId="1" applyNumberFormat="1" applyFont="1" applyAlignment="1">
      <alignment horizontal="center"/>
    </xf>
    <xf numFmtId="164" fontId="1" fillId="8" borderId="16" xfId="1" applyFont="1" applyFill="1" applyBorder="1" applyAlignment="1">
      <alignment horizontal="center"/>
    </xf>
    <xf numFmtId="164" fontId="1" fillId="8" borderId="22" xfId="1" applyFont="1" applyFill="1" applyBorder="1" applyAlignment="1">
      <alignment horizontal="center"/>
    </xf>
    <xf numFmtId="164" fontId="1" fillId="8" borderId="23" xfId="1" applyFont="1" applyFill="1" applyBorder="1" applyAlignment="1">
      <alignment horizontal="center"/>
    </xf>
    <xf numFmtId="164" fontId="3" fillId="0" borderId="16" xfId="1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1" fillId="8" borderId="41" xfId="0" applyFont="1" applyFill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164" fontId="1" fillId="8" borderId="12" xfId="1" applyFont="1" applyFill="1" applyBorder="1" applyAlignment="1">
      <alignment horizontal="center"/>
    </xf>
    <xf numFmtId="164" fontId="1" fillId="0" borderId="0" xfId="1" applyFont="1" applyAlignment="1">
      <alignment horizontal="center" wrapText="1"/>
    </xf>
    <xf numFmtId="164" fontId="1" fillId="8" borderId="42" xfId="1" applyFont="1" applyFill="1" applyBorder="1" applyAlignment="1">
      <alignment horizontal="center"/>
    </xf>
    <xf numFmtId="164" fontId="1" fillId="8" borderId="43" xfId="1" applyFont="1" applyFill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0" fillId="0" borderId="0" xfId="0" quotePrefix="1" applyFont="1"/>
    <xf numFmtId="1" fontId="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164" fontId="3" fillId="4" borderId="19" xfId="1" applyFont="1" applyFill="1" applyBorder="1" applyAlignment="1">
      <alignment horizontal="center"/>
    </xf>
    <xf numFmtId="164" fontId="3" fillId="4" borderId="5" xfId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0" fillId="0" borderId="0" xfId="0" applyNumberFormat="1" applyFont="1"/>
    <xf numFmtId="0" fontId="1" fillId="0" borderId="0" xfId="1" applyNumberFormat="1" applyFont="1" applyAlignment="1">
      <alignment horizontal="center"/>
    </xf>
    <xf numFmtId="14" fontId="15" fillId="12" borderId="3" xfId="3" applyNumberFormat="1" applyBorder="1" applyAlignment="1">
      <alignment horizontal="left"/>
    </xf>
    <xf numFmtId="0" fontId="15" fillId="12" borderId="3" xfId="3" applyBorder="1" applyAlignment="1">
      <alignment horizontal="center"/>
    </xf>
    <xf numFmtId="0" fontId="15" fillId="12" borderId="1" xfId="3" applyBorder="1" applyAlignment="1">
      <alignment horizontal="center"/>
    </xf>
    <xf numFmtId="164" fontId="15" fillId="12" borderId="1" xfId="3" applyNumberFormat="1" applyBorder="1" applyAlignment="1">
      <alignment horizontal="center"/>
    </xf>
    <xf numFmtId="164" fontId="15" fillId="12" borderId="3" xfId="3" applyNumberFormat="1" applyBorder="1" applyAlignment="1">
      <alignment horizontal="center"/>
    </xf>
    <xf numFmtId="164" fontId="15" fillId="12" borderId="5" xfId="3" applyNumberFormat="1" applyBorder="1" applyAlignment="1">
      <alignment horizontal="center"/>
    </xf>
    <xf numFmtId="164" fontId="15" fillId="12" borderId="28" xfId="3" applyNumberFormat="1" applyBorder="1" applyAlignment="1">
      <alignment horizontal="center"/>
    </xf>
    <xf numFmtId="0" fontId="15" fillId="12" borderId="11" xfId="3" applyBorder="1" applyAlignment="1">
      <alignment horizontal="center"/>
    </xf>
    <xf numFmtId="0" fontId="15" fillId="12" borderId="5" xfId="3" applyBorder="1" applyAlignment="1">
      <alignment horizontal="center"/>
    </xf>
    <xf numFmtId="0" fontId="15" fillId="12" borderId="16" xfId="3" applyBorder="1" applyAlignment="1">
      <alignment horizontal="center"/>
    </xf>
    <xf numFmtId="164" fontId="15" fillId="12" borderId="31" xfId="3" applyNumberFormat="1" applyBorder="1" applyAlignment="1">
      <alignment horizontal="center"/>
    </xf>
    <xf numFmtId="0" fontId="15" fillId="12" borderId="0" xfId="3" applyAlignment="1">
      <alignment horizontal="center"/>
    </xf>
    <xf numFmtId="164" fontId="15" fillId="12" borderId="16" xfId="3" applyNumberForma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0" fontId="10" fillId="13" borderId="45" xfId="4" applyFont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6" borderId="2" xfId="0" applyNumberFormat="1" applyFont="1" applyFill="1" applyBorder="1" applyAlignment="1">
      <alignment horizontal="center"/>
    </xf>
    <xf numFmtId="164" fontId="3" fillId="0" borderId="3" xfId="1" applyFont="1" applyFill="1" applyBorder="1" applyAlignment="1">
      <alignment horizontal="center"/>
    </xf>
    <xf numFmtId="164" fontId="3" fillId="0" borderId="28" xfId="1" applyFont="1" applyFill="1" applyBorder="1" applyAlignment="1">
      <alignment horizontal="center"/>
    </xf>
    <xf numFmtId="164" fontId="3" fillId="0" borderId="12" xfId="1" applyFont="1" applyFill="1" applyBorder="1" applyAlignment="1">
      <alignment horizontal="center"/>
    </xf>
    <xf numFmtId="0" fontId="10" fillId="0" borderId="45" xfId="4" applyFont="1" applyFill="1"/>
    <xf numFmtId="0" fontId="10" fillId="0" borderId="46" xfId="4" applyFont="1" applyFill="1" applyBorder="1"/>
    <xf numFmtId="0" fontId="1" fillId="8" borderId="44" xfId="0" applyFont="1" applyFill="1" applyBorder="1" applyAlignment="1">
      <alignment horizontal="center"/>
    </xf>
    <xf numFmtId="0" fontId="1" fillId="8" borderId="39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5" xfId="4" applyFont="1" applyFill="1" applyBorder="1" applyAlignment="1">
      <alignment horizontal="center"/>
    </xf>
    <xf numFmtId="164" fontId="3" fillId="0" borderId="5" xfId="4" applyNumberFormat="1" applyFont="1" applyFill="1" applyBorder="1" applyAlignment="1">
      <alignment horizontal="center"/>
    </xf>
    <xf numFmtId="0" fontId="1" fillId="0" borderId="5" xfId="4" applyFont="1" applyFill="1" applyBorder="1" applyAlignment="1">
      <alignment horizontal="center"/>
    </xf>
    <xf numFmtId="166" fontId="3" fillId="0" borderId="5" xfId="4" applyNumberFormat="1" applyFont="1" applyFill="1" applyBorder="1" applyAlignment="1">
      <alignment horizontal="center"/>
    </xf>
    <xf numFmtId="14" fontId="3" fillId="0" borderId="5" xfId="4" applyNumberFormat="1" applyFont="1" applyFill="1" applyBorder="1" applyAlignment="1">
      <alignment horizontal="left"/>
    </xf>
    <xf numFmtId="164" fontId="3" fillId="0" borderId="5" xfId="1" applyFont="1" applyFill="1" applyBorder="1" applyAlignment="1">
      <alignment horizontal="center"/>
    </xf>
    <xf numFmtId="0" fontId="10" fillId="0" borderId="0" xfId="4" applyFont="1" applyFill="1" applyBorder="1"/>
    <xf numFmtId="0" fontId="15" fillId="0" borderId="0" xfId="3" applyFill="1" applyAlignment="1">
      <alignment horizontal="center"/>
    </xf>
    <xf numFmtId="0" fontId="15" fillId="0" borderId="11" xfId="3" applyFill="1" applyBorder="1" applyAlignment="1">
      <alignment horizontal="center"/>
    </xf>
    <xf numFmtId="164" fontId="15" fillId="0" borderId="5" xfId="3" applyNumberFormat="1" applyFill="1" applyBorder="1" applyAlignment="1">
      <alignment horizontal="center"/>
    </xf>
    <xf numFmtId="0" fontId="15" fillId="0" borderId="5" xfId="3" applyFill="1" applyBorder="1" applyAlignment="1">
      <alignment horizontal="center"/>
    </xf>
    <xf numFmtId="168" fontId="3" fillId="0" borderId="19" xfId="0" applyNumberFormat="1" applyFont="1" applyBorder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168" fontId="1" fillId="8" borderId="3" xfId="1" applyNumberFormat="1" applyFont="1" applyFill="1" applyBorder="1" applyAlignment="1">
      <alignment horizontal="center"/>
    </xf>
    <xf numFmtId="168" fontId="1" fillId="8" borderId="3" xfId="0" applyNumberFormat="1" applyFont="1" applyFill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1" fillId="0" borderId="2" xfId="1" applyNumberFormat="1" applyFont="1" applyBorder="1" applyAlignment="1">
      <alignment horizontal="center"/>
    </xf>
    <xf numFmtId="168" fontId="3" fillId="0" borderId="16" xfId="1" applyNumberFormat="1" applyFont="1" applyBorder="1" applyAlignment="1">
      <alignment horizontal="center"/>
    </xf>
    <xf numFmtId="168" fontId="1" fillId="8" borderId="16" xfId="1" applyNumberFormat="1" applyFont="1" applyFill="1" applyBorder="1" applyAlignment="1">
      <alignment horizontal="center"/>
    </xf>
    <xf numFmtId="168" fontId="16" fillId="8" borderId="16" xfId="1" applyNumberFormat="1" applyFont="1" applyFill="1" applyBorder="1" applyAlignment="1">
      <alignment horizontal="center"/>
    </xf>
    <xf numFmtId="14" fontId="3" fillId="13" borderId="47" xfId="4" applyNumberFormat="1" applyFont="1" applyBorder="1" applyAlignment="1">
      <alignment horizontal="left"/>
    </xf>
    <xf numFmtId="168" fontId="1" fillId="8" borderId="44" xfId="1" applyNumberFormat="1" applyFont="1" applyFill="1" applyBorder="1" applyAlignment="1">
      <alignment horizontal="center"/>
    </xf>
    <xf numFmtId="164" fontId="3" fillId="0" borderId="19" xfId="1" applyFont="1" applyFill="1" applyBorder="1" applyAlignment="1">
      <alignment horizontal="center"/>
    </xf>
    <xf numFmtId="0" fontId="0" fillId="0" borderId="5" xfId="0" applyBorder="1"/>
    <xf numFmtId="14" fontId="4" fillId="0" borderId="3" xfId="3" applyNumberFormat="1" applyFont="1" applyFill="1" applyBorder="1" applyAlignment="1">
      <alignment horizontal="left"/>
    </xf>
    <xf numFmtId="164" fontId="1" fillId="0" borderId="22" xfId="1" applyFont="1" applyBorder="1" applyAlignment="1">
      <alignment wrapText="1"/>
    </xf>
    <xf numFmtId="0" fontId="11" fillId="0" borderId="0" xfId="0" applyFont="1"/>
    <xf numFmtId="164" fontId="1" fillId="0" borderId="31" xfId="0" applyNumberFormat="1" applyFont="1" applyBorder="1" applyAlignment="1">
      <alignment horizontal="center"/>
    </xf>
    <xf numFmtId="164" fontId="4" fillId="0" borderId="5" xfId="3" applyNumberFormat="1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164" fontId="4" fillId="0" borderId="16" xfId="3" applyNumberFormat="1" applyFont="1" applyFill="1" applyBorder="1" applyAlignment="1">
      <alignment horizontal="center"/>
    </xf>
    <xf numFmtId="0" fontId="4" fillId="0" borderId="16" xfId="3" applyFont="1" applyFill="1" applyBorder="1" applyAlignment="1">
      <alignment horizontal="center"/>
    </xf>
    <xf numFmtId="164" fontId="4" fillId="0" borderId="31" xfId="3" applyNumberFormat="1" applyFont="1" applyFill="1" applyBorder="1" applyAlignment="1">
      <alignment horizontal="center"/>
    </xf>
    <xf numFmtId="0" fontId="4" fillId="0" borderId="0" xfId="3" applyFont="1" applyFill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1" fillId="8" borderId="16" xfId="0" applyNumberFormat="1" applyFont="1" applyFill="1" applyBorder="1" applyAlignment="1">
      <alignment horizontal="center"/>
    </xf>
    <xf numFmtId="164" fontId="1" fillId="8" borderId="31" xfId="0" applyNumberFormat="1" applyFont="1" applyFill="1" applyBorder="1" applyAlignment="1">
      <alignment horizontal="center"/>
    </xf>
    <xf numFmtId="164" fontId="1" fillId="11" borderId="31" xfId="0" applyNumberFormat="1" applyFont="1" applyFill="1" applyBorder="1" applyAlignment="1">
      <alignment horizontal="center"/>
    </xf>
    <xf numFmtId="0" fontId="1" fillId="11" borderId="16" xfId="0" applyNumberFormat="1" applyFont="1" applyFill="1" applyBorder="1" applyAlignment="1">
      <alignment horizontal="center"/>
    </xf>
    <xf numFmtId="0" fontId="1" fillId="11" borderId="4" xfId="0" applyFont="1" applyFill="1" applyBorder="1" applyAlignment="1">
      <alignment horizontal="left" vertical="center"/>
    </xf>
    <xf numFmtId="2" fontId="1" fillId="11" borderId="2" xfId="0" applyNumberFormat="1" applyFont="1" applyFill="1" applyBorder="1" applyAlignment="1">
      <alignment horizontal="center"/>
    </xf>
    <xf numFmtId="164" fontId="1" fillId="11" borderId="48" xfId="1" applyFont="1" applyFill="1" applyBorder="1" applyAlignment="1">
      <alignment horizontal="center"/>
    </xf>
    <xf numFmtId="164" fontId="1" fillId="11" borderId="24" xfId="1" applyFont="1" applyFill="1" applyBorder="1" applyAlignment="1">
      <alignment horizontal="center"/>
    </xf>
    <xf numFmtId="164" fontId="1" fillId="11" borderId="2" xfId="1" applyFont="1" applyFill="1" applyBorder="1" applyAlignment="1">
      <alignment horizontal="center"/>
    </xf>
    <xf numFmtId="164" fontId="1" fillId="11" borderId="28" xfId="1" applyFont="1" applyFill="1" applyBorder="1" applyAlignment="1">
      <alignment horizontal="center"/>
    </xf>
    <xf numFmtId="164" fontId="3" fillId="0" borderId="1" xfId="1" applyFont="1" applyBorder="1" applyAlignment="1">
      <alignment horizontal="center"/>
    </xf>
    <xf numFmtId="0" fontId="1" fillId="3" borderId="49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/>
    </xf>
    <xf numFmtId="2" fontId="18" fillId="14" borderId="22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9" fillId="0" borderId="0" xfId="0" applyFont="1"/>
    <xf numFmtId="14" fontId="3" fillId="0" borderId="3" xfId="3" applyNumberFormat="1" applyFont="1" applyFill="1" applyBorder="1" applyAlignment="1">
      <alignment horizontal="left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/>
    </xf>
    <xf numFmtId="2" fontId="3" fillId="8" borderId="5" xfId="0" applyNumberFormat="1" applyFont="1" applyFill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164" fontId="3" fillId="3" borderId="3" xfId="1" applyFont="1" applyFill="1" applyBorder="1" applyAlignment="1">
      <alignment horizontal="center"/>
    </xf>
    <xf numFmtId="0" fontId="3" fillId="3" borderId="5" xfId="4" applyFont="1" applyFill="1" applyBorder="1" applyAlignment="1">
      <alignment horizontal="center"/>
    </xf>
    <xf numFmtId="164" fontId="3" fillId="3" borderId="5" xfId="1" applyFont="1" applyFill="1" applyBorder="1" applyAlignment="1">
      <alignment horizontal="center"/>
    </xf>
    <xf numFmtId="164" fontId="3" fillId="3" borderId="1" xfId="1" applyFont="1" applyFill="1" applyBorder="1" applyAlignment="1">
      <alignment horizontal="center"/>
    </xf>
    <xf numFmtId="164" fontId="3" fillId="3" borderId="19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166" fontId="3" fillId="7" borderId="16" xfId="1" applyNumberFormat="1" applyFont="1" applyFill="1" applyBorder="1" applyAlignment="1">
      <alignment horizontal="left"/>
    </xf>
    <xf numFmtId="0" fontId="3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5" xfId="4" applyFont="1" applyFill="1" applyBorder="1" applyAlignment="1">
      <alignment horizontal="center"/>
    </xf>
    <xf numFmtId="0" fontId="1" fillId="7" borderId="5" xfId="4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166" fontId="3" fillId="4" borderId="16" xfId="1" applyNumberFormat="1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4" borderId="5" xfId="4" applyFont="1" applyFill="1" applyBorder="1" applyAlignment="1">
      <alignment horizontal="center"/>
    </xf>
    <xf numFmtId="0" fontId="3" fillId="4" borderId="5" xfId="4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14" fontId="3" fillId="0" borderId="11" xfId="0" applyNumberFormat="1" applyFont="1" applyBorder="1" applyAlignment="1">
      <alignment horizontal="left"/>
    </xf>
    <xf numFmtId="14" fontId="3" fillId="0" borderId="32" xfId="3" applyNumberFormat="1" applyFont="1" applyFill="1" applyBorder="1" applyAlignment="1">
      <alignment horizontal="left"/>
    </xf>
    <xf numFmtId="0" fontId="3" fillId="8" borderId="44" xfId="0" applyFont="1" applyFill="1" applyBorder="1" applyAlignment="1">
      <alignment horizontal="center"/>
    </xf>
    <xf numFmtId="164" fontId="3" fillId="8" borderId="53" xfId="1" applyFont="1" applyFill="1" applyBorder="1" applyAlignment="1">
      <alignment horizontal="center"/>
    </xf>
    <xf numFmtId="164" fontId="3" fillId="8" borderId="31" xfId="1" applyFont="1" applyFill="1" applyBorder="1" applyAlignment="1">
      <alignment horizontal="center"/>
    </xf>
    <xf numFmtId="0" fontId="0" fillId="8" borderId="0" xfId="0" applyFill="1"/>
    <xf numFmtId="0" fontId="17" fillId="0" borderId="0" xfId="0" applyFont="1"/>
    <xf numFmtId="44" fontId="3" fillId="3" borderId="27" xfId="1" applyNumberFormat="1" applyFont="1" applyFill="1" applyBorder="1" applyAlignment="1">
      <alignment horizontal="center"/>
    </xf>
    <xf numFmtId="44" fontId="1" fillId="11" borderId="27" xfId="1" applyNumberFormat="1" applyFont="1" applyFill="1" applyBorder="1" applyAlignment="1">
      <alignment horizontal="center"/>
    </xf>
    <xf numFmtId="44" fontId="3" fillId="8" borderId="27" xfId="1" applyNumberFormat="1" applyFont="1" applyFill="1" applyBorder="1" applyAlignment="1">
      <alignment horizontal="center"/>
    </xf>
    <xf numFmtId="0" fontId="23" fillId="3" borderId="18" xfId="0" applyFont="1" applyFill="1" applyBorder="1"/>
    <xf numFmtId="0" fontId="23" fillId="3" borderId="6" xfId="0" applyFont="1" applyFill="1" applyBorder="1"/>
    <xf numFmtId="0" fontId="24" fillId="11" borderId="54" xfId="0" applyFont="1" applyFill="1" applyBorder="1"/>
    <xf numFmtId="0" fontId="24" fillId="11" borderId="18" xfId="0" applyFont="1" applyFill="1" applyBorder="1"/>
    <xf numFmtId="0" fontId="24" fillId="11" borderId="6" xfId="0" applyFont="1" applyFill="1" applyBorder="1"/>
    <xf numFmtId="0" fontId="24" fillId="11" borderId="55" xfId="0" applyNumberFormat="1" applyFont="1" applyFill="1" applyBorder="1"/>
    <xf numFmtId="0" fontId="24" fillId="11" borderId="17" xfId="0" applyFont="1" applyFill="1" applyBorder="1"/>
    <xf numFmtId="0" fontId="24" fillId="11" borderId="7" xfId="0" applyFont="1" applyFill="1" applyBorder="1"/>
    <xf numFmtId="0" fontId="25" fillId="7" borderId="18" xfId="0" applyFont="1" applyFill="1" applyBorder="1"/>
    <xf numFmtId="0" fontId="25" fillId="7" borderId="6" xfId="0" applyFont="1" applyFill="1" applyBorder="1"/>
    <xf numFmtId="0" fontId="24" fillId="3" borderId="54" xfId="0" applyFont="1" applyFill="1" applyBorder="1"/>
    <xf numFmtId="2" fontId="1" fillId="8" borderId="5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3" fillId="4" borderId="5" xfId="1" applyNumberFormat="1" applyFont="1" applyFill="1" applyBorder="1" applyAlignment="1">
      <alignment horizontal="center"/>
    </xf>
    <xf numFmtId="2" fontId="3" fillId="0" borderId="5" xfId="1" applyNumberFormat="1" applyFont="1" applyBorder="1" applyAlignment="1">
      <alignment horizontal="left"/>
    </xf>
    <xf numFmtId="2" fontId="0" fillId="0" borderId="5" xfId="0" applyNumberFormat="1" applyBorder="1"/>
    <xf numFmtId="2" fontId="3" fillId="0" borderId="5" xfId="1" applyNumberFormat="1" applyFont="1" applyBorder="1" applyAlignment="1">
      <alignment horizontal="center"/>
    </xf>
    <xf numFmtId="2" fontId="1" fillId="0" borderId="5" xfId="1" applyNumberFormat="1" applyFont="1" applyBorder="1" applyAlignment="1">
      <alignment horizontal="center"/>
    </xf>
    <xf numFmtId="2" fontId="3" fillId="8" borderId="5" xfId="1" applyNumberFormat="1" applyFont="1" applyFill="1" applyBorder="1" applyAlignment="1">
      <alignment horizontal="center"/>
    </xf>
    <xf numFmtId="2" fontId="5" fillId="0" borderId="5" xfId="3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2" fontId="18" fillId="14" borderId="23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166" fontId="3" fillId="0" borderId="5" xfId="1" applyNumberFormat="1" applyFont="1" applyBorder="1" applyAlignment="1">
      <alignment horizontal="left"/>
    </xf>
    <xf numFmtId="164" fontId="3" fillId="0" borderId="5" xfId="1" applyFont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9" xfId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8" borderId="11" xfId="0" applyNumberFormat="1" applyFont="1" applyFill="1" applyBorder="1" applyAlignment="1">
      <alignment horizontal="left"/>
    </xf>
    <xf numFmtId="14" fontId="1" fillId="8" borderId="11" xfId="0" applyNumberFormat="1" applyFont="1" applyFill="1" applyBorder="1" applyAlignment="1">
      <alignment horizontal="left" wrapText="1"/>
    </xf>
    <xf numFmtId="14" fontId="1" fillId="8" borderId="41" xfId="0" applyNumberFormat="1" applyFont="1" applyFill="1" applyBorder="1" applyAlignment="1">
      <alignment horizontal="left"/>
    </xf>
    <xf numFmtId="0" fontId="1" fillId="11" borderId="29" xfId="0" applyFont="1" applyFill="1" applyBorder="1" applyAlignment="1">
      <alignment horizontal="left" vertical="center"/>
    </xf>
    <xf numFmtId="164" fontId="10" fillId="11" borderId="22" xfId="1" applyFont="1" applyFill="1" applyBorder="1"/>
    <xf numFmtId="2" fontId="3" fillId="0" borderId="16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1" fillId="8" borderId="3" xfId="0" applyNumberFormat="1" applyFont="1" applyFill="1" applyBorder="1" applyAlignment="1">
      <alignment horizontal="center"/>
    </xf>
    <xf numFmtId="0" fontId="3" fillId="7" borderId="3" xfId="1" applyNumberFormat="1" applyFont="1" applyFill="1" applyBorder="1" applyAlignment="1">
      <alignment horizontal="center"/>
    </xf>
    <xf numFmtId="0" fontId="3" fillId="7" borderId="28" xfId="1" applyNumberFormat="1" applyFont="1" applyFill="1" applyBorder="1" applyAlignment="1">
      <alignment horizontal="center"/>
    </xf>
    <xf numFmtId="0" fontId="3" fillId="7" borderId="5" xfId="4" applyNumberFormat="1" applyFont="1" applyFill="1" applyBorder="1" applyAlignment="1">
      <alignment horizontal="center"/>
    </xf>
    <xf numFmtId="0" fontId="3" fillId="7" borderId="19" xfId="1" applyNumberFormat="1" applyFont="1" applyFill="1" applyBorder="1" applyAlignment="1">
      <alignment horizontal="center"/>
    </xf>
    <xf numFmtId="0" fontId="3" fillId="7" borderId="5" xfId="1" applyNumberFormat="1" applyFont="1" applyFill="1" applyBorder="1" applyAlignment="1">
      <alignment horizontal="center"/>
    </xf>
    <xf numFmtId="0" fontId="10" fillId="7" borderId="5" xfId="0" applyNumberFormat="1" applyFont="1" applyFill="1" applyBorder="1"/>
    <xf numFmtId="0" fontId="1" fillId="8" borderId="5" xfId="0" applyNumberFormat="1" applyFont="1" applyFill="1" applyBorder="1" applyAlignment="1">
      <alignment horizontal="center"/>
    </xf>
    <xf numFmtId="0" fontId="1" fillId="11" borderId="2" xfId="0" applyNumberFormat="1" applyFont="1" applyFill="1" applyBorder="1" applyAlignment="1">
      <alignment horizontal="center"/>
    </xf>
    <xf numFmtId="2" fontId="4" fillId="0" borderId="5" xfId="0" applyNumberFormat="1" applyFont="1" applyBorder="1"/>
    <xf numFmtId="0" fontId="5" fillId="0" borderId="0" xfId="0" applyFont="1"/>
    <xf numFmtId="0" fontId="4" fillId="0" borderId="0" xfId="0" applyFont="1"/>
    <xf numFmtId="0" fontId="16" fillId="3" borderId="54" xfId="0" applyFont="1" applyFill="1" applyBorder="1"/>
    <xf numFmtId="0" fontId="16" fillId="3" borderId="6" xfId="0" applyFont="1" applyFill="1" applyBorder="1"/>
    <xf numFmtId="0" fontId="27" fillId="4" borderId="54" xfId="0" applyFont="1" applyFill="1" applyBorder="1"/>
    <xf numFmtId="0" fontId="27" fillId="4" borderId="6" xfId="0" applyFont="1" applyFill="1" applyBorder="1"/>
    <xf numFmtId="0" fontId="27" fillId="7" borderId="54" xfId="0" applyFont="1" applyFill="1" applyBorder="1"/>
    <xf numFmtId="0" fontId="27" fillId="7" borderId="6" xfId="0" applyFont="1" applyFill="1" applyBorder="1"/>
    <xf numFmtId="2" fontId="16" fillId="3" borderId="55" xfId="0" applyNumberFormat="1" applyFont="1" applyFill="1" applyBorder="1"/>
    <xf numFmtId="0" fontId="16" fillId="3" borderId="7" xfId="0" applyFont="1" applyFill="1" applyBorder="1"/>
    <xf numFmtId="0" fontId="27" fillId="4" borderId="55" xfId="0" applyFont="1" applyFill="1" applyBorder="1"/>
    <xf numFmtId="0" fontId="27" fillId="4" borderId="7" xfId="0" applyFont="1" applyFill="1" applyBorder="1"/>
    <xf numFmtId="0" fontId="27" fillId="7" borderId="55" xfId="0" applyNumberFormat="1" applyFont="1" applyFill="1" applyBorder="1"/>
    <xf numFmtId="0" fontId="27" fillId="7" borderId="7" xfId="0" applyFont="1" applyFill="1" applyBorder="1"/>
    <xf numFmtId="0" fontId="28" fillId="15" borderId="54" xfId="0" applyFont="1" applyFill="1" applyBorder="1"/>
    <xf numFmtId="0" fontId="28" fillId="15" borderId="18" xfId="0" applyFont="1" applyFill="1" applyBorder="1"/>
    <xf numFmtId="0" fontId="5" fillId="15" borderId="6" xfId="0" applyFont="1" applyFill="1" applyBorder="1"/>
    <xf numFmtId="0" fontId="16" fillId="11" borderId="56" xfId="0" applyFont="1" applyFill="1" applyBorder="1"/>
    <xf numFmtId="0" fontId="5" fillId="0" borderId="0" xfId="0" applyFont="1" applyBorder="1"/>
    <xf numFmtId="44" fontId="16" fillId="11" borderId="57" xfId="0" applyNumberFormat="1" applyFont="1" applyFill="1" applyBorder="1"/>
    <xf numFmtId="0" fontId="29" fillId="7" borderId="54" xfId="0" applyFont="1" applyFill="1" applyBorder="1"/>
    <xf numFmtId="0" fontId="3" fillId="16" borderId="3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2" fontId="3" fillId="7" borderId="5" xfId="0" applyNumberFormat="1" applyFont="1" applyFill="1" applyBorder="1" applyAlignment="1">
      <alignment horizontal="center"/>
    </xf>
    <xf numFmtId="2" fontId="3" fillId="7" borderId="3" xfId="0" applyNumberFormat="1" applyFont="1" applyFill="1" applyBorder="1" applyAlignment="1">
      <alignment horizontal="center"/>
    </xf>
    <xf numFmtId="164" fontId="1" fillId="8" borderId="5" xfId="0" applyNumberFormat="1" applyFont="1" applyFill="1" applyBorder="1" applyAlignment="1">
      <alignment horizontal="center"/>
    </xf>
    <xf numFmtId="0" fontId="3" fillId="17" borderId="19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3" fillId="17" borderId="28" xfId="0" applyFont="1" applyFill="1" applyBorder="1" applyAlignment="1">
      <alignment horizontal="center"/>
    </xf>
    <xf numFmtId="0" fontId="3" fillId="17" borderId="5" xfId="4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44" fontId="28" fillId="15" borderId="17" xfId="0" applyNumberFormat="1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64" fontId="9" fillId="0" borderId="17" xfId="1" applyFont="1" applyBorder="1" applyAlignment="1">
      <alignment horizontal="center" vertical="center"/>
    </xf>
    <xf numFmtId="164" fontId="9" fillId="0" borderId="7" xfId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44" fontId="28" fillId="15" borderId="55" xfId="0" applyNumberFormat="1" applyFont="1" applyFill="1" applyBorder="1" applyAlignment="1">
      <alignment horizontal="center"/>
    </xf>
    <xf numFmtId="44" fontId="28" fillId="15" borderId="17" xfId="0" applyNumberFormat="1" applyFont="1" applyFill="1" applyBorder="1" applyAlignment="1">
      <alignment horizontal="center"/>
    </xf>
    <xf numFmtId="44" fontId="28" fillId="15" borderId="7" xfId="0" applyNumberFormat="1" applyFont="1" applyFill="1" applyBorder="1" applyAlignment="1">
      <alignment horizontal="center"/>
    </xf>
    <xf numFmtId="44" fontId="24" fillId="3" borderId="55" xfId="0" applyNumberFormat="1" applyFont="1" applyFill="1" applyBorder="1" applyAlignment="1">
      <alignment horizontal="center"/>
    </xf>
    <xf numFmtId="44" fontId="24" fillId="3" borderId="17" xfId="0" applyNumberFormat="1" applyFont="1" applyFill="1" applyBorder="1" applyAlignment="1">
      <alignment horizontal="center"/>
    </xf>
    <xf numFmtId="44" fontId="24" fillId="3" borderId="7" xfId="0" applyNumberFormat="1" applyFont="1" applyFill="1" applyBorder="1" applyAlignment="1">
      <alignment horizontal="center"/>
    </xf>
    <xf numFmtId="44" fontId="25" fillId="7" borderId="55" xfId="0" applyNumberFormat="1" applyFont="1" applyFill="1" applyBorder="1" applyAlignment="1">
      <alignment horizontal="center"/>
    </xf>
    <xf numFmtId="44" fontId="25" fillId="7" borderId="17" xfId="0" applyNumberFormat="1" applyFont="1" applyFill="1" applyBorder="1" applyAlignment="1">
      <alignment horizontal="center"/>
    </xf>
    <xf numFmtId="44" fontId="25" fillId="7" borderId="7" xfId="0" applyNumberFormat="1" applyFont="1" applyFill="1" applyBorder="1" applyAlignment="1">
      <alignment horizontal="center"/>
    </xf>
  </cellXfs>
  <cellStyles count="5">
    <cellStyle name="Comma" xfId="2" builtinId="3"/>
    <cellStyle name="Currency" xfId="1" builtinId="4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worksheet" Target="worksheets/sheet10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9.xml"/><Relationship Id="rId17" Type="http://schemas.openxmlformats.org/officeDocument/2006/relationships/worksheet" Target="worksheets/sheet14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8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2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7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Quantity of Materials Recycled and Cost of Recycling</a:t>
            </a:r>
            <a:r>
              <a:rPr lang="en-CA" baseline="0"/>
              <a:t> </a:t>
            </a:r>
            <a:r>
              <a:rPr lang="en-CA"/>
              <a:t>at Kitwanga Transfer Station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'Kitwanga 2019'!$B$71</c:f>
              <c:strCache>
                <c:ptCount val="1"/>
                <c:pt idx="0">
                  <c:v>Tonnes OCC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Kitwanga2018!$A$90:$A$104</c:f>
              <c:strCache>
                <c:ptCount val="15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</c:strCache>
            </c:strRef>
          </c:cat>
          <c:val>
            <c:numRef>
              <c:f>'Kitwanga 2019'!$B$72:$B$83</c:f>
            </c:numRef>
          </c:val>
          <c:extLst>
            <c:ext xmlns:c16="http://schemas.microsoft.com/office/drawing/2014/chart" uri="{C3380CC4-5D6E-409C-BE32-E72D297353CC}">
              <c16:uniqueId val="{00000000-66D7-423F-B261-89428FD313DC}"/>
            </c:ext>
          </c:extLst>
        </c:ser>
        <c:ser>
          <c:idx val="1"/>
          <c:order val="1"/>
          <c:tx>
            <c:strRef>
              <c:f>'Kitwanga 2019'!$C$71</c:f>
              <c:strCache>
                <c:ptCount val="1"/>
                <c:pt idx="0">
                  <c:v>Tonnes PPP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Kitwanga2018!$A$90:$A$104</c:f>
              <c:strCache>
                <c:ptCount val="15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</c:strCache>
            </c:strRef>
          </c:cat>
          <c:val>
            <c:numRef>
              <c:f>'Kitwanga 2019'!$C$72:$C$83</c:f>
            </c:numRef>
          </c:val>
          <c:extLst>
            <c:ext xmlns:c16="http://schemas.microsoft.com/office/drawing/2014/chart" uri="{C3380CC4-5D6E-409C-BE32-E72D297353CC}">
              <c16:uniqueId val="{00000001-66D7-423F-B261-89428FD31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6947224"/>
        <c:axId val="586944600"/>
      </c:barChart>
      <c:lineChart>
        <c:grouping val="standard"/>
        <c:varyColors val="0"/>
        <c:ser>
          <c:idx val="2"/>
          <c:order val="2"/>
          <c:tx>
            <c:strRef>
              <c:f>'Kitwanga 2019'!$I$71</c:f>
              <c:strCache>
                <c:ptCount val="1"/>
                <c:pt idx="0">
                  <c:v>Total monthly cost per tonne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'Kitwanga 2019'!$I$72:$I$83</c:f>
              <c:numCache>
                <c:formatCode>_("$"* #,##0.00_);_("$"* \(#,##0.00\);_("$"* "-"??_);_(@_)</c:formatCode>
                <c:ptCount val="12"/>
                <c:pt idx="0">
                  <c:v>688.31228123190044</c:v>
                </c:pt>
                <c:pt idx="1">
                  <c:v>1172.1212243254126</c:v>
                </c:pt>
                <c:pt idx="2">
                  <c:v>1074.5028627286692</c:v>
                </c:pt>
                <c:pt idx="3">
                  <c:v>1148.707142857143</c:v>
                </c:pt>
                <c:pt idx="4">
                  <c:v>904.5793125197099</c:v>
                </c:pt>
                <c:pt idx="5">
                  <c:v>820.5607675906183</c:v>
                </c:pt>
                <c:pt idx="6">
                  <c:v>1304.3107344632767</c:v>
                </c:pt>
                <c:pt idx="7">
                  <c:v>588.87330372563531</c:v>
                </c:pt>
                <c:pt idx="8">
                  <c:v>1260.2580532212887</c:v>
                </c:pt>
                <c:pt idx="9">
                  <c:v>765.60952380952369</c:v>
                </c:pt>
                <c:pt idx="10">
                  <c:v>733.77274967958192</c:v>
                </c:pt>
                <c:pt idx="11">
                  <c:v>179.8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D7-423F-B261-89428FD313DC}"/>
            </c:ext>
          </c:extLst>
        </c:ser>
        <c:ser>
          <c:idx val="3"/>
          <c:order val="3"/>
          <c:tx>
            <c:strRef>
              <c:f>'Kitwanga 2019'!$G$71</c:f>
              <c:strCache>
                <c:ptCount val="1"/>
                <c:pt idx="0">
                  <c:v>OCC cost per tonne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'Kitwanga 2019'!$G$72:$G$83</c:f>
            </c:numRef>
          </c:val>
          <c:smooth val="0"/>
          <c:extLst>
            <c:ext xmlns:c16="http://schemas.microsoft.com/office/drawing/2014/chart" uri="{C3380CC4-5D6E-409C-BE32-E72D297353CC}">
              <c16:uniqueId val="{00000003-66D7-423F-B261-89428FD313DC}"/>
            </c:ext>
          </c:extLst>
        </c:ser>
        <c:ser>
          <c:idx val="4"/>
          <c:order val="4"/>
          <c:tx>
            <c:strRef>
              <c:f>'Kitwanga 2019'!$H$71</c:f>
              <c:strCache>
                <c:ptCount val="1"/>
                <c:pt idx="0">
                  <c:v>PPP cost per tonne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'Kitwanga 2019'!$H$72:$H$83</c:f>
              <c:numCache>
                <c:formatCode>_("$"* #,##0.00_);_("$"* \(#,##0.00\);_("$"* "-"??_);_(@_)</c:formatCode>
                <c:ptCount val="12"/>
                <c:pt idx="0">
                  <c:v>1050.0794170368638</c:v>
                </c:pt>
                <c:pt idx="1">
                  <c:v>1654.4989075018207</c:v>
                </c:pt>
                <c:pt idx="2">
                  <c:v>1404.3480195816644</c:v>
                </c:pt>
                <c:pt idx="3">
                  <c:v>1629.7214143142287</c:v>
                </c:pt>
                <c:pt idx="4">
                  <c:v>1286.5145670082379</c:v>
                </c:pt>
                <c:pt idx="5">
                  <c:v>1421.922448979592</c:v>
                </c:pt>
                <c:pt idx="6">
                  <c:v>1528.5661375661375</c:v>
                </c:pt>
                <c:pt idx="7">
                  <c:v>1308.4310998735778</c:v>
                </c:pt>
                <c:pt idx="8">
                  <c:v>808.50735294117646</c:v>
                </c:pt>
                <c:pt idx="9">
                  <c:v>1497.7346938775511</c:v>
                </c:pt>
                <c:pt idx="10">
                  <c:v>1035.3320064868051</c:v>
                </c:pt>
                <c:pt idx="11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D7-423F-B261-89428FD31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25048"/>
        <c:axId val="321928328"/>
      </c:lineChart>
      <c:catAx>
        <c:axId val="58694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44600"/>
        <c:crosses val="autoZero"/>
        <c:auto val="1"/>
        <c:lblAlgn val="ctr"/>
        <c:lblOffset val="100"/>
        <c:noMultiLvlLbl val="0"/>
      </c:catAx>
      <c:valAx>
        <c:axId val="58694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Tonnes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47224"/>
        <c:crosses val="autoZero"/>
        <c:crossBetween val="between"/>
      </c:valAx>
      <c:valAx>
        <c:axId val="321928328"/>
        <c:scaling>
          <c:orientation val="minMax"/>
          <c:max val="4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per tonne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25048"/>
        <c:crosses val="max"/>
        <c:crossBetween val="between"/>
      </c:valAx>
      <c:catAx>
        <c:axId val="321925048"/>
        <c:scaling>
          <c:orientation val="minMax"/>
        </c:scaling>
        <c:delete val="1"/>
        <c:axPos val="b"/>
        <c:majorTickMark val="out"/>
        <c:minorTickMark val="none"/>
        <c:tickLblPos val="nextTo"/>
        <c:crossAx val="321928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Quantity of Materials Recycled and Cost of Recycling</a:t>
            </a:r>
            <a:r>
              <a:rPr lang="en-CA" baseline="0"/>
              <a:t> </a:t>
            </a:r>
            <a:r>
              <a:rPr lang="en-CA"/>
              <a:t>at Hazelton Waste</a:t>
            </a:r>
            <a:r>
              <a:rPr lang="en-CA" baseline="0"/>
              <a:t> Management Facility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'Stewart 2019'!$B$71</c:f>
              <c:strCache>
                <c:ptCount val="1"/>
                <c:pt idx="0">
                  <c:v>Tonnes OCC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Kitwanga2018!$A$90:$A$104</c:f>
              <c:strCache>
                <c:ptCount val="15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</c:strCache>
            </c:strRef>
          </c:cat>
          <c:val>
            <c:numRef>
              <c:f>'Stewart 2019'!$B$72:$B$83</c:f>
              <c:numCache>
                <c:formatCode>General</c:formatCode>
                <c:ptCount val="12"/>
                <c:pt idx="0">
                  <c:v>1.825</c:v>
                </c:pt>
                <c:pt idx="1">
                  <c:v>2.4700000000000002</c:v>
                </c:pt>
                <c:pt idx="2">
                  <c:v>2.3099999999999996</c:v>
                </c:pt>
                <c:pt idx="3">
                  <c:v>1.78</c:v>
                </c:pt>
                <c:pt idx="4">
                  <c:v>2.23</c:v>
                </c:pt>
                <c:pt idx="5">
                  <c:v>2.66</c:v>
                </c:pt>
                <c:pt idx="6">
                  <c:v>3.0100000000000002</c:v>
                </c:pt>
                <c:pt idx="7">
                  <c:v>2.2399999999999998</c:v>
                </c:pt>
                <c:pt idx="8">
                  <c:v>2.74</c:v>
                </c:pt>
                <c:pt idx="9">
                  <c:v>2.2399999999999998</c:v>
                </c:pt>
                <c:pt idx="10">
                  <c:v>1.8599999999999999</c:v>
                </c:pt>
                <c:pt idx="11">
                  <c:v>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2-4B55-97EE-42070AEA5FB1}"/>
            </c:ext>
          </c:extLst>
        </c:ser>
        <c:ser>
          <c:idx val="1"/>
          <c:order val="1"/>
          <c:tx>
            <c:strRef>
              <c:f>'Stewart 2019'!$E$71</c:f>
              <c:strCache>
                <c:ptCount val="1"/>
                <c:pt idx="0">
                  <c:v>Tonnes PPP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'Stewart 2019'!$E$72:$E$83</c:f>
              <c:numCache>
                <c:formatCode>General</c:formatCode>
                <c:ptCount val="12"/>
                <c:pt idx="0">
                  <c:v>0.73399999999999999</c:v>
                </c:pt>
                <c:pt idx="1">
                  <c:v>0.64700000000000002</c:v>
                </c:pt>
                <c:pt idx="2">
                  <c:v>1.22</c:v>
                </c:pt>
                <c:pt idx="3">
                  <c:v>1.3660000000000001</c:v>
                </c:pt>
                <c:pt idx="4">
                  <c:v>1.1399999999999999</c:v>
                </c:pt>
                <c:pt idx="5">
                  <c:v>1.778</c:v>
                </c:pt>
                <c:pt idx="6">
                  <c:v>1.123</c:v>
                </c:pt>
                <c:pt idx="7">
                  <c:v>0.81399999999999995</c:v>
                </c:pt>
                <c:pt idx="8">
                  <c:v>0.97499999999999998</c:v>
                </c:pt>
                <c:pt idx="9">
                  <c:v>1.2609999999999999</c:v>
                </c:pt>
                <c:pt idx="10">
                  <c:v>0.215</c:v>
                </c:pt>
                <c:pt idx="11">
                  <c:v>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2-4B55-97EE-42070AEA5FB1}"/>
            </c:ext>
          </c:extLst>
        </c:ser>
        <c:ser>
          <c:idx val="4"/>
          <c:order val="2"/>
          <c:tx>
            <c:strRef>
              <c:f>'Stewart 2019'!$G$71</c:f>
              <c:strCache>
                <c:ptCount val="1"/>
                <c:pt idx="0">
                  <c:v>Tonnes Other EPR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'Stewart 2019'!$G$72:$G$83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2.0499999999999998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62-4B55-97EE-42070AEA5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6947224"/>
        <c:axId val="586944600"/>
      </c:barChart>
      <c:lineChart>
        <c:grouping val="standard"/>
        <c:varyColors val="0"/>
        <c:ser>
          <c:idx val="2"/>
          <c:order val="3"/>
          <c:tx>
            <c:strRef>
              <c:f>'Stewart 2019'!$M$71</c:f>
              <c:strCache>
                <c:ptCount val="1"/>
                <c:pt idx="0">
                  <c:v>Total cost per tonne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'Stewart 2019'!$M$72:$M$83</c:f>
              <c:numCache>
                <c:formatCode>General</c:formatCode>
                <c:ptCount val="12"/>
                <c:pt idx="0">
                  <c:v>1280.9398202422819</c:v>
                </c:pt>
                <c:pt idx="1">
                  <c:v>756.66892005438683</c:v>
                </c:pt>
                <c:pt idx="2">
                  <c:v>608.87599487387024</c:v>
                </c:pt>
                <c:pt idx="3">
                  <c:v>603.61131292949472</c:v>
                </c:pt>
                <c:pt idx="4">
                  <c:v>704.503709198813</c:v>
                </c:pt>
                <c:pt idx="5">
                  <c:v>695.42570656022644</c:v>
                </c:pt>
                <c:pt idx="6">
                  <c:v>684.06968303895485</c:v>
                </c:pt>
                <c:pt idx="7">
                  <c:v>493.52480743443408</c:v>
                </c:pt>
                <c:pt idx="8">
                  <c:v>770.05639941036975</c:v>
                </c:pt>
                <c:pt idx="9">
                  <c:v>370.51410728225716</c:v>
                </c:pt>
                <c:pt idx="10">
                  <c:v>916.58611589214024</c:v>
                </c:pt>
                <c:pt idx="11">
                  <c:v>369.58592132505174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62-4B55-97EE-42070AEA5FB1}"/>
            </c:ext>
          </c:extLst>
        </c:ser>
        <c:ser>
          <c:idx val="3"/>
          <c:order val="4"/>
          <c:tx>
            <c:strRef>
              <c:f>'Stewart 2019'!$D$71</c:f>
              <c:strCache>
                <c:ptCount val="1"/>
                <c:pt idx="0">
                  <c:v>OCC Cost per Tonne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'Stewart 2019'!$D$72:$D$83</c:f>
              <c:numCache>
                <c:formatCode>_("$"* #,##0.00_);_("$"* \(#,##0.00\);_("$"* "-"??_);_(@_)</c:formatCode>
                <c:ptCount val="12"/>
                <c:pt idx="0">
                  <c:v>1796.1232876712327</c:v>
                </c:pt>
                <c:pt idx="1">
                  <c:v>1043.885434740698</c:v>
                </c:pt>
                <c:pt idx="2">
                  <c:v>963.58972376829524</c:v>
                </c:pt>
                <c:pt idx="3">
                  <c:v>1229.1579721776352</c:v>
                </c:pt>
                <c:pt idx="4">
                  <c:v>1142.1020179372197</c:v>
                </c:pt>
                <c:pt idx="5">
                  <c:v>1252.8719119226637</c:v>
                </c:pt>
                <c:pt idx="6">
                  <c:v>1010.797342192691</c:v>
                </c:pt>
                <c:pt idx="7">
                  <c:v>734.77891156462579</c:v>
                </c:pt>
                <c:pt idx="8">
                  <c:v>1124.3100451859575</c:v>
                </c:pt>
                <c:pt idx="9">
                  <c:v>1128.6267006802723</c:v>
                </c:pt>
                <c:pt idx="10">
                  <c:v>1063.6968766001025</c:v>
                </c:pt>
                <c:pt idx="11">
                  <c:v>693.11806914546639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62-4B55-97EE-42070AEA5FB1}"/>
            </c:ext>
          </c:extLst>
        </c:ser>
        <c:ser>
          <c:idx val="5"/>
          <c:order val="5"/>
          <c:tx>
            <c:strRef>
              <c:f>'Stewart 2019'!$J$71</c:f>
              <c:strCache>
                <c:ptCount val="1"/>
                <c:pt idx="0">
                  <c:v>EPR Cost per tonne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'Stewart 2019'!$J$72:$J$83</c:f>
              <c:numCache>
                <c:formatCode>General</c:formatCode>
                <c:ptCount val="12"/>
                <c:pt idx="0">
                  <c:v>0</c:v>
                </c:pt>
                <c:pt idx="1">
                  <c:v>-339.8145285935085</c:v>
                </c:pt>
                <c:pt idx="2">
                  <c:v>-62.754098360655739</c:v>
                </c:pt>
                <c:pt idx="3">
                  <c:v>-211.52269399707171</c:v>
                </c:pt>
                <c:pt idx="4">
                  <c:v>-151.50000000000003</c:v>
                </c:pt>
                <c:pt idx="5">
                  <c:v>-138.54893138357704</c:v>
                </c:pt>
                <c:pt idx="6">
                  <c:v>-191.66518254674978</c:v>
                </c:pt>
                <c:pt idx="7">
                  <c:v>-170.36855036855039</c:v>
                </c:pt>
                <c:pt idx="8">
                  <c:v>-225.4871794871795</c:v>
                </c:pt>
                <c:pt idx="9">
                  <c:v>-142.37390516460283</c:v>
                </c:pt>
                <c:pt idx="10">
                  <c:v>-356.09302325581399</c:v>
                </c:pt>
                <c:pt idx="11">
                  <c:v>-71.869158878504678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62-4B55-97EE-42070AEA5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25048"/>
        <c:axId val="321928328"/>
      </c:lineChart>
      <c:catAx>
        <c:axId val="58694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44600"/>
        <c:crosses val="autoZero"/>
        <c:auto val="1"/>
        <c:lblAlgn val="ctr"/>
        <c:lblOffset val="100"/>
        <c:noMultiLvlLbl val="0"/>
      </c:catAx>
      <c:valAx>
        <c:axId val="58694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Tonnes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47224"/>
        <c:crosses val="autoZero"/>
        <c:crossBetween val="between"/>
      </c:valAx>
      <c:valAx>
        <c:axId val="321928328"/>
        <c:scaling>
          <c:orientation val="minMax"/>
          <c:max val="4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per tonne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25048"/>
        <c:crosses val="max"/>
        <c:crossBetween val="between"/>
      </c:valAx>
      <c:catAx>
        <c:axId val="321925048"/>
        <c:scaling>
          <c:orientation val="minMax"/>
        </c:scaling>
        <c:delete val="1"/>
        <c:axPos val="b"/>
        <c:majorTickMark val="out"/>
        <c:minorTickMark val="none"/>
        <c:tickLblPos val="nextTo"/>
        <c:crossAx val="321928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Quantity of Materials Recycled and Cost of Recycling</a:t>
            </a:r>
            <a:r>
              <a:rPr lang="en-CA" baseline="0"/>
              <a:t> </a:t>
            </a:r>
            <a:r>
              <a:rPr lang="en-CA"/>
              <a:t>at Hazelton Waste</a:t>
            </a:r>
            <a:r>
              <a:rPr lang="en-CA" baseline="0"/>
              <a:t> Management Facility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'Hazelton 2019'!$B$70</c:f>
              <c:strCache>
                <c:ptCount val="1"/>
                <c:pt idx="0">
                  <c:v>Tonnes OCC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Kitwanga2018!$A$90:$A$104</c:f>
              <c:strCache>
                <c:ptCount val="15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</c:strCache>
            </c:strRef>
          </c:cat>
          <c:val>
            <c:numRef>
              <c:f>'Hazelton 2019'!$B$71:$B$82</c:f>
              <c:numCache>
                <c:formatCode>_(* #,##0.00_);_(* \(#,##0.00\);_(* "-"??_);_(@_)</c:formatCode>
                <c:ptCount val="12"/>
                <c:pt idx="0">
                  <c:v>5.5384615384615392</c:v>
                </c:pt>
                <c:pt idx="1">
                  <c:v>5.5384615384615392</c:v>
                </c:pt>
                <c:pt idx="2">
                  <c:v>6.9230769230769242</c:v>
                </c:pt>
                <c:pt idx="3">
                  <c:v>5.5384615384615392</c:v>
                </c:pt>
                <c:pt idx="4">
                  <c:v>6.9230769230769242</c:v>
                </c:pt>
                <c:pt idx="5">
                  <c:v>5.5384615384615392</c:v>
                </c:pt>
                <c:pt idx="6">
                  <c:v>5.5384615384615392</c:v>
                </c:pt>
                <c:pt idx="7">
                  <c:v>6.9230769230769242</c:v>
                </c:pt>
                <c:pt idx="8">
                  <c:v>5.5384615384615392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5-4F7A-AE2F-D2654FAA6C98}"/>
            </c:ext>
          </c:extLst>
        </c:ser>
        <c:ser>
          <c:idx val="1"/>
          <c:order val="1"/>
          <c:tx>
            <c:strRef>
              <c:f>'Hazelton 2019'!$E$70</c:f>
              <c:strCache>
                <c:ptCount val="1"/>
                <c:pt idx="0">
                  <c:v> Tonnes Scrap metal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'Hazelton 2019'!$E$71:$E$82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D-43A7-87A7-406420A86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6947224"/>
        <c:axId val="586944600"/>
      </c:barChart>
      <c:lineChart>
        <c:grouping val="standard"/>
        <c:varyColors val="0"/>
        <c:ser>
          <c:idx val="3"/>
          <c:order val="2"/>
          <c:tx>
            <c:strRef>
              <c:f>'Hazelton 2019'!$D$70</c:f>
              <c:strCache>
                <c:ptCount val="1"/>
                <c:pt idx="0">
                  <c:v>OCC Recycling Cost per Tonne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'Hazelton 2019'!$D$71:$D$82</c:f>
              <c:numCache>
                <c:formatCode>_("$"* #,##0.00_);_("$"* \(#,##0.00\);_("$"* "-"??_);_(@_)</c:formatCode>
                <c:ptCount val="12"/>
                <c:pt idx="0">
                  <c:v>98.892857142857125</c:v>
                </c:pt>
                <c:pt idx="1">
                  <c:v>98.892857142857125</c:v>
                </c:pt>
                <c:pt idx="2">
                  <c:v>82.385608465608442</c:v>
                </c:pt>
                <c:pt idx="3">
                  <c:v>111.40449735449734</c:v>
                </c:pt>
                <c:pt idx="4">
                  <c:v>89.123597883597867</c:v>
                </c:pt>
                <c:pt idx="5">
                  <c:v>111.40449735449734</c:v>
                </c:pt>
                <c:pt idx="6">
                  <c:v>111.40449735449734</c:v>
                </c:pt>
                <c:pt idx="7">
                  <c:v>97.702222222222204</c:v>
                </c:pt>
                <c:pt idx="8">
                  <c:v>122.12777777777775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D-43A7-87A7-406420A86CDD}"/>
            </c:ext>
          </c:extLst>
        </c:ser>
        <c:ser>
          <c:idx val="4"/>
          <c:order val="3"/>
          <c:tx>
            <c:strRef>
              <c:f>'Hazelton 2019'!$G$70</c:f>
              <c:strCache>
                <c:ptCount val="1"/>
                <c:pt idx="0">
                  <c:v>Scrap Metal Recycling Cost per Tonne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'Hazelton 2019'!$G$71:$G$82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2D-43A7-87A7-406420A86CDD}"/>
            </c:ext>
          </c:extLst>
        </c:ser>
        <c:ser>
          <c:idx val="2"/>
          <c:order val="4"/>
          <c:tx>
            <c:strRef>
              <c:f>'Hazelton 2019'!$L$70</c:f>
              <c:strCache>
                <c:ptCount val="1"/>
                <c:pt idx="0">
                  <c:v>Total Cost per tonne diverted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'Hazelton 2019'!$L$71:$L$82</c:f>
              <c:numCache>
                <c:formatCode>General</c:formatCode>
                <c:ptCount val="12"/>
                <c:pt idx="0">
                  <c:v>75.005357142857122</c:v>
                </c:pt>
                <c:pt idx="1">
                  <c:v>149.87813492063489</c:v>
                </c:pt>
                <c:pt idx="2">
                  <c:v>68.280608465608452</c:v>
                </c:pt>
                <c:pt idx="3">
                  <c:v>84.673247354497349</c:v>
                </c:pt>
                <c:pt idx="4">
                  <c:v>70.013597883597868</c:v>
                </c:pt>
                <c:pt idx="5">
                  <c:v>265.85171957671952</c:v>
                </c:pt>
                <c:pt idx="6">
                  <c:v>101.00810846560844</c:v>
                </c:pt>
                <c:pt idx="7">
                  <c:v>97.702222222222204</c:v>
                </c:pt>
                <c:pt idx="8">
                  <c:v>122.12777777777775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C5-4F7A-AE2F-D2654FAA6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25048"/>
        <c:axId val="321928328"/>
      </c:lineChart>
      <c:catAx>
        <c:axId val="58694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44600"/>
        <c:crosses val="autoZero"/>
        <c:auto val="1"/>
        <c:lblAlgn val="ctr"/>
        <c:lblOffset val="100"/>
        <c:noMultiLvlLbl val="0"/>
      </c:catAx>
      <c:valAx>
        <c:axId val="58694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Tonnes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47224"/>
        <c:crosses val="autoZero"/>
        <c:crossBetween val="between"/>
      </c:valAx>
      <c:valAx>
        <c:axId val="321928328"/>
        <c:scaling>
          <c:orientation val="minMax"/>
          <c:max val="4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per tonne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25048"/>
        <c:crosses val="max"/>
        <c:crossBetween val="between"/>
      </c:valAx>
      <c:catAx>
        <c:axId val="321925048"/>
        <c:scaling>
          <c:orientation val="minMax"/>
        </c:scaling>
        <c:delete val="1"/>
        <c:axPos val="b"/>
        <c:majorTickMark val="out"/>
        <c:minorTickMark val="none"/>
        <c:tickLblPos val="nextTo"/>
        <c:crossAx val="321928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B0A921-D7B3-4027-954C-B882C6ECA5FA}">
  <sheetPr>
    <tabColor theme="9" tint="0.79998168889431442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A33909-2D61-491A-A76F-7C151936CB83}">
  <sheetPr>
    <tabColor theme="9" tint="0.79998168889431442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712EA9-E86E-4A3E-AC79-AF98023F678D}">
  <sheetPr>
    <tabColor theme="9" tint="0.79998168889431442"/>
  </sheetPr>
  <sheetViews>
    <sheetView zoomScale="10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5FF79-6752-44C0-A8E6-9A2439DC8E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6B41C-EF7F-4230-A2EA-65A8116D01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CAD69-53B1-4145-A497-5D92922B68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rin Blaney" id="{8A5BE00F-8F83-4492-B999-160B7AD72179}" userId="S-1-5-21-3924945442-1860255560-176843680-1114" providerId="AD"/>
  <person displayName="Mary Tress" id="{A16038E5-9E0D-4548-9CAB-2A2AC50E0298}" userId="S::mtress@rdks.bc.ca::053361b7-a3ca-46ac-813c-9906017eca5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19-02-11T20:04:45.86" personId="{8A5BE00F-8F83-4492-B999-160B7AD72179}" id="{C12CDD49-9F29-4205-A6B1-6CDB6D3AF479}">
    <text>Looks like a scale error; should be higher value</text>
  </threadedComment>
  <threadedComment ref="A20" dT="2019-04-30T16:25:35.29" personId="{8A5BE00F-8F83-4492-B999-160B7AD72179}" id="{D933CBB4-0BCF-4FD5-BCB7-9EBD2D639375}">
    <text>HOLIDAY NO PICK UP</text>
  </threadedComment>
  <threadedComment ref="A23" dT="2019-05-06T22:14:45.95" personId="{8A5BE00F-8F83-4492-B999-160B7AD72179}" id="{DF865B28-EEF2-4AB1-A2C4-CB4FCA67A7AE}">
    <text>No delivery this week</text>
  </threadedComment>
  <threadedComment ref="A24" dT="2019-05-27T18:35:11.53" personId="{8A5BE00F-8F83-4492-B999-160B7AD72179}" id="{029EB315-925F-4CF7-AB21-A06A0AB04921}">
    <text>No pick up - Do Your Part equipment failure</text>
  </threadedComment>
  <threadedComment ref="I37" dT="2019-08-06T18:33:23.33" personId="{8A5BE00F-8F83-4492-B999-160B7AD72179}" id="{1EA5833A-FDEA-4904-8645-D86A1C7AB1BA}">
    <text>No pick-up</text>
  </threadedComment>
  <threadedComment ref="I39" dT="2019-08-06T18:33:33.05" personId="{8A5BE00F-8F83-4492-B999-160B7AD72179}" id="{623D52B3-1C55-4C64-BC2A-CEBD8EC956C5}">
    <text>No pick-up</text>
  </threadedComment>
  <threadedComment ref="J61" dT="2019-12-17T20:31:39.61" personId="{A16038E5-9E0D-4548-9CAB-2A2AC50E0298}" id="{69DEBC18-53CC-4C62-8933-BA3201995519}">
    <text>remove 5%GST when entering</text>
  </threadedComment>
  <threadedComment ref="J62" dT="2019-12-17T20:32:16.62" personId="{A16038E5-9E0D-4548-9CAB-2A2AC50E0298}" id="{1A7B19CC-5FA6-4C2F-84DA-B6892DFBCE13}">
    <text>remove 5%GST when entering</text>
  </threadedComment>
  <threadedComment ref="J63" dT="2019-12-17T20:32:23.35" personId="{A16038E5-9E0D-4548-9CAB-2A2AC50E0298}" id="{282649AD-7182-4463-8EFA-36895F1B8277}">
    <text>remove 5%GST when entering</text>
  </threadedComment>
  <threadedComment ref="J64" dT="2019-12-17T20:32:27.89" personId="{A16038E5-9E0D-4548-9CAB-2A2AC50E0298}" id="{AF55630E-CE2B-4025-972D-AEE952691B7F}">
    <text>remove 5%GST when entering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19-02-06T19:43:58.79" personId="{8A5BE00F-8F83-4492-B999-160B7AD72179}" id="{D828663F-3546-4272-A06E-457CDB27D8FB}">
    <text>Includes January PPP hauling costs</text>
  </threadedComment>
  <threadedComment ref="M4" dT="2019-01-15T20:09:28.96" personId="{8A5BE00F-8F83-4492-B999-160B7AD72179}" id="{1D5B7899-2896-499D-9B1D-29CE8A60A436}">
    <text>Do Your Part</text>
  </threadedComment>
  <threadedComment ref="E6" dT="2019-04-26T20:33:25.47" personId="{8A5BE00F-8F83-4492-B999-160B7AD72179}" id="{726A2B3E-CC3B-431D-8B62-D7C90DA6A1C9}">
    <text>Includes PPP transprot cost</text>
  </threadedComment>
  <threadedComment ref="M6" dT="2019-01-31T20:59:31.49" personId="{8A5BE00F-8F83-4492-B999-160B7AD72179}" id="{1A5C0CC0-4075-4957-93A9-69B36C4D78EA}">
    <text>Do Your Part</text>
  </threadedComment>
  <threadedComment ref="A24" dT="2019-05-27T18:31:51.92" personId="{8A5BE00F-8F83-4492-B999-160B7AD72179}" id="{CA9CC199-81DE-4531-9D90-4E41CDCC5389}">
    <text>No deliveries due to Do Your Part equipment failure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861D-E032-4DF6-B36B-0595D08A72D5}">
  <sheetPr>
    <tabColor theme="0" tint="-4.9989318521683403E-2"/>
  </sheetPr>
  <dimension ref="A1:AE163"/>
  <sheetViews>
    <sheetView zoomScaleNormal="100" zoomScalePageLayoutView="150" workbookViewId="0">
      <pane ySplit="1" topLeftCell="A74" activePane="bottomLeft" state="frozen"/>
      <selection activeCell="L29" sqref="L29"/>
      <selection pane="bottomLeft" activeCell="K85" sqref="K85"/>
    </sheetView>
  </sheetViews>
  <sheetFormatPr defaultColWidth="9.1796875" defaultRowHeight="12.5" x14ac:dyDescent="0.25"/>
  <cols>
    <col min="1" max="1" width="27.1796875" style="21" customWidth="1"/>
    <col min="2" max="2" width="10.453125" style="1" bestFit="1" customWidth="1"/>
    <col min="3" max="3" width="10.453125" style="1" customWidth="1"/>
    <col min="4" max="4" width="12" style="1" customWidth="1"/>
    <col min="5" max="6" width="11.81640625" style="1" bestFit="1" customWidth="1"/>
    <col min="7" max="8" width="11.54296875" style="1" customWidth="1"/>
    <col min="9" max="9" width="10.54296875" style="1" bestFit="1" customWidth="1"/>
    <col min="10" max="10" width="15.1796875" style="1" customWidth="1"/>
    <col min="11" max="11" width="15.453125" style="1" customWidth="1"/>
    <col min="12" max="12" width="13" style="1" bestFit="1" customWidth="1"/>
    <col min="13" max="13" width="14.453125" style="1" bestFit="1" customWidth="1"/>
    <col min="14" max="14" width="12.54296875" style="1" bestFit="1" customWidth="1"/>
    <col min="15" max="18" width="12.453125" style="1" customWidth="1"/>
    <col min="19" max="19" width="12.54296875" style="1" bestFit="1" customWidth="1"/>
    <col min="20" max="20" width="13.453125" style="1" bestFit="1" customWidth="1"/>
    <col min="21" max="21" width="12.54296875" style="1" customWidth="1"/>
    <col min="22" max="22" width="13.453125" style="1" bestFit="1" customWidth="1"/>
    <col min="23" max="16384" width="9.1796875" style="1"/>
  </cols>
  <sheetData>
    <row r="1" spans="1:31" ht="64" customHeight="1" x14ac:dyDescent="0.25">
      <c r="A1" s="18" t="s">
        <v>0</v>
      </c>
      <c r="B1" s="15" t="s">
        <v>9</v>
      </c>
      <c r="C1" s="15" t="s">
        <v>10</v>
      </c>
      <c r="D1" s="12" t="s">
        <v>2</v>
      </c>
      <c r="E1" s="12" t="s">
        <v>5</v>
      </c>
      <c r="F1" s="12" t="s">
        <v>3</v>
      </c>
      <c r="G1" s="12" t="s">
        <v>4</v>
      </c>
      <c r="H1" s="12" t="s">
        <v>6</v>
      </c>
      <c r="I1" s="12" t="s">
        <v>1</v>
      </c>
      <c r="J1" s="13" t="s">
        <v>7</v>
      </c>
      <c r="K1" s="13" t="s">
        <v>8</v>
      </c>
      <c r="L1" s="14" t="s">
        <v>62</v>
      </c>
      <c r="M1" s="14" t="s">
        <v>63</v>
      </c>
      <c r="N1" s="15" t="s">
        <v>15</v>
      </c>
      <c r="O1" s="15" t="s">
        <v>16</v>
      </c>
      <c r="P1" s="15" t="s">
        <v>17</v>
      </c>
      <c r="Q1" s="45" t="s">
        <v>18</v>
      </c>
      <c r="R1" s="45" t="s">
        <v>19</v>
      </c>
      <c r="S1" s="45" t="s">
        <v>20</v>
      </c>
      <c r="T1" s="46" t="s">
        <v>42</v>
      </c>
      <c r="U1" s="46" t="s">
        <v>21</v>
      </c>
      <c r="V1" s="47" t="s">
        <v>22</v>
      </c>
      <c r="W1" s="2"/>
      <c r="X1" s="2"/>
      <c r="Y1" s="2"/>
      <c r="Z1" s="2"/>
      <c r="AA1" s="2"/>
      <c r="AB1" s="2"/>
      <c r="AC1" s="2"/>
      <c r="AD1" s="2"/>
      <c r="AE1" s="2"/>
    </row>
    <row r="2" spans="1:31" ht="28.75" customHeight="1" x14ac:dyDescent="0.25">
      <c r="A2" s="19">
        <v>43035</v>
      </c>
      <c r="B2" s="24"/>
      <c r="C2" s="24">
        <v>12</v>
      </c>
      <c r="D2" s="5">
        <v>1</v>
      </c>
      <c r="E2" s="5"/>
      <c r="F2" s="5"/>
      <c r="G2" s="5">
        <v>1</v>
      </c>
      <c r="H2" s="5">
        <v>1</v>
      </c>
      <c r="I2" s="5">
        <f>SUM(C2:H2)</f>
        <v>15</v>
      </c>
      <c r="J2" s="6">
        <v>0.79</v>
      </c>
      <c r="K2" s="6">
        <v>0.09</v>
      </c>
      <c r="L2" s="7"/>
      <c r="M2" s="7">
        <v>887.25</v>
      </c>
      <c r="N2" s="16">
        <f t="shared" ref="N2:N34" si="0">SUM(M2:M2)/SUM(J2:K2)</f>
        <v>1008.2386363636364</v>
      </c>
      <c r="O2" s="16">
        <f t="shared" ref="O2:O26" si="1">($Z$2*K2+$Z$4*J2)/SUM(J2:K2)</f>
        <v>142.79545454545453</v>
      </c>
      <c r="P2" s="16">
        <f>N2+O2</f>
        <v>1151.034090909091</v>
      </c>
      <c r="Q2" s="36"/>
      <c r="R2" s="37"/>
      <c r="S2" s="37"/>
      <c r="T2" s="38"/>
      <c r="U2" s="38"/>
      <c r="V2" s="38"/>
      <c r="Y2" s="23" t="s">
        <v>13</v>
      </c>
      <c r="Z2" s="62">
        <v>299</v>
      </c>
      <c r="AA2" s="21" t="s">
        <v>60</v>
      </c>
    </row>
    <row r="3" spans="1:31" s="17" customFormat="1" ht="28.75" customHeight="1" x14ac:dyDescent="0.3">
      <c r="A3" s="27" t="s">
        <v>51</v>
      </c>
      <c r="B3" s="28">
        <f>SUBTOTAL(109,B2)</f>
        <v>0</v>
      </c>
      <c r="C3" s="28">
        <f t="shared" ref="C3:I3" si="2">SUBTOTAL(109,C2)</f>
        <v>12</v>
      </c>
      <c r="D3" s="28">
        <f t="shared" si="2"/>
        <v>1</v>
      </c>
      <c r="E3" s="28">
        <f t="shared" si="2"/>
        <v>0</v>
      </c>
      <c r="F3" s="28">
        <f t="shared" si="2"/>
        <v>0</v>
      </c>
      <c r="G3" s="28">
        <f t="shared" si="2"/>
        <v>1</v>
      </c>
      <c r="H3" s="28">
        <f t="shared" si="2"/>
        <v>1</v>
      </c>
      <c r="I3" s="28">
        <f t="shared" si="2"/>
        <v>15</v>
      </c>
      <c r="J3" s="28">
        <f>SUBTOTAL(109,J2)</f>
        <v>0.79</v>
      </c>
      <c r="K3" s="28">
        <f>SUBTOTAL(109,K2)</f>
        <v>0.09</v>
      </c>
      <c r="L3" s="28">
        <f>SUBTOTAL(109,L2)</f>
        <v>0</v>
      </c>
      <c r="M3" s="28">
        <f>SUBTOTAL(109,M2)</f>
        <v>887.25</v>
      </c>
      <c r="N3" s="29">
        <f t="shared" si="0"/>
        <v>1008.2386363636364</v>
      </c>
      <c r="O3" s="29">
        <f t="shared" si="1"/>
        <v>142.79545454545453</v>
      </c>
      <c r="P3" s="29">
        <f t="shared" ref="P3:P70" si="3">N3+O3</f>
        <v>1151.034090909091</v>
      </c>
      <c r="Q3" s="39">
        <f>L3/J3+C3*73</f>
        <v>876</v>
      </c>
      <c r="R3" s="40">
        <f>$Z$4</f>
        <v>125</v>
      </c>
      <c r="S3" s="40">
        <f>Q3+R3</f>
        <v>1001</v>
      </c>
      <c r="T3" s="40">
        <f>(SUM(D3:H3)*73)/K3</f>
        <v>2433.3333333333335</v>
      </c>
      <c r="U3" s="40">
        <f>$Z$2</f>
        <v>299</v>
      </c>
      <c r="V3" s="40">
        <f>T3+U3</f>
        <v>2732.3333333333335</v>
      </c>
      <c r="Z3" s="62">
        <v>399</v>
      </c>
      <c r="AA3" s="21" t="s">
        <v>61</v>
      </c>
      <c r="AB3" s="1"/>
    </row>
    <row r="4" spans="1:31" ht="28.75" customHeight="1" x14ac:dyDescent="0.25">
      <c r="A4" s="19">
        <v>43042</v>
      </c>
      <c r="B4" s="24"/>
      <c r="C4" s="24">
        <v>5</v>
      </c>
      <c r="D4" s="5">
        <v>1</v>
      </c>
      <c r="E4" s="5">
        <v>1</v>
      </c>
      <c r="F4" s="5"/>
      <c r="G4" s="5">
        <v>1</v>
      </c>
      <c r="H4" s="5"/>
      <c r="I4" s="5">
        <f t="shared" ref="I4:I83" si="4">SUM(C4:H4)</f>
        <v>8</v>
      </c>
      <c r="J4" s="6">
        <v>0.47</v>
      </c>
      <c r="K4" s="6">
        <v>0.09</v>
      </c>
      <c r="L4" s="7"/>
      <c r="M4" s="7">
        <v>696.15</v>
      </c>
      <c r="N4" s="16">
        <f t="shared" si="0"/>
        <v>1243.125</v>
      </c>
      <c r="O4" s="16">
        <f t="shared" si="1"/>
        <v>152.96428571428572</v>
      </c>
      <c r="P4" s="16">
        <f t="shared" si="3"/>
        <v>1396.0892857142858</v>
      </c>
      <c r="Q4" s="36"/>
      <c r="R4" s="37"/>
      <c r="S4" s="37"/>
      <c r="T4" s="38"/>
      <c r="U4" s="38"/>
      <c r="V4" s="38"/>
      <c r="Z4" s="62">
        <v>125</v>
      </c>
      <c r="AA4" s="21" t="s">
        <v>14</v>
      </c>
    </row>
    <row r="5" spans="1:31" ht="28.75" customHeight="1" x14ac:dyDescent="0.25">
      <c r="A5" s="19">
        <v>43049</v>
      </c>
      <c r="B5" s="24"/>
      <c r="C5" s="24">
        <v>5</v>
      </c>
      <c r="D5" s="5">
        <v>1</v>
      </c>
      <c r="E5" s="5">
        <v>1</v>
      </c>
      <c r="F5" s="5"/>
      <c r="G5" s="5"/>
      <c r="H5" s="5">
        <v>1</v>
      </c>
      <c r="I5" s="5">
        <f t="shared" si="4"/>
        <v>8</v>
      </c>
      <c r="J5" s="6">
        <v>0.39</v>
      </c>
      <c r="K5" s="6">
        <v>0.09</v>
      </c>
      <c r="L5" s="7"/>
      <c r="M5" s="7">
        <v>696.15</v>
      </c>
      <c r="N5" s="16">
        <f t="shared" si="0"/>
        <v>1450.3125</v>
      </c>
      <c r="O5" s="16">
        <f t="shared" si="1"/>
        <v>157.625</v>
      </c>
      <c r="P5" s="16">
        <f t="shared" si="3"/>
        <v>1607.9375</v>
      </c>
      <c r="Q5" s="36"/>
      <c r="R5" s="37"/>
      <c r="S5" s="37"/>
      <c r="T5" s="38"/>
      <c r="U5" s="38"/>
      <c r="V5" s="38"/>
    </row>
    <row r="6" spans="1:31" ht="28.75" customHeight="1" x14ac:dyDescent="0.25">
      <c r="A6" s="19">
        <v>43056</v>
      </c>
      <c r="B6" s="24"/>
      <c r="C6" s="24"/>
      <c r="D6" s="5">
        <v>1</v>
      </c>
      <c r="E6" s="5">
        <v>1</v>
      </c>
      <c r="F6" s="5"/>
      <c r="G6" s="5">
        <v>1</v>
      </c>
      <c r="H6" s="5">
        <v>1</v>
      </c>
      <c r="I6" s="5">
        <f t="shared" si="4"/>
        <v>4</v>
      </c>
      <c r="J6" s="6"/>
      <c r="K6" s="6">
        <v>0.19</v>
      </c>
      <c r="L6" s="7"/>
      <c r="M6" s="7">
        <v>273</v>
      </c>
      <c r="N6" s="16">
        <f t="shared" si="0"/>
        <v>1436.8421052631579</v>
      </c>
      <c r="O6" s="16">
        <f t="shared" si="1"/>
        <v>299</v>
      </c>
      <c r="P6" s="16">
        <f t="shared" si="3"/>
        <v>1735.8421052631579</v>
      </c>
      <c r="Q6" s="36"/>
      <c r="R6" s="37"/>
      <c r="S6" s="37"/>
      <c r="T6" s="38"/>
      <c r="U6" s="38"/>
      <c r="V6" s="38"/>
    </row>
    <row r="7" spans="1:31" ht="28.75" customHeight="1" x14ac:dyDescent="0.35">
      <c r="A7" s="19">
        <v>43063</v>
      </c>
      <c r="B7" s="24"/>
      <c r="C7" s="24"/>
      <c r="D7" s="5">
        <v>1</v>
      </c>
      <c r="E7" s="5">
        <v>1</v>
      </c>
      <c r="F7" s="5"/>
      <c r="G7" s="5"/>
      <c r="H7" s="5">
        <v>1</v>
      </c>
      <c r="I7" s="5">
        <f t="shared" si="4"/>
        <v>3</v>
      </c>
      <c r="J7" s="6"/>
      <c r="K7" s="6">
        <v>0.14499999999999999</v>
      </c>
      <c r="L7" s="9"/>
      <c r="M7" s="8">
        <v>236.2</v>
      </c>
      <c r="N7" s="16">
        <f t="shared" si="0"/>
        <v>1628.9655172413793</v>
      </c>
      <c r="O7" s="16">
        <f t="shared" si="1"/>
        <v>299</v>
      </c>
      <c r="P7" s="16">
        <f t="shared" si="3"/>
        <v>1927.9655172413793</v>
      </c>
      <c r="Q7" s="36"/>
      <c r="R7" s="37"/>
      <c r="S7" s="37"/>
      <c r="T7" s="38"/>
      <c r="U7" s="38"/>
      <c r="V7" s="38"/>
    </row>
    <row r="8" spans="1:31" s="17" customFormat="1" ht="28.75" customHeight="1" x14ac:dyDescent="0.3">
      <c r="A8" s="27" t="s">
        <v>52</v>
      </c>
      <c r="B8" s="28">
        <f>SUBTOTAL(109,B4:B7)</f>
        <v>0</v>
      </c>
      <c r="C8" s="28">
        <f t="shared" ref="C8:M8" si="5">SUBTOTAL(109,C4:C7)</f>
        <v>10</v>
      </c>
      <c r="D8" s="28">
        <f t="shared" si="5"/>
        <v>4</v>
      </c>
      <c r="E8" s="28">
        <f t="shared" si="5"/>
        <v>4</v>
      </c>
      <c r="F8" s="28">
        <f t="shared" si="5"/>
        <v>0</v>
      </c>
      <c r="G8" s="28">
        <f t="shared" si="5"/>
        <v>2</v>
      </c>
      <c r="H8" s="28">
        <f t="shared" si="5"/>
        <v>3</v>
      </c>
      <c r="I8" s="28">
        <f t="shared" si="5"/>
        <v>23</v>
      </c>
      <c r="J8" s="28">
        <f t="shared" si="5"/>
        <v>0.86</v>
      </c>
      <c r="K8" s="28">
        <f t="shared" si="5"/>
        <v>0.51500000000000001</v>
      </c>
      <c r="L8" s="28">
        <f>SUBTOTAL(109,L4:L7)</f>
        <v>0</v>
      </c>
      <c r="M8" s="28">
        <f t="shared" si="5"/>
        <v>1901.5</v>
      </c>
      <c r="N8" s="29">
        <f t="shared" si="0"/>
        <v>1382.909090909091</v>
      </c>
      <c r="O8" s="29">
        <f t="shared" si="1"/>
        <v>190.17090909090911</v>
      </c>
      <c r="P8" s="29">
        <f t="shared" si="3"/>
        <v>1573.0800000000002</v>
      </c>
      <c r="Q8" s="39">
        <f>L8/J8+C8*73</f>
        <v>730</v>
      </c>
      <c r="R8" s="40">
        <f>$Z$4</f>
        <v>125</v>
      </c>
      <c r="S8" s="40">
        <f>Q8+R8</f>
        <v>855</v>
      </c>
      <c r="T8" s="40">
        <f>(SUM(D8:H8)*73)/K8</f>
        <v>1842.7184466019417</v>
      </c>
      <c r="U8" s="40">
        <f>$Z$2</f>
        <v>299</v>
      </c>
      <c r="V8" s="40">
        <f>T8+U8</f>
        <v>2141.7184466019417</v>
      </c>
      <c r="W8" s="25"/>
      <c r="Z8" s="1"/>
    </row>
    <row r="9" spans="1:31" ht="28.75" customHeight="1" x14ac:dyDescent="0.3">
      <c r="A9" s="19">
        <v>43070</v>
      </c>
      <c r="B9" s="24"/>
      <c r="C9" s="24"/>
      <c r="D9" s="5">
        <v>3</v>
      </c>
      <c r="E9" s="5">
        <v>1</v>
      </c>
      <c r="F9" s="5"/>
      <c r="G9" s="5"/>
      <c r="H9" s="5">
        <v>1</v>
      </c>
      <c r="I9" s="5">
        <f t="shared" si="4"/>
        <v>5</v>
      </c>
      <c r="J9" s="6"/>
      <c r="K9" s="6">
        <v>0.3</v>
      </c>
      <c r="L9" s="7"/>
      <c r="M9" s="7">
        <v>438.68</v>
      </c>
      <c r="N9" s="16">
        <f t="shared" si="0"/>
        <v>1462.2666666666667</v>
      </c>
      <c r="O9" s="16">
        <f t="shared" si="1"/>
        <v>299</v>
      </c>
      <c r="P9" s="16">
        <f t="shared" si="3"/>
        <v>1761.2666666666667</v>
      </c>
      <c r="Q9" s="36"/>
      <c r="R9" s="37"/>
      <c r="S9" s="37"/>
      <c r="T9" s="38"/>
      <c r="U9" s="38"/>
      <c r="V9" s="38"/>
      <c r="Z9" s="17"/>
    </row>
    <row r="10" spans="1:31" ht="28.75" customHeight="1" x14ac:dyDescent="0.25">
      <c r="A10" s="19">
        <v>43077</v>
      </c>
      <c r="B10" s="24">
        <v>1</v>
      </c>
      <c r="C10" s="24"/>
      <c r="D10" s="5">
        <v>1</v>
      </c>
      <c r="E10" s="5">
        <v>1</v>
      </c>
      <c r="F10" s="5"/>
      <c r="G10" s="5"/>
      <c r="H10" s="5">
        <v>1</v>
      </c>
      <c r="I10" s="5">
        <f t="shared" si="4"/>
        <v>3</v>
      </c>
      <c r="J10" s="6">
        <v>0.97</v>
      </c>
      <c r="K10" s="6">
        <v>0.19</v>
      </c>
      <c r="L10" s="7"/>
      <c r="M10" s="7">
        <v>263.2</v>
      </c>
      <c r="N10" s="16">
        <f t="shared" si="0"/>
        <v>226.89655172413794</v>
      </c>
      <c r="O10" s="16">
        <f t="shared" si="1"/>
        <v>153.5</v>
      </c>
      <c r="P10" s="16">
        <f t="shared" si="3"/>
        <v>380.39655172413791</v>
      </c>
      <c r="Q10" s="36"/>
      <c r="R10" s="37"/>
      <c r="S10" s="37"/>
      <c r="T10" s="38"/>
      <c r="U10" s="38"/>
      <c r="V10" s="38"/>
    </row>
    <row r="11" spans="1:31" ht="28.75" customHeight="1" x14ac:dyDescent="0.25">
      <c r="A11" s="19">
        <v>43084</v>
      </c>
      <c r="B11" s="24"/>
      <c r="C11" s="24"/>
      <c r="D11" s="5">
        <v>1</v>
      </c>
      <c r="E11" s="5">
        <v>2</v>
      </c>
      <c r="F11" s="5"/>
      <c r="G11" s="5">
        <v>1</v>
      </c>
      <c r="H11" s="5">
        <v>1</v>
      </c>
      <c r="I11" s="5">
        <f t="shared" si="4"/>
        <v>5</v>
      </c>
      <c r="J11" s="6"/>
      <c r="K11" s="6">
        <v>0.25</v>
      </c>
      <c r="L11" s="7"/>
      <c r="M11" s="7">
        <v>435.27</v>
      </c>
      <c r="N11" s="16">
        <f t="shared" si="0"/>
        <v>1741.08</v>
      </c>
      <c r="O11" s="16">
        <f t="shared" si="1"/>
        <v>299</v>
      </c>
      <c r="P11" s="16">
        <f t="shared" si="3"/>
        <v>2040.08</v>
      </c>
      <c r="Q11" s="36"/>
      <c r="R11" s="37"/>
      <c r="S11" s="37"/>
      <c r="T11" s="38"/>
      <c r="U11" s="38"/>
      <c r="V11" s="38"/>
    </row>
    <row r="12" spans="1:31" ht="28.75" customHeight="1" x14ac:dyDescent="0.25">
      <c r="A12" s="19">
        <v>43091</v>
      </c>
      <c r="B12" s="24"/>
      <c r="C12" s="24"/>
      <c r="D12" s="5">
        <v>2</v>
      </c>
      <c r="E12" s="5">
        <v>2</v>
      </c>
      <c r="F12" s="5"/>
      <c r="G12" s="5">
        <v>1</v>
      </c>
      <c r="H12" s="5">
        <v>1</v>
      </c>
      <c r="I12" s="5">
        <f t="shared" si="4"/>
        <v>6</v>
      </c>
      <c r="J12" s="6"/>
      <c r="K12" s="6">
        <v>0.39</v>
      </c>
      <c r="L12" s="7"/>
      <c r="M12" s="7">
        <v>522.32000000000005</v>
      </c>
      <c r="N12" s="16">
        <f t="shared" si="0"/>
        <v>1339.2820512820513</v>
      </c>
      <c r="O12" s="16">
        <f t="shared" si="1"/>
        <v>299</v>
      </c>
      <c r="P12" s="16">
        <f t="shared" si="3"/>
        <v>1638.2820512820513</v>
      </c>
      <c r="Q12" s="36"/>
      <c r="R12" s="37"/>
      <c r="S12" s="37"/>
      <c r="T12" s="38"/>
      <c r="U12" s="38"/>
      <c r="V12" s="38"/>
    </row>
    <row r="13" spans="1:31" ht="28.75" customHeight="1" x14ac:dyDescent="0.25">
      <c r="A13" s="19">
        <v>43098</v>
      </c>
      <c r="B13" s="24"/>
      <c r="C13" s="24"/>
      <c r="D13" s="5">
        <v>1</v>
      </c>
      <c r="E13" s="5">
        <v>1</v>
      </c>
      <c r="F13" s="5"/>
      <c r="G13" s="5"/>
      <c r="H13" s="5">
        <v>1</v>
      </c>
      <c r="I13" s="5">
        <f t="shared" si="4"/>
        <v>3</v>
      </c>
      <c r="J13" s="6"/>
      <c r="K13" s="6">
        <v>0.18</v>
      </c>
      <c r="L13" s="7">
        <v>425.25</v>
      </c>
      <c r="M13" s="7">
        <v>261.16000000000003</v>
      </c>
      <c r="N13" s="16">
        <f t="shared" si="0"/>
        <v>1450.8888888888891</v>
      </c>
      <c r="O13" s="16">
        <f t="shared" si="1"/>
        <v>299</v>
      </c>
      <c r="P13" s="16">
        <f t="shared" si="3"/>
        <v>1749.8888888888891</v>
      </c>
      <c r="Q13" s="36"/>
      <c r="R13" s="37"/>
      <c r="S13" s="37"/>
      <c r="T13" s="38"/>
      <c r="U13" s="38"/>
      <c r="V13" s="38"/>
    </row>
    <row r="14" spans="1:31" s="17" customFormat="1" ht="28.75" customHeight="1" thickBot="1" x14ac:dyDescent="0.35">
      <c r="A14" s="27" t="s">
        <v>53</v>
      </c>
      <c r="B14" s="28">
        <f>SUBTOTAL(109,B9:B13)</f>
        <v>1</v>
      </c>
      <c r="C14" s="28">
        <f t="shared" ref="C14:M14" si="6">SUBTOTAL(109,C9:C13)</f>
        <v>0</v>
      </c>
      <c r="D14" s="28">
        <f t="shared" si="6"/>
        <v>8</v>
      </c>
      <c r="E14" s="28">
        <f t="shared" si="6"/>
        <v>7</v>
      </c>
      <c r="F14" s="28">
        <f t="shared" si="6"/>
        <v>0</v>
      </c>
      <c r="G14" s="28">
        <f t="shared" si="6"/>
        <v>2</v>
      </c>
      <c r="H14" s="28">
        <f t="shared" si="6"/>
        <v>5</v>
      </c>
      <c r="I14" s="28">
        <f t="shared" si="6"/>
        <v>22</v>
      </c>
      <c r="J14" s="28">
        <f t="shared" si="6"/>
        <v>0.97</v>
      </c>
      <c r="K14" s="28">
        <f t="shared" si="6"/>
        <v>1.3099999999999998</v>
      </c>
      <c r="L14" s="28">
        <f>SUBTOTAL(109,L9:L13)</f>
        <v>425.25</v>
      </c>
      <c r="M14" s="28">
        <f t="shared" si="6"/>
        <v>1920.6300000000003</v>
      </c>
      <c r="N14" s="29">
        <f t="shared" si="0"/>
        <v>842.38157894736867</v>
      </c>
      <c r="O14" s="29">
        <f t="shared" si="1"/>
        <v>224.9736842105263</v>
      </c>
      <c r="P14" s="29">
        <f t="shared" si="3"/>
        <v>1067.355263157895</v>
      </c>
      <c r="Q14" s="39">
        <f>L14/J14</f>
        <v>438.40206185567013</v>
      </c>
      <c r="R14" s="82">
        <f>$Z$4</f>
        <v>125</v>
      </c>
      <c r="S14" s="82">
        <f>Q14+R14</f>
        <v>563.40206185567013</v>
      </c>
      <c r="T14" s="82">
        <f>M14/K14</f>
        <v>1466.129770992367</v>
      </c>
      <c r="U14" s="82">
        <f>$Z$2</f>
        <v>299</v>
      </c>
      <c r="V14" s="82">
        <f>T14+U14</f>
        <v>1765.129770992367</v>
      </c>
      <c r="Z14" s="1"/>
    </row>
    <row r="15" spans="1:31" s="17" customFormat="1" ht="28.75" customHeight="1" thickBot="1" x14ac:dyDescent="0.35">
      <c r="A15" s="86" t="s">
        <v>67</v>
      </c>
      <c r="B15" s="87">
        <f>SUBTOTAL(109,B2:B14)</f>
        <v>1</v>
      </c>
      <c r="C15" s="87">
        <f t="shared" ref="C15:M15" si="7">SUBTOTAL(109,C2:C14)</f>
        <v>22</v>
      </c>
      <c r="D15" s="87">
        <f t="shared" si="7"/>
        <v>13</v>
      </c>
      <c r="E15" s="87">
        <f t="shared" si="7"/>
        <v>11</v>
      </c>
      <c r="F15" s="87">
        <f t="shared" si="7"/>
        <v>0</v>
      </c>
      <c r="G15" s="87">
        <f t="shared" si="7"/>
        <v>5</v>
      </c>
      <c r="H15" s="87">
        <f t="shared" si="7"/>
        <v>9</v>
      </c>
      <c r="I15" s="87">
        <f t="shared" si="7"/>
        <v>60</v>
      </c>
      <c r="J15" s="87">
        <f t="shared" si="7"/>
        <v>2.62</v>
      </c>
      <c r="K15" s="87">
        <f t="shared" si="7"/>
        <v>1.9149999999999998</v>
      </c>
      <c r="L15" s="88">
        <f t="shared" si="7"/>
        <v>425.25</v>
      </c>
      <c r="M15" s="88">
        <f t="shared" si="7"/>
        <v>4709.3799999999992</v>
      </c>
      <c r="N15" s="88">
        <f>SUM(M15:M15)/SUM(J15:K15)</f>
        <v>1038.4520396912897</v>
      </c>
      <c r="O15" s="88">
        <f>($Z$3*K15+$Z$4*J15)/SUM(J15:K15)</f>
        <v>240.70231532524807</v>
      </c>
      <c r="P15" s="88">
        <f t="shared" si="3"/>
        <v>1279.1543550165377</v>
      </c>
      <c r="Q15" s="89">
        <f>L15/J15</f>
        <v>162.30916030534351</v>
      </c>
      <c r="R15" s="90">
        <f>$Z$4</f>
        <v>125</v>
      </c>
      <c r="S15" s="90">
        <f>Q15+R15</f>
        <v>287.30916030534354</v>
      </c>
      <c r="T15" s="90">
        <f>M15/K15</f>
        <v>2459.2062663185375</v>
      </c>
      <c r="U15" s="90">
        <f>Z2</f>
        <v>299</v>
      </c>
      <c r="V15" s="91">
        <f>T15+U15</f>
        <v>2758.2062663185375</v>
      </c>
      <c r="Z15" s="1"/>
    </row>
    <row r="16" spans="1:31" ht="28.75" customHeight="1" x14ac:dyDescent="0.3">
      <c r="A16" s="73">
        <v>43105</v>
      </c>
      <c r="B16" s="74">
        <v>1</v>
      </c>
      <c r="C16" s="74"/>
      <c r="D16" s="75">
        <v>2</v>
      </c>
      <c r="E16" s="75">
        <v>1</v>
      </c>
      <c r="F16" s="75"/>
      <c r="G16" s="75"/>
      <c r="H16" s="75"/>
      <c r="I16" s="75">
        <f t="shared" si="4"/>
        <v>3</v>
      </c>
      <c r="J16" s="76"/>
      <c r="K16" s="76">
        <v>0.15</v>
      </c>
      <c r="L16" s="77"/>
      <c r="M16" s="77">
        <v>264.13</v>
      </c>
      <c r="N16" s="78">
        <f t="shared" si="0"/>
        <v>1760.8666666666668</v>
      </c>
      <c r="O16" s="78">
        <f t="shared" si="1"/>
        <v>299</v>
      </c>
      <c r="P16" s="78">
        <f t="shared" si="3"/>
        <v>2059.8666666666668</v>
      </c>
      <c r="Q16" s="79"/>
      <c r="R16" s="80"/>
      <c r="S16" s="80"/>
      <c r="T16" s="81"/>
      <c r="U16" s="81"/>
      <c r="V16" s="81"/>
      <c r="Z16" s="17"/>
    </row>
    <row r="17" spans="1:26" ht="28.75" customHeight="1" x14ac:dyDescent="0.25">
      <c r="A17" s="19">
        <v>43112</v>
      </c>
      <c r="B17" s="24"/>
      <c r="C17" s="24"/>
      <c r="D17" s="5">
        <v>1</v>
      </c>
      <c r="E17" s="5">
        <v>1</v>
      </c>
      <c r="F17" s="5"/>
      <c r="G17" s="5"/>
      <c r="H17" s="5">
        <v>1</v>
      </c>
      <c r="I17" s="5">
        <f t="shared" si="4"/>
        <v>3</v>
      </c>
      <c r="J17" s="6"/>
      <c r="K17" s="6">
        <v>0.21</v>
      </c>
      <c r="L17" s="7"/>
      <c r="M17" s="7">
        <v>266.48</v>
      </c>
      <c r="N17" s="16">
        <f t="shared" si="0"/>
        <v>1268.9523809523812</v>
      </c>
      <c r="O17" s="16">
        <f t="shared" si="1"/>
        <v>299</v>
      </c>
      <c r="P17" s="16">
        <f t="shared" si="3"/>
        <v>1567.9523809523812</v>
      </c>
      <c r="Q17" s="36"/>
      <c r="R17" s="37"/>
      <c r="S17" s="37"/>
      <c r="T17" s="38"/>
      <c r="U17" s="38"/>
      <c r="V17" s="38"/>
    </row>
    <row r="18" spans="1:26" ht="28.75" customHeight="1" x14ac:dyDescent="0.25">
      <c r="A18" s="19">
        <v>43119</v>
      </c>
      <c r="B18" s="24"/>
      <c r="C18" s="24"/>
      <c r="D18" s="5">
        <v>1</v>
      </c>
      <c r="E18" s="5">
        <v>2</v>
      </c>
      <c r="F18" s="5"/>
      <c r="G18" s="5">
        <v>1</v>
      </c>
      <c r="H18" s="5">
        <v>1</v>
      </c>
      <c r="I18" s="5">
        <f t="shared" si="4"/>
        <v>5</v>
      </c>
      <c r="J18" s="6"/>
      <c r="K18" s="6">
        <v>0.3</v>
      </c>
      <c r="L18" s="7"/>
      <c r="M18" s="7">
        <v>444.14</v>
      </c>
      <c r="N18" s="16">
        <f t="shared" si="0"/>
        <v>1480.4666666666667</v>
      </c>
      <c r="O18" s="16">
        <f t="shared" si="1"/>
        <v>299</v>
      </c>
      <c r="P18" s="16">
        <f t="shared" si="3"/>
        <v>1779.4666666666667</v>
      </c>
      <c r="Q18" s="36"/>
      <c r="R18" s="37"/>
      <c r="S18" s="37"/>
      <c r="T18" s="38"/>
      <c r="U18" s="38"/>
      <c r="V18" s="38"/>
    </row>
    <row r="19" spans="1:26" ht="28.75" customHeight="1" x14ac:dyDescent="0.25">
      <c r="A19" s="19">
        <v>43126</v>
      </c>
      <c r="B19" s="24">
        <v>1</v>
      </c>
      <c r="C19" s="24"/>
      <c r="D19" s="5">
        <v>2</v>
      </c>
      <c r="E19" s="5">
        <v>1</v>
      </c>
      <c r="F19" s="5"/>
      <c r="G19" s="5"/>
      <c r="H19" s="5">
        <v>1</v>
      </c>
      <c r="I19" s="5">
        <f t="shared" si="4"/>
        <v>4</v>
      </c>
      <c r="J19" s="6">
        <v>0.6</v>
      </c>
      <c r="K19" s="6">
        <v>0.19</v>
      </c>
      <c r="L19" s="34"/>
      <c r="M19" s="34">
        <v>273</v>
      </c>
      <c r="N19" s="35">
        <f t="shared" si="0"/>
        <v>345.56962025316454</v>
      </c>
      <c r="O19" s="35">
        <f t="shared" si="1"/>
        <v>166.84810126582278</v>
      </c>
      <c r="P19" s="35">
        <f t="shared" si="3"/>
        <v>512.41772151898726</v>
      </c>
      <c r="Q19" s="36"/>
      <c r="R19" s="37"/>
      <c r="S19" s="37"/>
      <c r="T19" s="38"/>
      <c r="U19" s="38"/>
      <c r="V19" s="38"/>
    </row>
    <row r="20" spans="1:26" s="17" customFormat="1" ht="28.75" customHeight="1" x14ac:dyDescent="0.3">
      <c r="A20" s="27" t="s">
        <v>54</v>
      </c>
      <c r="B20" s="28">
        <f>SUBTOTAL(109,B16:B19)</f>
        <v>2</v>
      </c>
      <c r="C20" s="28">
        <f t="shared" ref="C20:M20" si="8">SUBTOTAL(109,C16:C19)</f>
        <v>0</v>
      </c>
      <c r="D20" s="28">
        <f t="shared" si="8"/>
        <v>6</v>
      </c>
      <c r="E20" s="28">
        <f t="shared" si="8"/>
        <v>5</v>
      </c>
      <c r="F20" s="28">
        <f t="shared" si="8"/>
        <v>0</v>
      </c>
      <c r="G20" s="28">
        <f t="shared" si="8"/>
        <v>1</v>
      </c>
      <c r="H20" s="28">
        <f t="shared" si="8"/>
        <v>3</v>
      </c>
      <c r="I20" s="28">
        <f t="shared" si="8"/>
        <v>15</v>
      </c>
      <c r="J20" s="28">
        <f t="shared" si="8"/>
        <v>0.6</v>
      </c>
      <c r="K20" s="28">
        <f t="shared" si="8"/>
        <v>0.84999999999999987</v>
      </c>
      <c r="L20" s="39">
        <f>SUBTOTAL(109,L16:L19)</f>
        <v>0</v>
      </c>
      <c r="M20" s="39">
        <f t="shared" si="8"/>
        <v>1247.75</v>
      </c>
      <c r="N20" s="39">
        <f t="shared" si="0"/>
        <v>860.51724137931046</v>
      </c>
      <c r="O20" s="39">
        <f t="shared" si="1"/>
        <v>227.00000000000003</v>
      </c>
      <c r="P20" s="39">
        <f t="shared" si="3"/>
        <v>1087.5172413793105</v>
      </c>
      <c r="Q20" s="39">
        <f>L20/J20</f>
        <v>0</v>
      </c>
      <c r="R20" s="40">
        <f>$Z$4</f>
        <v>125</v>
      </c>
      <c r="S20" s="40">
        <f>Q20+R20</f>
        <v>125</v>
      </c>
      <c r="T20" s="40">
        <f>M20/K20</f>
        <v>1467.9411764705885</v>
      </c>
      <c r="U20" s="40">
        <f>$Z$2</f>
        <v>299</v>
      </c>
      <c r="V20" s="40">
        <f>T20+U20</f>
        <v>1766.9411764705885</v>
      </c>
      <c r="Z20" s="1"/>
    </row>
    <row r="21" spans="1:26" ht="28.75" customHeight="1" x14ac:dyDescent="0.3">
      <c r="A21" s="19">
        <v>43133</v>
      </c>
      <c r="B21" s="24"/>
      <c r="C21" s="24"/>
      <c r="D21" s="5">
        <v>1</v>
      </c>
      <c r="E21" s="5">
        <v>1</v>
      </c>
      <c r="F21" s="5"/>
      <c r="G21" s="5"/>
      <c r="H21" s="5">
        <v>1</v>
      </c>
      <c r="I21" s="5">
        <f t="shared" si="4"/>
        <v>3</v>
      </c>
      <c r="J21" s="6"/>
      <c r="K21" s="6">
        <v>0.2</v>
      </c>
      <c r="L21" s="34">
        <v>892.5</v>
      </c>
      <c r="M21" s="34">
        <v>204.75</v>
      </c>
      <c r="N21" s="35">
        <f t="shared" si="0"/>
        <v>1023.75</v>
      </c>
      <c r="O21" s="35">
        <f t="shared" si="1"/>
        <v>299</v>
      </c>
      <c r="P21" s="35">
        <f t="shared" si="3"/>
        <v>1322.75</v>
      </c>
      <c r="Q21" s="36"/>
      <c r="R21" s="37"/>
      <c r="S21" s="37"/>
      <c r="T21" s="38"/>
      <c r="U21" s="38"/>
      <c r="V21" s="38"/>
      <c r="Z21" s="17"/>
    </row>
    <row r="22" spans="1:26" ht="28.75" customHeight="1" x14ac:dyDescent="0.25">
      <c r="A22" s="19">
        <v>43140</v>
      </c>
      <c r="B22" s="24"/>
      <c r="C22" s="24"/>
      <c r="D22" s="5">
        <v>1</v>
      </c>
      <c r="E22" s="5">
        <v>1</v>
      </c>
      <c r="F22" s="5"/>
      <c r="G22" s="5"/>
      <c r="H22" s="5">
        <v>1</v>
      </c>
      <c r="I22" s="5">
        <f t="shared" si="4"/>
        <v>3</v>
      </c>
      <c r="J22" s="6"/>
      <c r="K22" s="6">
        <v>0.21</v>
      </c>
      <c r="L22" s="34"/>
      <c r="M22" s="34">
        <v>204.75</v>
      </c>
      <c r="N22" s="35">
        <f t="shared" si="0"/>
        <v>975</v>
      </c>
      <c r="O22" s="35">
        <f t="shared" si="1"/>
        <v>299</v>
      </c>
      <c r="P22" s="35">
        <f t="shared" si="3"/>
        <v>1274</v>
      </c>
      <c r="Q22" s="36"/>
      <c r="R22" s="37"/>
      <c r="S22" s="37"/>
      <c r="T22" s="38"/>
      <c r="U22" s="38"/>
      <c r="V22" s="38"/>
    </row>
    <row r="23" spans="1:26" ht="28.75" customHeight="1" x14ac:dyDescent="0.25">
      <c r="A23" s="19">
        <v>43147</v>
      </c>
      <c r="B23" s="24"/>
      <c r="C23" s="24"/>
      <c r="D23" s="5">
        <v>1</v>
      </c>
      <c r="E23" s="5">
        <v>1</v>
      </c>
      <c r="F23" s="5"/>
      <c r="G23" s="5"/>
      <c r="H23" s="5">
        <v>1</v>
      </c>
      <c r="I23" s="5">
        <f t="shared" si="4"/>
        <v>3</v>
      </c>
      <c r="J23" s="6"/>
      <c r="K23" s="6">
        <v>0.17</v>
      </c>
      <c r="L23" s="34"/>
      <c r="M23" s="34">
        <v>204.75</v>
      </c>
      <c r="N23" s="35">
        <f t="shared" si="0"/>
        <v>1204.4117647058822</v>
      </c>
      <c r="O23" s="35">
        <f t="shared" si="1"/>
        <v>299</v>
      </c>
      <c r="P23" s="35">
        <f t="shared" si="3"/>
        <v>1503.4117647058822</v>
      </c>
      <c r="Q23" s="36"/>
      <c r="R23" s="37"/>
      <c r="S23" s="37"/>
      <c r="T23" s="38"/>
      <c r="U23" s="38"/>
      <c r="V23" s="38"/>
    </row>
    <row r="24" spans="1:26" ht="28.75" customHeight="1" x14ac:dyDescent="0.25">
      <c r="A24" s="19">
        <v>43154</v>
      </c>
      <c r="B24" s="24"/>
      <c r="C24" s="24"/>
      <c r="D24" s="5">
        <v>1</v>
      </c>
      <c r="E24" s="5">
        <v>1</v>
      </c>
      <c r="F24" s="5"/>
      <c r="G24" s="5">
        <v>1</v>
      </c>
      <c r="H24" s="5">
        <v>1</v>
      </c>
      <c r="I24" s="5">
        <f t="shared" si="4"/>
        <v>4</v>
      </c>
      <c r="J24" s="6"/>
      <c r="K24" s="6">
        <v>0.19</v>
      </c>
      <c r="L24" s="34"/>
      <c r="M24" s="34"/>
      <c r="N24" s="35">
        <f t="shared" si="0"/>
        <v>0</v>
      </c>
      <c r="O24" s="35">
        <f t="shared" si="1"/>
        <v>299</v>
      </c>
      <c r="P24" s="35">
        <f t="shared" si="3"/>
        <v>299</v>
      </c>
      <c r="Q24" s="36"/>
      <c r="R24" s="37"/>
      <c r="S24" s="37"/>
      <c r="T24" s="38"/>
      <c r="U24" s="38"/>
      <c r="V24" s="38"/>
    </row>
    <row r="25" spans="1:26" ht="28.75" customHeight="1" x14ac:dyDescent="0.25">
      <c r="A25" s="19">
        <v>43159</v>
      </c>
      <c r="B25" s="24"/>
      <c r="C25" s="24"/>
      <c r="D25" s="5"/>
      <c r="E25" s="5"/>
      <c r="F25" s="5"/>
      <c r="G25" s="5"/>
      <c r="H25" s="5"/>
      <c r="I25" s="5">
        <f t="shared" si="4"/>
        <v>0</v>
      </c>
      <c r="J25" s="6"/>
      <c r="K25" s="6"/>
      <c r="L25" s="34">
        <v>525</v>
      </c>
      <c r="M25" s="34"/>
      <c r="N25" s="35" t="e">
        <f t="shared" si="0"/>
        <v>#DIV/0!</v>
      </c>
      <c r="O25" s="35" t="e">
        <f t="shared" si="1"/>
        <v>#DIV/0!</v>
      </c>
      <c r="P25" s="35" t="e">
        <f t="shared" si="3"/>
        <v>#DIV/0!</v>
      </c>
      <c r="Q25" s="36"/>
      <c r="R25" s="37"/>
      <c r="S25" s="37"/>
      <c r="T25" s="38"/>
      <c r="U25" s="38"/>
      <c r="V25" s="38"/>
    </row>
    <row r="26" spans="1:26" s="17" customFormat="1" ht="28.75" customHeight="1" x14ac:dyDescent="0.3">
      <c r="A26" s="27" t="s">
        <v>55</v>
      </c>
      <c r="B26" s="28">
        <f t="shared" ref="B26:M26" si="9">SUBTOTAL(109,B21:B25)</f>
        <v>0</v>
      </c>
      <c r="C26" s="28">
        <f t="shared" si="9"/>
        <v>0</v>
      </c>
      <c r="D26" s="28">
        <f t="shared" si="9"/>
        <v>4</v>
      </c>
      <c r="E26" s="28">
        <f t="shared" si="9"/>
        <v>4</v>
      </c>
      <c r="F26" s="28">
        <f t="shared" si="9"/>
        <v>0</v>
      </c>
      <c r="G26" s="28">
        <f t="shared" si="9"/>
        <v>1</v>
      </c>
      <c r="H26" s="28">
        <f t="shared" si="9"/>
        <v>4</v>
      </c>
      <c r="I26" s="28">
        <f t="shared" si="9"/>
        <v>13</v>
      </c>
      <c r="J26" s="28">
        <f t="shared" si="9"/>
        <v>0</v>
      </c>
      <c r="K26" s="28">
        <f t="shared" si="9"/>
        <v>0.77</v>
      </c>
      <c r="L26" s="39">
        <f t="shared" si="9"/>
        <v>1417.5</v>
      </c>
      <c r="M26" s="39">
        <f t="shared" si="9"/>
        <v>614.25</v>
      </c>
      <c r="N26" s="39">
        <f t="shared" si="0"/>
        <v>797.72727272727275</v>
      </c>
      <c r="O26" s="39">
        <f t="shared" si="1"/>
        <v>299</v>
      </c>
      <c r="P26" s="39">
        <f t="shared" si="3"/>
        <v>1096.7272727272727</v>
      </c>
      <c r="Q26" s="39" t="e">
        <f>L26/J26</f>
        <v>#DIV/0!</v>
      </c>
      <c r="R26" s="40">
        <f>$Z$4</f>
        <v>125</v>
      </c>
      <c r="S26" s="40" t="e">
        <f>Q26+R26</f>
        <v>#DIV/0!</v>
      </c>
      <c r="T26" s="40">
        <f>M26/K26</f>
        <v>797.72727272727275</v>
      </c>
      <c r="U26" s="40">
        <f>$Z$2</f>
        <v>299</v>
      </c>
      <c r="V26" s="40">
        <f>T26+U26</f>
        <v>1096.7272727272727</v>
      </c>
      <c r="Z26" s="1"/>
    </row>
    <row r="27" spans="1:26" ht="28.75" customHeight="1" x14ac:dyDescent="0.3">
      <c r="A27" s="19">
        <v>43161</v>
      </c>
      <c r="B27" s="24"/>
      <c r="C27" s="24"/>
      <c r="D27" s="5">
        <v>2</v>
      </c>
      <c r="E27" s="5">
        <v>2</v>
      </c>
      <c r="F27" s="5"/>
      <c r="G27" s="5">
        <v>1</v>
      </c>
      <c r="H27" s="5">
        <v>1</v>
      </c>
      <c r="I27" s="5">
        <f t="shared" si="4"/>
        <v>6</v>
      </c>
      <c r="J27" s="6"/>
      <c r="K27" s="6">
        <v>0.37</v>
      </c>
      <c r="L27" s="34"/>
      <c r="M27" s="34">
        <v>409.5</v>
      </c>
      <c r="N27" s="35">
        <f t="shared" si="0"/>
        <v>1106.7567567567567</v>
      </c>
      <c r="O27" s="35">
        <f t="shared" ref="O27:O35" si="10">($Z$3*K27+$Z$4*J27)/SUM(J27:K27)</f>
        <v>399</v>
      </c>
      <c r="P27" s="35">
        <f t="shared" si="3"/>
        <v>1505.7567567567567</v>
      </c>
      <c r="Q27" s="36"/>
      <c r="R27" s="37"/>
      <c r="S27" s="37"/>
      <c r="T27" s="38"/>
      <c r="U27" s="38"/>
      <c r="V27" s="38"/>
      <c r="Z27" s="17"/>
    </row>
    <row r="28" spans="1:26" ht="28.75" customHeight="1" x14ac:dyDescent="0.25">
      <c r="A28" s="19">
        <v>43168</v>
      </c>
      <c r="B28" s="24"/>
      <c r="C28" s="24"/>
      <c r="D28" s="5">
        <v>1</v>
      </c>
      <c r="E28" s="5">
        <v>1</v>
      </c>
      <c r="F28" s="5"/>
      <c r="G28" s="5">
        <v>2</v>
      </c>
      <c r="H28" s="5">
        <v>1</v>
      </c>
      <c r="I28" s="5">
        <f t="shared" si="4"/>
        <v>5</v>
      </c>
      <c r="J28" s="6"/>
      <c r="K28" s="6">
        <v>0.22</v>
      </c>
      <c r="L28" s="34"/>
      <c r="M28" s="34">
        <v>341.25</v>
      </c>
      <c r="N28" s="35">
        <f t="shared" si="0"/>
        <v>1551.1363636363637</v>
      </c>
      <c r="O28" s="35">
        <f t="shared" si="10"/>
        <v>399</v>
      </c>
      <c r="P28" s="35">
        <f t="shared" si="3"/>
        <v>1950.1363636363637</v>
      </c>
      <c r="Q28" s="36"/>
      <c r="R28" s="37"/>
      <c r="S28" s="37"/>
      <c r="T28" s="38"/>
      <c r="U28" s="38"/>
      <c r="V28" s="38"/>
    </row>
    <row r="29" spans="1:26" ht="28.75" customHeight="1" x14ac:dyDescent="0.25">
      <c r="A29" s="19">
        <v>43173</v>
      </c>
      <c r="B29" s="24">
        <v>1</v>
      </c>
      <c r="C29" s="24"/>
      <c r="D29" s="5"/>
      <c r="E29" s="5"/>
      <c r="F29" s="5"/>
      <c r="G29" s="5"/>
      <c r="H29" s="5"/>
      <c r="I29" s="5">
        <f t="shared" si="4"/>
        <v>0</v>
      </c>
      <c r="J29" s="6">
        <v>0.68</v>
      </c>
      <c r="K29" s="6"/>
      <c r="L29" s="34"/>
      <c r="M29" s="34"/>
      <c r="N29" s="35">
        <f t="shared" si="0"/>
        <v>0</v>
      </c>
      <c r="O29" s="35">
        <f t="shared" si="10"/>
        <v>124.99999999999999</v>
      </c>
      <c r="P29" s="35">
        <f t="shared" si="3"/>
        <v>124.99999999999999</v>
      </c>
      <c r="Q29" s="36"/>
      <c r="R29" s="37"/>
      <c r="S29" s="37"/>
      <c r="T29" s="38"/>
      <c r="U29" s="38"/>
      <c r="V29" s="38"/>
    </row>
    <row r="30" spans="1:26" ht="28.75" customHeight="1" x14ac:dyDescent="0.25">
      <c r="A30" s="19">
        <v>43175</v>
      </c>
      <c r="B30" s="24"/>
      <c r="C30" s="24"/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f t="shared" si="4"/>
        <v>5</v>
      </c>
      <c r="J30" s="6"/>
      <c r="K30" s="6">
        <v>0.52</v>
      </c>
      <c r="L30" s="34"/>
      <c r="M30" s="34">
        <v>341.25</v>
      </c>
      <c r="N30" s="35">
        <f t="shared" si="0"/>
        <v>656.25</v>
      </c>
      <c r="O30" s="35">
        <f t="shared" si="10"/>
        <v>399</v>
      </c>
      <c r="P30" s="35">
        <f t="shared" si="3"/>
        <v>1055.25</v>
      </c>
      <c r="Q30" s="36"/>
      <c r="R30" s="37"/>
      <c r="S30" s="37"/>
      <c r="T30" s="38"/>
      <c r="U30" s="38"/>
      <c r="V30" s="38"/>
    </row>
    <row r="31" spans="1:26" ht="28.75" customHeight="1" x14ac:dyDescent="0.25">
      <c r="A31" s="19">
        <v>43182</v>
      </c>
      <c r="B31" s="24"/>
      <c r="C31" s="24"/>
      <c r="D31" s="49">
        <v>1</v>
      </c>
      <c r="E31" s="49">
        <v>1</v>
      </c>
      <c r="F31" s="49"/>
      <c r="G31" s="49"/>
      <c r="H31" s="49">
        <v>1</v>
      </c>
      <c r="I31" s="5">
        <f t="shared" si="4"/>
        <v>3</v>
      </c>
      <c r="J31" s="50"/>
      <c r="K31" s="50">
        <v>0.19</v>
      </c>
      <c r="L31" s="34"/>
      <c r="M31" s="34"/>
      <c r="N31" s="35">
        <f t="shared" si="0"/>
        <v>0</v>
      </c>
      <c r="O31" s="35">
        <f t="shared" si="10"/>
        <v>399</v>
      </c>
      <c r="P31" s="35">
        <f t="shared" si="3"/>
        <v>399</v>
      </c>
      <c r="Q31" s="36"/>
      <c r="R31" s="37"/>
      <c r="S31" s="37"/>
      <c r="T31" s="38"/>
      <c r="U31" s="38"/>
      <c r="V31" s="38"/>
    </row>
    <row r="32" spans="1:26" ht="28.75" customHeight="1" x14ac:dyDescent="0.25">
      <c r="A32" s="19">
        <v>43189</v>
      </c>
      <c r="B32" s="24"/>
      <c r="C32" s="24"/>
      <c r="D32" s="49"/>
      <c r="E32" s="49"/>
      <c r="F32" s="49"/>
      <c r="G32" s="49"/>
      <c r="H32" s="49"/>
      <c r="I32" s="5">
        <f t="shared" si="4"/>
        <v>0</v>
      </c>
      <c r="J32" s="50"/>
      <c r="K32" s="50"/>
      <c r="L32" s="34"/>
      <c r="M32" s="34"/>
      <c r="N32" s="35" t="e">
        <f t="shared" si="0"/>
        <v>#DIV/0!</v>
      </c>
      <c r="O32" s="35" t="e">
        <f t="shared" si="10"/>
        <v>#DIV/0!</v>
      </c>
      <c r="P32" s="35" t="e">
        <f t="shared" si="3"/>
        <v>#DIV/0!</v>
      </c>
      <c r="Q32" s="36"/>
      <c r="R32" s="37"/>
      <c r="S32" s="37"/>
      <c r="T32" s="38"/>
      <c r="U32" s="38"/>
      <c r="V32" s="38"/>
    </row>
    <row r="33" spans="1:26" s="17" customFormat="1" ht="28.75" customHeight="1" x14ac:dyDescent="0.3">
      <c r="A33" s="27" t="s">
        <v>56</v>
      </c>
      <c r="B33" s="28">
        <f t="shared" ref="B33:M33" si="11">SUBTOTAL(109,B27:B32)</f>
        <v>1</v>
      </c>
      <c r="C33" s="28">
        <f t="shared" si="11"/>
        <v>0</v>
      </c>
      <c r="D33" s="28">
        <f t="shared" si="11"/>
        <v>5</v>
      </c>
      <c r="E33" s="28">
        <f t="shared" si="11"/>
        <v>5</v>
      </c>
      <c r="F33" s="28">
        <f t="shared" si="11"/>
        <v>1</v>
      </c>
      <c r="G33" s="28">
        <f t="shared" si="11"/>
        <v>4</v>
      </c>
      <c r="H33" s="28">
        <f t="shared" si="11"/>
        <v>4</v>
      </c>
      <c r="I33" s="28">
        <f t="shared" si="11"/>
        <v>19</v>
      </c>
      <c r="J33" s="28">
        <f t="shared" si="11"/>
        <v>0.68</v>
      </c>
      <c r="K33" s="28">
        <f t="shared" si="11"/>
        <v>1.2999999999999998</v>
      </c>
      <c r="L33" s="39">
        <f t="shared" si="11"/>
        <v>0</v>
      </c>
      <c r="M33" s="39">
        <f t="shared" si="11"/>
        <v>1092</v>
      </c>
      <c r="N33" s="39">
        <f t="shared" si="0"/>
        <v>551.5151515151515</v>
      </c>
      <c r="O33" s="39">
        <f t="shared" si="10"/>
        <v>304.89898989898984</v>
      </c>
      <c r="P33" s="39">
        <f t="shared" si="3"/>
        <v>856.41414141414134</v>
      </c>
      <c r="Q33" s="39">
        <f>L33/J33</f>
        <v>0</v>
      </c>
      <c r="R33" s="40">
        <f>$Z$4</f>
        <v>125</v>
      </c>
      <c r="S33" s="40">
        <f>Q33+R33</f>
        <v>125</v>
      </c>
      <c r="T33" s="40">
        <f>M33/K33</f>
        <v>840.00000000000011</v>
      </c>
      <c r="U33" s="40">
        <f>$Z$3</f>
        <v>399</v>
      </c>
      <c r="V33" s="40">
        <f>T33+U33</f>
        <v>1239</v>
      </c>
      <c r="Z33" s="1"/>
    </row>
    <row r="34" spans="1:26" ht="28.75" customHeight="1" x14ac:dyDescent="0.3">
      <c r="A34" s="19">
        <v>43196</v>
      </c>
      <c r="B34" s="24"/>
      <c r="C34" s="24"/>
      <c r="D34" s="49">
        <v>2</v>
      </c>
      <c r="E34" s="49">
        <v>2</v>
      </c>
      <c r="F34" s="49"/>
      <c r="G34" s="49">
        <v>1</v>
      </c>
      <c r="H34" s="49">
        <v>2</v>
      </c>
      <c r="I34" s="5">
        <f t="shared" si="4"/>
        <v>7</v>
      </c>
      <c r="J34" s="50"/>
      <c r="K34" s="50">
        <v>0.35</v>
      </c>
      <c r="L34" s="34"/>
      <c r="M34" s="53">
        <v>477.75</v>
      </c>
      <c r="N34" s="35">
        <f t="shared" si="0"/>
        <v>1365</v>
      </c>
      <c r="O34" s="35">
        <f t="shared" si="10"/>
        <v>398.99999999999994</v>
      </c>
      <c r="P34" s="35">
        <f t="shared" si="3"/>
        <v>1764</v>
      </c>
      <c r="Q34" s="36"/>
      <c r="R34" s="37"/>
      <c r="S34" s="37"/>
      <c r="T34" s="38"/>
      <c r="U34" s="38"/>
      <c r="V34" s="38"/>
      <c r="Z34" s="17"/>
    </row>
    <row r="35" spans="1:26" ht="28.75" customHeight="1" x14ac:dyDescent="0.25">
      <c r="A35" s="19">
        <v>43203</v>
      </c>
      <c r="B35" s="24"/>
      <c r="C35" s="24"/>
      <c r="D35" s="49">
        <v>1</v>
      </c>
      <c r="E35" s="49">
        <v>2</v>
      </c>
      <c r="F35" s="49"/>
      <c r="G35" s="49"/>
      <c r="H35" s="49"/>
      <c r="I35" s="5">
        <f t="shared" si="4"/>
        <v>3</v>
      </c>
      <c r="J35" s="50"/>
      <c r="K35" s="50">
        <v>0.23</v>
      </c>
      <c r="L35" s="34"/>
      <c r="M35" s="53">
        <v>204.75</v>
      </c>
      <c r="N35" s="35">
        <f t="shared" ref="N35:N69" si="12">SUM(M35:M35)/SUM(J35:K35)</f>
        <v>890.21739130434776</v>
      </c>
      <c r="O35" s="35">
        <f t="shared" si="10"/>
        <v>399</v>
      </c>
      <c r="P35" s="35">
        <f t="shared" si="3"/>
        <v>1289.2173913043478</v>
      </c>
      <c r="Q35" s="36"/>
      <c r="R35" s="37"/>
      <c r="S35" s="37"/>
      <c r="T35" s="38"/>
      <c r="U35" s="38"/>
      <c r="V35" s="38"/>
    </row>
    <row r="36" spans="1:26" ht="28.75" customHeight="1" x14ac:dyDescent="0.25">
      <c r="A36" s="19">
        <v>43208</v>
      </c>
      <c r="B36" s="24">
        <v>1</v>
      </c>
      <c r="C36" s="24"/>
      <c r="D36" s="51"/>
      <c r="E36" s="51"/>
      <c r="F36" s="51"/>
      <c r="G36" s="51"/>
      <c r="H36" s="51"/>
      <c r="I36" s="5">
        <f t="shared" si="4"/>
        <v>0</v>
      </c>
      <c r="J36" s="52">
        <v>1.73</v>
      </c>
      <c r="K36" s="52"/>
      <c r="L36" s="54">
        <v>525</v>
      </c>
      <c r="M36" s="54"/>
      <c r="N36" s="35"/>
      <c r="O36" s="35"/>
      <c r="P36" s="35"/>
      <c r="Q36" s="36"/>
      <c r="R36" s="37"/>
      <c r="S36" s="37"/>
      <c r="T36" s="38"/>
      <c r="U36" s="38"/>
      <c r="V36" s="38"/>
    </row>
    <row r="37" spans="1:26" ht="28.75" customHeight="1" x14ac:dyDescent="0.25">
      <c r="A37" s="19">
        <v>43210</v>
      </c>
      <c r="B37" s="24"/>
      <c r="C37" s="24"/>
      <c r="D37" s="49">
        <v>1</v>
      </c>
      <c r="E37" s="49">
        <v>1</v>
      </c>
      <c r="F37" s="49"/>
      <c r="G37" s="49">
        <v>1</v>
      </c>
      <c r="H37" s="49">
        <v>1</v>
      </c>
      <c r="I37" s="5">
        <f t="shared" si="4"/>
        <v>4</v>
      </c>
      <c r="J37" s="50"/>
      <c r="K37" s="50">
        <v>0.21</v>
      </c>
      <c r="L37" s="34"/>
      <c r="M37" s="53">
        <v>273</v>
      </c>
      <c r="N37" s="35">
        <f t="shared" si="12"/>
        <v>1300</v>
      </c>
      <c r="O37" s="35">
        <f t="shared" ref="O37:O85" si="13">($Z$3*K37+$Z$4*J37)/SUM(J37:K37)</f>
        <v>399</v>
      </c>
      <c r="P37" s="35">
        <f t="shared" si="3"/>
        <v>1699</v>
      </c>
      <c r="Q37" s="36"/>
      <c r="R37" s="37"/>
      <c r="S37" s="37"/>
      <c r="T37" s="38"/>
      <c r="U37" s="38"/>
      <c r="V37" s="38"/>
    </row>
    <row r="38" spans="1:26" ht="28.75" customHeight="1" x14ac:dyDescent="0.25">
      <c r="A38" s="19">
        <v>43217</v>
      </c>
      <c r="B38" s="24"/>
      <c r="C38" s="24"/>
      <c r="D38" s="49">
        <v>1</v>
      </c>
      <c r="E38" s="49">
        <v>2</v>
      </c>
      <c r="F38" s="49"/>
      <c r="G38" s="49"/>
      <c r="H38" s="49">
        <v>1</v>
      </c>
      <c r="I38" s="5">
        <f t="shared" si="4"/>
        <v>4</v>
      </c>
      <c r="J38" s="50"/>
      <c r="K38" s="50">
        <v>0.27</v>
      </c>
      <c r="L38" s="34"/>
      <c r="M38" s="53">
        <v>273</v>
      </c>
      <c r="N38" s="35">
        <f t="shared" si="12"/>
        <v>1011.1111111111111</v>
      </c>
      <c r="O38" s="35">
        <f t="shared" si="13"/>
        <v>399</v>
      </c>
      <c r="P38" s="35">
        <f t="shared" si="3"/>
        <v>1410.1111111111111</v>
      </c>
      <c r="Q38" s="36"/>
      <c r="R38" s="37"/>
      <c r="S38" s="37"/>
      <c r="T38" s="38"/>
      <c r="U38" s="38"/>
      <c r="V38" s="38"/>
    </row>
    <row r="39" spans="1:26" s="17" customFormat="1" ht="28.75" customHeight="1" x14ac:dyDescent="0.3">
      <c r="A39" s="27" t="s">
        <v>57</v>
      </c>
      <c r="B39" s="28">
        <f t="shared" ref="B39:M39" si="14">SUBTOTAL(109,B34:B38)</f>
        <v>1</v>
      </c>
      <c r="C39" s="28">
        <f t="shared" si="14"/>
        <v>0</v>
      </c>
      <c r="D39" s="28">
        <f t="shared" si="14"/>
        <v>5</v>
      </c>
      <c r="E39" s="28">
        <f t="shared" si="14"/>
        <v>7</v>
      </c>
      <c r="F39" s="28">
        <f t="shared" si="14"/>
        <v>0</v>
      </c>
      <c r="G39" s="28">
        <f t="shared" si="14"/>
        <v>2</v>
      </c>
      <c r="H39" s="28">
        <f t="shared" si="14"/>
        <v>4</v>
      </c>
      <c r="I39" s="28">
        <f t="shared" si="14"/>
        <v>18</v>
      </c>
      <c r="J39" s="28">
        <f t="shared" si="14"/>
        <v>1.73</v>
      </c>
      <c r="K39" s="28">
        <f t="shared" si="14"/>
        <v>1.06</v>
      </c>
      <c r="L39" s="39">
        <f t="shared" si="14"/>
        <v>525</v>
      </c>
      <c r="M39" s="39">
        <f t="shared" si="14"/>
        <v>1228.5</v>
      </c>
      <c r="N39" s="39">
        <f t="shared" si="12"/>
        <v>440.32258064516128</v>
      </c>
      <c r="O39" s="39">
        <f t="shared" si="13"/>
        <v>229.10035842293908</v>
      </c>
      <c r="P39" s="39">
        <f t="shared" si="3"/>
        <v>669.42293906810039</v>
      </c>
      <c r="Q39" s="39">
        <f>L39/J39</f>
        <v>303.46820809248555</v>
      </c>
      <c r="R39" s="40">
        <f>$Z$4</f>
        <v>125</v>
      </c>
      <c r="S39" s="40">
        <f>Q39+R39</f>
        <v>428.46820809248555</v>
      </c>
      <c r="T39" s="40">
        <f>M39/K39</f>
        <v>1158.9622641509434</v>
      </c>
      <c r="U39" s="40">
        <f>$Z$3</f>
        <v>399</v>
      </c>
      <c r="V39" s="40">
        <f>T39+U39</f>
        <v>1557.9622641509434</v>
      </c>
      <c r="Z39" s="1"/>
    </row>
    <row r="40" spans="1:26" ht="28.75" customHeight="1" x14ac:dyDescent="0.3">
      <c r="A40" s="19">
        <v>43224</v>
      </c>
      <c r="B40" s="24"/>
      <c r="C40" s="24"/>
      <c r="D40" s="49">
        <v>1</v>
      </c>
      <c r="E40" s="49">
        <v>1</v>
      </c>
      <c r="F40" s="49"/>
      <c r="G40" s="49">
        <v>1</v>
      </c>
      <c r="H40" s="49">
        <v>1</v>
      </c>
      <c r="I40" s="5">
        <f t="shared" si="4"/>
        <v>4</v>
      </c>
      <c r="J40" s="6"/>
      <c r="K40" s="50">
        <v>0.27</v>
      </c>
      <c r="L40" s="34"/>
      <c r="M40" s="53">
        <v>273</v>
      </c>
      <c r="N40" s="35">
        <f t="shared" si="12"/>
        <v>1011.1111111111111</v>
      </c>
      <c r="O40" s="35">
        <f t="shared" si="13"/>
        <v>399</v>
      </c>
      <c r="P40" s="35">
        <f t="shared" si="3"/>
        <v>1410.1111111111111</v>
      </c>
      <c r="Q40" s="36"/>
      <c r="R40" s="37"/>
      <c r="S40" s="37"/>
      <c r="T40" s="38"/>
      <c r="U40" s="38"/>
      <c r="V40" s="38"/>
      <c r="Z40" s="17"/>
    </row>
    <row r="41" spans="1:26" ht="28.75" customHeight="1" x14ac:dyDescent="0.25">
      <c r="A41" s="19">
        <v>43231</v>
      </c>
      <c r="B41" s="24"/>
      <c r="C41" s="24"/>
      <c r="D41" s="49">
        <v>1</v>
      </c>
      <c r="E41" s="49">
        <v>1</v>
      </c>
      <c r="F41" s="49"/>
      <c r="G41" s="49">
        <v>1</v>
      </c>
      <c r="H41" s="49">
        <v>1</v>
      </c>
      <c r="I41" s="5">
        <f t="shared" si="4"/>
        <v>4</v>
      </c>
      <c r="J41" s="6"/>
      <c r="K41" s="50">
        <v>0.23</v>
      </c>
      <c r="L41" s="34"/>
      <c r="M41" s="53">
        <v>273</v>
      </c>
      <c r="N41" s="35">
        <f t="shared" si="12"/>
        <v>1186.9565217391305</v>
      </c>
      <c r="O41" s="35">
        <f t="shared" si="13"/>
        <v>399</v>
      </c>
      <c r="P41" s="35">
        <f t="shared" si="3"/>
        <v>1585.9565217391305</v>
      </c>
      <c r="Q41" s="36"/>
      <c r="R41" s="37"/>
      <c r="S41" s="37"/>
      <c r="T41" s="38"/>
      <c r="U41" s="38"/>
      <c r="V41" s="38"/>
    </row>
    <row r="42" spans="1:26" ht="28.75" customHeight="1" x14ac:dyDescent="0.25">
      <c r="A42" s="19">
        <v>43238</v>
      </c>
      <c r="B42" s="24">
        <v>1</v>
      </c>
      <c r="C42" s="24"/>
      <c r="D42" s="49">
        <v>5</v>
      </c>
      <c r="E42" s="49">
        <v>2</v>
      </c>
      <c r="F42" s="49"/>
      <c r="G42" s="49">
        <v>1</v>
      </c>
      <c r="H42" s="49">
        <v>1</v>
      </c>
      <c r="I42" s="5">
        <f t="shared" si="4"/>
        <v>9</v>
      </c>
      <c r="J42" s="6">
        <v>1.83</v>
      </c>
      <c r="K42" s="6">
        <v>0.56000000000000005</v>
      </c>
      <c r="L42" s="34">
        <v>525</v>
      </c>
      <c r="M42" s="34"/>
      <c r="N42" s="35">
        <f t="shared" si="12"/>
        <v>0</v>
      </c>
      <c r="O42" s="35">
        <f t="shared" si="13"/>
        <v>189.20083682008371</v>
      </c>
      <c r="P42" s="35">
        <f t="shared" si="3"/>
        <v>189.20083682008371</v>
      </c>
      <c r="Q42" s="36"/>
      <c r="R42" s="37"/>
      <c r="S42" s="37"/>
      <c r="T42" s="38"/>
      <c r="U42" s="38"/>
      <c r="V42" s="38"/>
    </row>
    <row r="43" spans="1:26" ht="28.75" customHeight="1" x14ac:dyDescent="0.25">
      <c r="A43" s="19">
        <v>43245</v>
      </c>
      <c r="B43" s="24"/>
      <c r="C43" s="24"/>
      <c r="D43" s="49">
        <v>2</v>
      </c>
      <c r="E43" s="49">
        <v>2</v>
      </c>
      <c r="F43" s="49"/>
      <c r="G43" s="49">
        <v>1</v>
      </c>
      <c r="H43" s="49">
        <v>1</v>
      </c>
      <c r="I43" s="5">
        <f t="shared" si="4"/>
        <v>6</v>
      </c>
      <c r="J43" s="6"/>
      <c r="K43" s="6">
        <v>0.6</v>
      </c>
      <c r="L43" s="34"/>
      <c r="M43" s="34">
        <v>409.5</v>
      </c>
      <c r="N43" s="35">
        <f t="shared" si="12"/>
        <v>682.5</v>
      </c>
      <c r="O43" s="35">
        <f t="shared" si="13"/>
        <v>399</v>
      </c>
      <c r="P43" s="35">
        <f t="shared" si="3"/>
        <v>1081.5</v>
      </c>
      <c r="Q43" s="36"/>
      <c r="R43" s="37"/>
      <c r="S43" s="37"/>
      <c r="T43" s="38"/>
      <c r="U43" s="38"/>
      <c r="V43" s="38"/>
    </row>
    <row r="44" spans="1:26" s="17" customFormat="1" ht="28.75" customHeight="1" x14ac:dyDescent="0.3">
      <c r="A44" s="27" t="s">
        <v>58</v>
      </c>
      <c r="B44" s="28">
        <f t="shared" ref="B44:M44" si="15">SUBTOTAL(109,B40:B43)</f>
        <v>1</v>
      </c>
      <c r="C44" s="28">
        <f t="shared" si="15"/>
        <v>0</v>
      </c>
      <c r="D44" s="28">
        <f t="shared" si="15"/>
        <v>9</v>
      </c>
      <c r="E44" s="28">
        <f t="shared" si="15"/>
        <v>6</v>
      </c>
      <c r="F44" s="28">
        <f t="shared" si="15"/>
        <v>0</v>
      </c>
      <c r="G44" s="28">
        <f t="shared" si="15"/>
        <v>4</v>
      </c>
      <c r="H44" s="28">
        <f t="shared" si="15"/>
        <v>4</v>
      </c>
      <c r="I44" s="28">
        <f t="shared" si="15"/>
        <v>23</v>
      </c>
      <c r="J44" s="28">
        <f t="shared" si="15"/>
        <v>1.83</v>
      </c>
      <c r="K44" s="28">
        <f t="shared" si="15"/>
        <v>1.6600000000000001</v>
      </c>
      <c r="L44" s="39">
        <f t="shared" si="15"/>
        <v>525</v>
      </c>
      <c r="M44" s="39">
        <f t="shared" si="15"/>
        <v>955.5</v>
      </c>
      <c r="N44" s="39">
        <f t="shared" si="12"/>
        <v>273.78223495702002</v>
      </c>
      <c r="O44" s="39">
        <f t="shared" si="13"/>
        <v>255.32664756446991</v>
      </c>
      <c r="P44" s="39">
        <f t="shared" si="3"/>
        <v>529.10888252148993</v>
      </c>
      <c r="Q44" s="39">
        <f>L44/J44</f>
        <v>286.88524590163934</v>
      </c>
      <c r="R44" s="40">
        <f>$Z$4</f>
        <v>125</v>
      </c>
      <c r="S44" s="40">
        <f>Q44+R44</f>
        <v>411.88524590163934</v>
      </c>
      <c r="T44" s="40">
        <f>M44/K44</f>
        <v>575.60240963855415</v>
      </c>
      <c r="U44" s="40">
        <f>$Z$3</f>
        <v>399</v>
      </c>
      <c r="V44" s="40">
        <f>T44+U44</f>
        <v>974.60240963855415</v>
      </c>
      <c r="Z44" s="1"/>
    </row>
    <row r="45" spans="1:26" ht="28.75" customHeight="1" x14ac:dyDescent="0.3">
      <c r="A45" s="19">
        <v>43252</v>
      </c>
      <c r="B45" s="24"/>
      <c r="C45" s="24"/>
      <c r="D45" s="5">
        <v>2</v>
      </c>
      <c r="E45" s="5">
        <v>2</v>
      </c>
      <c r="F45" s="5">
        <v>1</v>
      </c>
      <c r="G45" s="5">
        <v>2</v>
      </c>
      <c r="H45" s="5">
        <v>2</v>
      </c>
      <c r="I45" s="5">
        <f t="shared" si="4"/>
        <v>9</v>
      </c>
      <c r="J45" s="6"/>
      <c r="K45" s="6">
        <v>0.82</v>
      </c>
      <c r="L45" s="34"/>
      <c r="M45" s="34">
        <v>614.12</v>
      </c>
      <c r="N45" s="35">
        <f t="shared" si="12"/>
        <v>748.92682926829275</v>
      </c>
      <c r="O45" s="35">
        <f t="shared" si="13"/>
        <v>399.00000000000006</v>
      </c>
      <c r="P45" s="35">
        <f t="shared" si="3"/>
        <v>1147.9268292682927</v>
      </c>
      <c r="Q45" s="36"/>
      <c r="R45" s="37"/>
      <c r="S45" s="37"/>
      <c r="T45" s="38"/>
      <c r="U45" s="38"/>
      <c r="V45" s="38"/>
      <c r="Z45" s="17"/>
    </row>
    <row r="46" spans="1:26" ht="28.75" customHeight="1" x14ac:dyDescent="0.25">
      <c r="A46" s="19">
        <v>43259</v>
      </c>
      <c r="B46" s="24"/>
      <c r="C46" s="24"/>
      <c r="D46" s="5">
        <v>1</v>
      </c>
      <c r="E46" s="5">
        <v>1</v>
      </c>
      <c r="F46" s="5"/>
      <c r="G46" s="5"/>
      <c r="H46" s="5"/>
      <c r="I46" s="5">
        <f t="shared" si="4"/>
        <v>2</v>
      </c>
      <c r="J46" s="6"/>
      <c r="K46" s="6">
        <v>0.17</v>
      </c>
      <c r="L46" s="34"/>
      <c r="M46" s="34">
        <v>136.5</v>
      </c>
      <c r="N46" s="35">
        <f t="shared" si="12"/>
        <v>802.94117647058818</v>
      </c>
      <c r="O46" s="35">
        <f t="shared" si="13"/>
        <v>398.99999999999994</v>
      </c>
      <c r="P46" s="35">
        <f t="shared" si="3"/>
        <v>1201.9411764705881</v>
      </c>
      <c r="Q46" s="36"/>
      <c r="R46" s="37"/>
      <c r="S46" s="37"/>
      <c r="T46" s="38"/>
      <c r="U46" s="38"/>
      <c r="V46" s="38"/>
    </row>
    <row r="47" spans="1:26" ht="28.75" customHeight="1" x14ac:dyDescent="0.25">
      <c r="A47" s="19">
        <v>43266</v>
      </c>
      <c r="B47" s="24">
        <v>1</v>
      </c>
      <c r="C47" s="24"/>
      <c r="D47" s="5">
        <v>3</v>
      </c>
      <c r="E47" s="5">
        <v>3</v>
      </c>
      <c r="F47" s="5"/>
      <c r="G47" s="5">
        <v>2</v>
      </c>
      <c r="H47" s="5">
        <v>1</v>
      </c>
      <c r="I47" s="5">
        <f t="shared" si="4"/>
        <v>9</v>
      </c>
      <c r="J47" s="6">
        <v>1.35</v>
      </c>
      <c r="K47" s="6">
        <v>0.42</v>
      </c>
      <c r="L47" s="34">
        <v>525</v>
      </c>
      <c r="M47" s="34">
        <v>614.25</v>
      </c>
      <c r="N47" s="35">
        <f t="shared" si="12"/>
        <v>347.03389830508473</v>
      </c>
      <c r="O47" s="35">
        <f t="shared" si="13"/>
        <v>190.01694915254237</v>
      </c>
      <c r="P47" s="35">
        <f t="shared" si="3"/>
        <v>537.05084745762713</v>
      </c>
      <c r="Q47" s="36"/>
      <c r="R47" s="37"/>
      <c r="S47" s="37"/>
      <c r="T47" s="38"/>
      <c r="U47" s="38"/>
      <c r="V47" s="38"/>
    </row>
    <row r="48" spans="1:26" ht="28.75" customHeight="1" x14ac:dyDescent="0.25">
      <c r="A48" s="19">
        <v>43273</v>
      </c>
      <c r="B48" s="24"/>
      <c r="C48" s="24"/>
      <c r="D48" s="5">
        <v>1</v>
      </c>
      <c r="E48" s="5">
        <v>2</v>
      </c>
      <c r="F48" s="5"/>
      <c r="G48" s="5">
        <v>1</v>
      </c>
      <c r="H48" s="5">
        <v>1</v>
      </c>
      <c r="I48" s="5">
        <f t="shared" si="4"/>
        <v>5</v>
      </c>
      <c r="J48" s="6"/>
      <c r="K48" s="6">
        <v>0.37</v>
      </c>
      <c r="L48" s="34"/>
      <c r="M48" s="34">
        <v>341.25</v>
      </c>
      <c r="N48" s="35">
        <f t="shared" si="12"/>
        <v>922.29729729729729</v>
      </c>
      <c r="O48" s="35">
        <f t="shared" si="13"/>
        <v>399</v>
      </c>
      <c r="P48" s="35">
        <f t="shared" si="3"/>
        <v>1321.2972972972973</v>
      </c>
      <c r="Q48" s="36"/>
      <c r="R48" s="37"/>
      <c r="S48" s="37"/>
      <c r="T48" s="38"/>
      <c r="U48" s="38"/>
      <c r="V48" s="38"/>
    </row>
    <row r="49" spans="1:26" ht="28.75" customHeight="1" x14ac:dyDescent="0.25">
      <c r="A49" s="19">
        <v>43280</v>
      </c>
      <c r="B49" s="24"/>
      <c r="C49" s="24"/>
      <c r="D49" s="5"/>
      <c r="E49" s="5"/>
      <c r="F49" s="5"/>
      <c r="G49" s="5"/>
      <c r="H49" s="5"/>
      <c r="I49" s="5">
        <f t="shared" si="4"/>
        <v>0</v>
      </c>
      <c r="J49" s="6"/>
      <c r="K49" s="6">
        <v>0.28999999999999998</v>
      </c>
      <c r="L49" s="34"/>
      <c r="M49" s="34">
        <v>273</v>
      </c>
      <c r="N49" s="35">
        <f t="shared" si="12"/>
        <v>941.37931034482767</v>
      </c>
      <c r="O49" s="35">
        <f t="shared" si="13"/>
        <v>399</v>
      </c>
      <c r="P49" s="35">
        <f t="shared" si="3"/>
        <v>1340.3793103448277</v>
      </c>
      <c r="Q49" s="36"/>
      <c r="R49" s="37"/>
      <c r="S49" s="37"/>
      <c r="T49" s="38"/>
      <c r="U49" s="38"/>
      <c r="V49" s="38"/>
    </row>
    <row r="50" spans="1:26" s="17" customFormat="1" ht="28.75" customHeight="1" x14ac:dyDescent="0.3">
      <c r="A50" s="27" t="s">
        <v>59</v>
      </c>
      <c r="B50" s="28">
        <f t="shared" ref="B50:M50" si="16">SUBTOTAL(109,B45:B49)</f>
        <v>1</v>
      </c>
      <c r="C50" s="28">
        <f t="shared" si="16"/>
        <v>0</v>
      </c>
      <c r="D50" s="28">
        <f t="shared" si="16"/>
        <v>7</v>
      </c>
      <c r="E50" s="28">
        <f t="shared" si="16"/>
        <v>8</v>
      </c>
      <c r="F50" s="28">
        <f t="shared" si="16"/>
        <v>1</v>
      </c>
      <c r="G50" s="28">
        <f t="shared" si="16"/>
        <v>5</v>
      </c>
      <c r="H50" s="28">
        <f t="shared" si="16"/>
        <v>4</v>
      </c>
      <c r="I50" s="28">
        <f t="shared" si="16"/>
        <v>25</v>
      </c>
      <c r="J50" s="28">
        <f t="shared" si="16"/>
        <v>1.35</v>
      </c>
      <c r="K50" s="28">
        <f t="shared" si="16"/>
        <v>2.0699999999999998</v>
      </c>
      <c r="L50" s="39">
        <f t="shared" si="16"/>
        <v>525</v>
      </c>
      <c r="M50" s="39">
        <f t="shared" si="16"/>
        <v>1979.12</v>
      </c>
      <c r="N50" s="39">
        <f t="shared" si="12"/>
        <v>578.69005847953213</v>
      </c>
      <c r="O50" s="39">
        <f t="shared" si="13"/>
        <v>290.84210526315786</v>
      </c>
      <c r="P50" s="39">
        <f t="shared" si="3"/>
        <v>869.53216374269005</v>
      </c>
      <c r="Q50" s="39">
        <f>L50/J50</f>
        <v>388.88888888888886</v>
      </c>
      <c r="R50" s="40">
        <f>$Z$4</f>
        <v>125</v>
      </c>
      <c r="S50" s="40">
        <f>Q50+R50</f>
        <v>513.88888888888891</v>
      </c>
      <c r="T50" s="40">
        <f>M50/K50</f>
        <v>956.09661835748796</v>
      </c>
      <c r="U50" s="40">
        <f>$Z$3</f>
        <v>399</v>
      </c>
      <c r="V50" s="40">
        <f>T50+U50</f>
        <v>1355.0966183574878</v>
      </c>
      <c r="Z50" s="1"/>
    </row>
    <row r="51" spans="1:26" ht="28.75" customHeight="1" x14ac:dyDescent="0.3">
      <c r="A51" s="19">
        <v>43287</v>
      </c>
      <c r="B51" s="24"/>
      <c r="C51" s="24"/>
      <c r="D51" s="5">
        <v>2</v>
      </c>
      <c r="E51" s="5">
        <v>2</v>
      </c>
      <c r="F51" s="5"/>
      <c r="G51" s="5">
        <v>2</v>
      </c>
      <c r="H51" s="5">
        <v>2</v>
      </c>
      <c r="I51" s="5">
        <f t="shared" si="4"/>
        <v>8</v>
      </c>
      <c r="J51" s="6"/>
      <c r="K51" s="6">
        <v>0.46</v>
      </c>
      <c r="L51" s="34"/>
      <c r="M51" s="34">
        <v>546</v>
      </c>
      <c r="N51" s="35">
        <f t="shared" si="12"/>
        <v>1186.9565217391305</v>
      </c>
      <c r="O51" s="35">
        <f t="shared" si="13"/>
        <v>399</v>
      </c>
      <c r="P51" s="35">
        <f t="shared" si="3"/>
        <v>1585.9565217391305</v>
      </c>
      <c r="Q51" s="36"/>
      <c r="R51" s="37"/>
      <c r="S51" s="37"/>
      <c r="T51" s="38"/>
      <c r="U51" s="38"/>
      <c r="V51" s="38"/>
      <c r="Z51" s="17"/>
    </row>
    <row r="52" spans="1:26" ht="28.75" customHeight="1" x14ac:dyDescent="0.3">
      <c r="A52" s="19">
        <v>43292</v>
      </c>
      <c r="B52" s="24">
        <v>1</v>
      </c>
      <c r="C52" s="24"/>
      <c r="D52" s="5"/>
      <c r="E52" s="5"/>
      <c r="F52" s="5"/>
      <c r="G52" s="5"/>
      <c r="H52" s="5"/>
      <c r="I52" s="5"/>
      <c r="J52" s="6">
        <v>1.1100000000000001</v>
      </c>
      <c r="K52" s="6"/>
      <c r="L52" s="34">
        <v>525</v>
      </c>
      <c r="M52" s="34"/>
      <c r="N52" s="35"/>
      <c r="O52" s="35"/>
      <c r="P52" s="35"/>
      <c r="Q52" s="36"/>
      <c r="R52" s="37"/>
      <c r="S52" s="37"/>
      <c r="T52" s="38"/>
      <c r="U52" s="38"/>
      <c r="V52" s="38"/>
      <c r="Z52" s="17"/>
    </row>
    <row r="53" spans="1:26" ht="28.75" customHeight="1" x14ac:dyDescent="0.25">
      <c r="A53" s="19">
        <v>43294</v>
      </c>
      <c r="B53" s="24"/>
      <c r="C53" s="24"/>
      <c r="D53" s="5"/>
      <c r="E53" s="5"/>
      <c r="F53" s="5"/>
      <c r="G53" s="5"/>
      <c r="H53" s="5"/>
      <c r="I53" s="5">
        <v>6</v>
      </c>
      <c r="J53" s="6"/>
      <c r="K53" s="6">
        <v>0.41</v>
      </c>
      <c r="L53" s="34"/>
      <c r="M53" s="34">
        <v>409.5</v>
      </c>
      <c r="N53" s="35">
        <f t="shared" si="12"/>
        <v>998.78048780487813</v>
      </c>
      <c r="O53" s="35">
        <f t="shared" si="13"/>
        <v>399.00000000000006</v>
      </c>
      <c r="P53" s="35">
        <f t="shared" si="3"/>
        <v>1397.7804878048782</v>
      </c>
      <c r="Q53" s="36"/>
      <c r="R53" s="37"/>
      <c r="S53" s="37"/>
      <c r="T53" s="38"/>
      <c r="U53" s="38"/>
      <c r="V53" s="38"/>
    </row>
    <row r="54" spans="1:26" ht="28.75" customHeight="1" x14ac:dyDescent="0.25">
      <c r="A54" s="19">
        <v>43301</v>
      </c>
      <c r="B54" s="24"/>
      <c r="C54" s="24"/>
      <c r="D54" s="5"/>
      <c r="E54" s="5"/>
      <c r="F54" s="5"/>
      <c r="G54" s="5"/>
      <c r="H54" s="5"/>
      <c r="I54" s="5">
        <f t="shared" si="4"/>
        <v>0</v>
      </c>
      <c r="J54" s="6"/>
      <c r="K54" s="6"/>
      <c r="L54" s="34"/>
      <c r="M54" s="34"/>
      <c r="N54" s="35" t="e">
        <f t="shared" si="12"/>
        <v>#DIV/0!</v>
      </c>
      <c r="O54" s="35" t="e">
        <f t="shared" si="13"/>
        <v>#DIV/0!</v>
      </c>
      <c r="P54" s="35" t="e">
        <f t="shared" si="3"/>
        <v>#DIV/0!</v>
      </c>
      <c r="Q54" s="36"/>
      <c r="R54" s="37"/>
      <c r="S54" s="37"/>
      <c r="T54" s="38"/>
      <c r="U54" s="38"/>
      <c r="V54" s="38"/>
    </row>
    <row r="55" spans="1:26" ht="28.75" customHeight="1" x14ac:dyDescent="0.25">
      <c r="A55" s="19">
        <v>43308</v>
      </c>
      <c r="B55" s="24"/>
      <c r="C55" s="24"/>
      <c r="D55" s="5">
        <v>6</v>
      </c>
      <c r="E55" s="5">
        <v>4</v>
      </c>
      <c r="F55" s="5"/>
      <c r="G55" s="5">
        <v>2</v>
      </c>
      <c r="H55" s="5">
        <v>2</v>
      </c>
      <c r="I55" s="5">
        <f t="shared" si="4"/>
        <v>14</v>
      </c>
      <c r="J55" s="6"/>
      <c r="K55" s="6">
        <v>0.67</v>
      </c>
      <c r="L55" s="34"/>
      <c r="M55" s="34">
        <v>955.5</v>
      </c>
      <c r="N55" s="35">
        <f t="shared" si="12"/>
        <v>1426.1194029850744</v>
      </c>
      <c r="O55" s="35">
        <f t="shared" si="13"/>
        <v>399.00000000000006</v>
      </c>
      <c r="P55" s="35">
        <f t="shared" si="3"/>
        <v>1825.1194029850744</v>
      </c>
      <c r="Q55" s="36"/>
      <c r="R55" s="37"/>
      <c r="S55" s="37"/>
      <c r="T55" s="38"/>
      <c r="U55" s="38"/>
      <c r="V55" s="38"/>
    </row>
    <row r="56" spans="1:26" s="17" customFormat="1" ht="28.75" customHeight="1" x14ac:dyDescent="0.3">
      <c r="A56" s="27" t="s">
        <v>64</v>
      </c>
      <c r="B56" s="28">
        <f t="shared" ref="B56:M56" si="17">SUBTOTAL(109,B51:B55)</f>
        <v>1</v>
      </c>
      <c r="C56" s="28">
        <f t="shared" si="17"/>
        <v>0</v>
      </c>
      <c r="D56" s="28">
        <f t="shared" si="17"/>
        <v>8</v>
      </c>
      <c r="E56" s="28">
        <f t="shared" si="17"/>
        <v>6</v>
      </c>
      <c r="F56" s="28">
        <f t="shared" si="17"/>
        <v>0</v>
      </c>
      <c r="G56" s="28">
        <f t="shared" si="17"/>
        <v>4</v>
      </c>
      <c r="H56" s="28">
        <f t="shared" si="17"/>
        <v>4</v>
      </c>
      <c r="I56" s="28">
        <f t="shared" si="17"/>
        <v>28</v>
      </c>
      <c r="J56" s="28">
        <f t="shared" si="17"/>
        <v>1.1100000000000001</v>
      </c>
      <c r="K56" s="28">
        <f t="shared" si="17"/>
        <v>1.54</v>
      </c>
      <c r="L56" s="39">
        <f t="shared" si="17"/>
        <v>525</v>
      </c>
      <c r="M56" s="39">
        <f t="shared" si="17"/>
        <v>1911</v>
      </c>
      <c r="N56" s="39">
        <f t="shared" si="12"/>
        <v>721.13207547169804</v>
      </c>
      <c r="O56" s="39">
        <f t="shared" si="13"/>
        <v>284.23018867924526</v>
      </c>
      <c r="P56" s="39">
        <f t="shared" si="3"/>
        <v>1005.3622641509432</v>
      </c>
      <c r="Q56" s="39">
        <f>L56/J56</f>
        <v>472.97297297297291</v>
      </c>
      <c r="R56" s="40">
        <f>$Z$4</f>
        <v>125</v>
      </c>
      <c r="S56" s="40">
        <f>Q56+R56</f>
        <v>597.97297297297291</v>
      </c>
      <c r="T56" s="40">
        <f>M56/K56</f>
        <v>1240.909090909091</v>
      </c>
      <c r="U56" s="40">
        <f>$Z$3</f>
        <v>399</v>
      </c>
      <c r="V56" s="40">
        <f>T56+U56</f>
        <v>1639.909090909091</v>
      </c>
      <c r="Z56" s="1"/>
    </row>
    <row r="57" spans="1:26" ht="28.75" customHeight="1" x14ac:dyDescent="0.3">
      <c r="A57" s="19">
        <v>43315</v>
      </c>
      <c r="B57" s="24"/>
      <c r="C57" s="24"/>
      <c r="D57" s="5">
        <v>2</v>
      </c>
      <c r="E57" s="5">
        <v>2</v>
      </c>
      <c r="F57" s="5"/>
      <c r="G57" s="5"/>
      <c r="H57" s="5">
        <v>1</v>
      </c>
      <c r="I57" s="5">
        <f t="shared" si="4"/>
        <v>5</v>
      </c>
      <c r="J57" s="6"/>
      <c r="K57" s="6">
        <v>0.24</v>
      </c>
      <c r="L57" s="34"/>
      <c r="M57" s="34">
        <v>341.25</v>
      </c>
      <c r="N57" s="35">
        <f t="shared" si="12"/>
        <v>1421.875</v>
      </c>
      <c r="O57" s="35">
        <f t="shared" si="13"/>
        <v>399</v>
      </c>
      <c r="P57" s="35">
        <f t="shared" si="3"/>
        <v>1820.875</v>
      </c>
      <c r="Q57" s="36"/>
      <c r="R57" s="37"/>
      <c r="S57" s="37"/>
      <c r="T57" s="38"/>
      <c r="U57" s="38"/>
      <c r="V57" s="38"/>
      <c r="Z57" s="17"/>
    </row>
    <row r="58" spans="1:26" ht="28.75" customHeight="1" x14ac:dyDescent="0.25">
      <c r="A58" s="19">
        <v>43322</v>
      </c>
      <c r="B58" s="24"/>
      <c r="C58" s="24"/>
      <c r="D58" s="5">
        <v>1</v>
      </c>
      <c r="E58" s="5">
        <v>2</v>
      </c>
      <c r="F58" s="5"/>
      <c r="G58" s="5">
        <v>1</v>
      </c>
      <c r="H58" s="5"/>
      <c r="I58" s="5">
        <f t="shared" si="4"/>
        <v>4</v>
      </c>
      <c r="J58" s="6"/>
      <c r="K58" s="6">
        <v>0.27500000000000002</v>
      </c>
      <c r="L58" s="34"/>
      <c r="M58" s="34">
        <v>273</v>
      </c>
      <c r="N58" s="35">
        <f t="shared" si="12"/>
        <v>992.72727272727263</v>
      </c>
      <c r="O58" s="35">
        <f t="shared" si="13"/>
        <v>399</v>
      </c>
      <c r="P58" s="35">
        <f t="shared" si="3"/>
        <v>1391.7272727272725</v>
      </c>
      <c r="Q58" s="36"/>
      <c r="R58" s="37"/>
      <c r="S58" s="37"/>
      <c r="T58" s="38"/>
      <c r="U58" s="38"/>
      <c r="V58" s="38"/>
    </row>
    <row r="59" spans="1:26" ht="28.75" customHeight="1" x14ac:dyDescent="0.25">
      <c r="A59" s="19">
        <v>43329</v>
      </c>
      <c r="B59" s="24"/>
      <c r="C59" s="24"/>
      <c r="D59" s="5">
        <v>5</v>
      </c>
      <c r="E59" s="5">
        <v>3</v>
      </c>
      <c r="F59" s="5"/>
      <c r="G59" s="5">
        <v>2</v>
      </c>
      <c r="H59" s="5">
        <v>1</v>
      </c>
      <c r="I59" s="5">
        <f>SUM(C59:H59)</f>
        <v>11</v>
      </c>
      <c r="J59" s="6"/>
      <c r="K59" s="6">
        <v>0.65</v>
      </c>
      <c r="L59" s="34"/>
      <c r="M59" s="34">
        <v>682.5</v>
      </c>
      <c r="N59" s="35">
        <f t="shared" si="12"/>
        <v>1050</v>
      </c>
      <c r="O59" s="35">
        <f t="shared" si="13"/>
        <v>399</v>
      </c>
      <c r="P59" s="35">
        <f t="shared" si="3"/>
        <v>1449</v>
      </c>
      <c r="Q59" s="36"/>
      <c r="R59" s="37"/>
      <c r="S59" s="37"/>
      <c r="T59" s="38"/>
      <c r="U59" s="38"/>
      <c r="V59" s="38"/>
    </row>
    <row r="60" spans="1:26" ht="28.75" customHeight="1" x14ac:dyDescent="0.25">
      <c r="A60" s="19">
        <v>43336</v>
      </c>
      <c r="B60" s="24"/>
      <c r="C60" s="24"/>
      <c r="D60" s="5">
        <v>5</v>
      </c>
      <c r="E60" s="5">
        <v>3</v>
      </c>
      <c r="F60" s="5"/>
      <c r="G60" s="5">
        <v>1</v>
      </c>
      <c r="H60" s="5">
        <v>2</v>
      </c>
      <c r="I60" s="5">
        <f t="shared" si="4"/>
        <v>11</v>
      </c>
      <c r="J60" s="6">
        <v>1.03</v>
      </c>
      <c r="K60" s="6">
        <v>0.71</v>
      </c>
      <c r="L60" s="34"/>
      <c r="M60" s="34">
        <v>750.75</v>
      </c>
      <c r="N60" s="35">
        <f t="shared" si="12"/>
        <v>431.4655172413793</v>
      </c>
      <c r="O60" s="35">
        <f t="shared" si="13"/>
        <v>236.80459770114942</v>
      </c>
      <c r="P60" s="35">
        <f t="shared" si="3"/>
        <v>668.27011494252872</v>
      </c>
      <c r="Q60" s="36"/>
      <c r="R60" s="37"/>
      <c r="S60" s="37"/>
      <c r="T60" s="38"/>
      <c r="U60" s="38"/>
      <c r="V60" s="38"/>
    </row>
    <row r="61" spans="1:26" ht="28.75" customHeight="1" x14ac:dyDescent="0.25">
      <c r="A61" s="19">
        <v>43343</v>
      </c>
      <c r="B61" s="24"/>
      <c r="C61" s="24"/>
      <c r="D61" s="5">
        <v>1</v>
      </c>
      <c r="E61" s="5">
        <v>2</v>
      </c>
      <c r="F61" s="5">
        <v>1</v>
      </c>
      <c r="G61" s="5">
        <v>1</v>
      </c>
      <c r="H61" s="5"/>
      <c r="I61" s="5">
        <f t="shared" si="4"/>
        <v>5</v>
      </c>
      <c r="J61" s="6"/>
      <c r="K61" s="6">
        <v>0.61</v>
      </c>
      <c r="L61" s="34"/>
      <c r="M61" s="34">
        <v>341.25</v>
      </c>
      <c r="N61" s="35">
        <f t="shared" si="12"/>
        <v>559.42622950819668</v>
      </c>
      <c r="O61" s="35">
        <f t="shared" si="13"/>
        <v>399</v>
      </c>
      <c r="P61" s="35">
        <f t="shared" si="3"/>
        <v>958.42622950819668</v>
      </c>
      <c r="Q61" s="36"/>
      <c r="R61" s="37"/>
      <c r="S61" s="37"/>
      <c r="T61" s="38"/>
      <c r="U61" s="38"/>
      <c r="V61" s="38"/>
    </row>
    <row r="62" spans="1:26" s="17" customFormat="1" ht="28.75" customHeight="1" x14ac:dyDescent="0.3">
      <c r="A62" s="27" t="s">
        <v>65</v>
      </c>
      <c r="B62" s="28">
        <f t="shared" ref="B62:M62" si="18">SUBTOTAL(109,B57:B61)</f>
        <v>0</v>
      </c>
      <c r="C62" s="28">
        <f t="shared" si="18"/>
        <v>0</v>
      </c>
      <c r="D62" s="28">
        <f t="shared" si="18"/>
        <v>14</v>
      </c>
      <c r="E62" s="28">
        <f t="shared" si="18"/>
        <v>12</v>
      </c>
      <c r="F62" s="28">
        <f t="shared" si="18"/>
        <v>1</v>
      </c>
      <c r="G62" s="28">
        <f t="shared" si="18"/>
        <v>5</v>
      </c>
      <c r="H62" s="28">
        <f t="shared" si="18"/>
        <v>4</v>
      </c>
      <c r="I62" s="28">
        <f t="shared" si="18"/>
        <v>36</v>
      </c>
      <c r="J62" s="28">
        <f t="shared" si="18"/>
        <v>1.03</v>
      </c>
      <c r="K62" s="28">
        <f t="shared" si="18"/>
        <v>2.4849999999999999</v>
      </c>
      <c r="L62" s="39">
        <f t="shared" si="18"/>
        <v>0</v>
      </c>
      <c r="M62" s="39">
        <f t="shared" si="18"/>
        <v>2388.75</v>
      </c>
      <c r="N62" s="39">
        <f t="shared" si="12"/>
        <v>679.58748221906126</v>
      </c>
      <c r="O62" s="39">
        <f t="shared" si="13"/>
        <v>318.70981507823615</v>
      </c>
      <c r="P62" s="39">
        <f t="shared" si="3"/>
        <v>998.2972972972974</v>
      </c>
      <c r="Q62" s="39">
        <f>L62/J62</f>
        <v>0</v>
      </c>
      <c r="R62" s="40">
        <f>$Z$4</f>
        <v>125</v>
      </c>
      <c r="S62" s="40">
        <f>Q62+R62</f>
        <v>125</v>
      </c>
      <c r="T62" s="40">
        <f>M62/K62</f>
        <v>961.26760563380287</v>
      </c>
      <c r="U62" s="40">
        <f>$Z$3</f>
        <v>399</v>
      </c>
      <c r="V62" s="40">
        <f>T62+U62</f>
        <v>1360.2676056338028</v>
      </c>
      <c r="Z62" s="1"/>
    </row>
    <row r="63" spans="1:26" ht="28.75" customHeight="1" x14ac:dyDescent="0.3">
      <c r="A63" s="19">
        <v>43350</v>
      </c>
      <c r="B63" s="24"/>
      <c r="C63" s="24"/>
      <c r="D63" s="5">
        <v>3</v>
      </c>
      <c r="E63" s="5">
        <v>1</v>
      </c>
      <c r="F63" s="5"/>
      <c r="G63" s="5">
        <v>1</v>
      </c>
      <c r="H63" s="5"/>
      <c r="I63" s="5">
        <f t="shared" si="4"/>
        <v>5</v>
      </c>
      <c r="J63" s="6"/>
      <c r="K63" s="6">
        <v>0.56999999999999995</v>
      </c>
      <c r="L63" s="34"/>
      <c r="M63" s="34">
        <v>341.25</v>
      </c>
      <c r="N63" s="35">
        <f t="shared" si="12"/>
        <v>598.68421052631584</v>
      </c>
      <c r="O63" s="35">
        <f t="shared" si="13"/>
        <v>399</v>
      </c>
      <c r="P63" s="35">
        <f t="shared" si="3"/>
        <v>997.68421052631584</v>
      </c>
      <c r="Q63" s="36"/>
      <c r="R63" s="37"/>
      <c r="S63" s="37"/>
      <c r="T63" s="38"/>
      <c r="U63" s="38"/>
      <c r="V63" s="38"/>
      <c r="Z63" s="17"/>
    </row>
    <row r="64" spans="1:26" ht="28.75" customHeight="1" x14ac:dyDescent="0.25">
      <c r="A64" s="19">
        <v>43357</v>
      </c>
      <c r="B64" s="24"/>
      <c r="C64" s="24"/>
      <c r="D64" s="5">
        <v>4</v>
      </c>
      <c r="E64" s="5">
        <v>3</v>
      </c>
      <c r="F64" s="5"/>
      <c r="G64" s="5">
        <v>1</v>
      </c>
      <c r="H64" s="5">
        <v>3</v>
      </c>
      <c r="I64" s="5">
        <f t="shared" si="4"/>
        <v>11</v>
      </c>
      <c r="J64" s="6"/>
      <c r="K64" s="6">
        <v>0.89</v>
      </c>
      <c r="L64" s="34"/>
      <c r="M64" s="34">
        <v>750.75</v>
      </c>
      <c r="N64" s="35">
        <f t="shared" si="12"/>
        <v>843.5393258426966</v>
      </c>
      <c r="O64" s="35">
        <f t="shared" si="13"/>
        <v>399</v>
      </c>
      <c r="P64" s="35">
        <f t="shared" si="3"/>
        <v>1242.5393258426966</v>
      </c>
      <c r="Q64" s="36"/>
      <c r="R64" s="37"/>
      <c r="S64" s="37"/>
      <c r="T64" s="38"/>
      <c r="U64" s="38"/>
      <c r="V64" s="38"/>
    </row>
    <row r="65" spans="1:26" ht="28.75" customHeight="1" x14ac:dyDescent="0.25">
      <c r="A65" s="19">
        <v>43355</v>
      </c>
      <c r="B65" s="24">
        <v>1</v>
      </c>
      <c r="C65" s="24"/>
      <c r="D65" s="5"/>
      <c r="E65" s="5"/>
      <c r="F65" s="5"/>
      <c r="G65" s="5"/>
      <c r="H65" s="5"/>
      <c r="I65" s="5"/>
      <c r="J65" s="6">
        <v>1.38</v>
      </c>
      <c r="K65" s="6"/>
      <c r="L65" s="34">
        <v>525</v>
      </c>
      <c r="M65" s="34"/>
      <c r="N65" s="35"/>
      <c r="O65" s="35"/>
      <c r="P65" s="35"/>
      <c r="Q65" s="36"/>
      <c r="R65" s="37"/>
      <c r="S65" s="37"/>
      <c r="T65" s="38"/>
      <c r="U65" s="38"/>
      <c r="V65" s="38"/>
    </row>
    <row r="66" spans="1:26" ht="28.75" customHeight="1" x14ac:dyDescent="0.25">
      <c r="A66" s="19">
        <v>43364</v>
      </c>
      <c r="B66" s="24"/>
      <c r="C66" s="24"/>
      <c r="D66" s="5">
        <v>1</v>
      </c>
      <c r="E66" s="5">
        <v>1</v>
      </c>
      <c r="F66" s="5"/>
      <c r="G66" s="5">
        <v>1</v>
      </c>
      <c r="H66" s="5"/>
      <c r="I66" s="5">
        <f t="shared" si="4"/>
        <v>3</v>
      </c>
      <c r="J66" s="6"/>
      <c r="K66" s="6">
        <v>0.23</v>
      </c>
      <c r="L66" s="34"/>
      <c r="M66" s="34">
        <v>204.75</v>
      </c>
      <c r="N66" s="35">
        <f t="shared" si="12"/>
        <v>890.21739130434776</v>
      </c>
      <c r="O66" s="35">
        <f t="shared" si="13"/>
        <v>399</v>
      </c>
      <c r="P66" s="35">
        <f t="shared" si="3"/>
        <v>1289.2173913043478</v>
      </c>
      <c r="Q66" s="36"/>
      <c r="R66" s="37"/>
      <c r="S66" s="37"/>
      <c r="T66" s="38"/>
      <c r="U66" s="38"/>
      <c r="V66" s="38"/>
    </row>
    <row r="67" spans="1:26" ht="28.75" customHeight="1" x14ac:dyDescent="0.25">
      <c r="A67" s="19">
        <v>43371</v>
      </c>
      <c r="B67" s="24"/>
      <c r="C67" s="24"/>
      <c r="D67" s="5">
        <v>1</v>
      </c>
      <c r="E67" s="5">
        <v>1</v>
      </c>
      <c r="F67" s="5"/>
      <c r="G67" s="5"/>
      <c r="H67" s="5">
        <v>1</v>
      </c>
      <c r="I67" s="5">
        <f t="shared" si="4"/>
        <v>3</v>
      </c>
      <c r="J67" s="6"/>
      <c r="K67" s="6">
        <v>0.23</v>
      </c>
      <c r="L67" s="34"/>
      <c r="M67" s="34">
        <v>204.75</v>
      </c>
      <c r="N67" s="35">
        <f t="shared" si="12"/>
        <v>890.21739130434776</v>
      </c>
      <c r="O67" s="35">
        <f t="shared" si="13"/>
        <v>399</v>
      </c>
      <c r="P67" s="35">
        <f t="shared" si="3"/>
        <v>1289.2173913043478</v>
      </c>
      <c r="Q67" s="36"/>
      <c r="R67" s="37"/>
      <c r="S67" s="37"/>
      <c r="T67" s="38"/>
      <c r="U67" s="38"/>
      <c r="V67" s="38"/>
    </row>
    <row r="68" spans="1:26" s="17" customFormat="1" ht="28.75" customHeight="1" x14ac:dyDescent="0.3">
      <c r="A68" s="68" t="s">
        <v>66</v>
      </c>
      <c r="B68" s="28">
        <f t="shared" ref="B68:M68" si="19">SUBTOTAL(109,B63:B67)</f>
        <v>1</v>
      </c>
      <c r="C68" s="28">
        <f t="shared" si="19"/>
        <v>0</v>
      </c>
      <c r="D68" s="28">
        <f t="shared" si="19"/>
        <v>9</v>
      </c>
      <c r="E68" s="28">
        <f t="shared" si="19"/>
        <v>6</v>
      </c>
      <c r="F68" s="28">
        <f t="shared" si="19"/>
        <v>0</v>
      </c>
      <c r="G68" s="28">
        <f t="shared" si="19"/>
        <v>3</v>
      </c>
      <c r="H68" s="28">
        <f t="shared" si="19"/>
        <v>4</v>
      </c>
      <c r="I68" s="28">
        <f t="shared" si="19"/>
        <v>22</v>
      </c>
      <c r="J68" s="28">
        <f t="shared" si="19"/>
        <v>1.38</v>
      </c>
      <c r="K68" s="28">
        <f t="shared" si="19"/>
        <v>1.92</v>
      </c>
      <c r="L68" s="39">
        <f t="shared" si="19"/>
        <v>525</v>
      </c>
      <c r="M68" s="39">
        <f t="shared" si="19"/>
        <v>1501.5</v>
      </c>
      <c r="N68" s="39">
        <f t="shared" si="12"/>
        <v>455</v>
      </c>
      <c r="O68" s="39">
        <f t="shared" si="13"/>
        <v>284.41818181818184</v>
      </c>
      <c r="P68" s="39">
        <f t="shared" si="3"/>
        <v>739.41818181818189</v>
      </c>
      <c r="Q68" s="39">
        <f>L68/J68</f>
        <v>380.43478260869568</v>
      </c>
      <c r="R68" s="40">
        <f>$Z$4</f>
        <v>125</v>
      </c>
      <c r="S68" s="40">
        <f>Q68+R68</f>
        <v>505.43478260869568</v>
      </c>
      <c r="T68" s="40">
        <f>M68/K68</f>
        <v>782.03125</v>
      </c>
      <c r="U68" s="40">
        <f>$Z$3</f>
        <v>399</v>
      </c>
      <c r="V68" s="40">
        <f>T68+U68</f>
        <v>1181.03125</v>
      </c>
      <c r="Z68" s="1"/>
    </row>
    <row r="69" spans="1:26" ht="28.75" customHeight="1" x14ac:dyDescent="0.3">
      <c r="A69" s="19">
        <v>43378</v>
      </c>
      <c r="B69" s="24"/>
      <c r="C69" s="24"/>
      <c r="D69" s="5">
        <v>1</v>
      </c>
      <c r="E69" s="5">
        <v>1</v>
      </c>
      <c r="F69" s="5"/>
      <c r="G69" s="5"/>
      <c r="H69" s="5"/>
      <c r="I69" s="5">
        <v>2</v>
      </c>
      <c r="J69" s="6"/>
      <c r="K69" s="6">
        <v>0.22</v>
      </c>
      <c r="L69" s="34"/>
      <c r="M69" s="34"/>
      <c r="N69" s="35">
        <f t="shared" si="12"/>
        <v>0</v>
      </c>
      <c r="O69" s="35">
        <f t="shared" si="13"/>
        <v>399</v>
      </c>
      <c r="P69" s="35">
        <f t="shared" si="3"/>
        <v>399</v>
      </c>
      <c r="Q69" s="36"/>
      <c r="R69" s="37"/>
      <c r="S69" s="37"/>
      <c r="T69" s="38"/>
      <c r="U69" s="38"/>
      <c r="V69" s="38"/>
      <c r="Z69" s="17"/>
    </row>
    <row r="70" spans="1:26" ht="28.75" customHeight="1" x14ac:dyDescent="0.25">
      <c r="A70" s="19">
        <v>43385</v>
      </c>
      <c r="B70" s="24">
        <v>1</v>
      </c>
      <c r="C70" s="24"/>
      <c r="D70" s="5"/>
      <c r="E70" s="5"/>
      <c r="F70" s="5"/>
      <c r="G70" s="5"/>
      <c r="H70" s="5"/>
      <c r="I70" s="5">
        <f t="shared" si="4"/>
        <v>0</v>
      </c>
      <c r="J70" s="6">
        <v>1.1299999999999999</v>
      </c>
      <c r="K70" s="6"/>
      <c r="L70" s="34">
        <v>525</v>
      </c>
      <c r="M70" s="34"/>
      <c r="N70" s="35">
        <f t="shared" ref="N70:N85" si="20">SUM(M70:M70)/SUM(J70:K70)</f>
        <v>0</v>
      </c>
      <c r="O70" s="35">
        <f t="shared" si="13"/>
        <v>125.00000000000001</v>
      </c>
      <c r="P70" s="35">
        <f t="shared" si="3"/>
        <v>125.00000000000001</v>
      </c>
      <c r="Q70" s="36"/>
      <c r="R70" s="37"/>
      <c r="S70" s="37"/>
      <c r="T70" s="38"/>
      <c r="U70" s="38"/>
      <c r="V70" s="38"/>
    </row>
    <row r="71" spans="1:26" ht="28.75" customHeight="1" x14ac:dyDescent="0.25">
      <c r="A71" s="19">
        <v>43392</v>
      </c>
      <c r="B71" s="24"/>
      <c r="C71" s="24"/>
      <c r="D71" s="5"/>
      <c r="E71" s="5"/>
      <c r="F71" s="5"/>
      <c r="G71" s="5"/>
      <c r="H71" s="5"/>
      <c r="I71" s="5">
        <f t="shared" si="4"/>
        <v>0</v>
      </c>
      <c r="J71" s="6"/>
      <c r="K71" s="6">
        <v>0.51</v>
      </c>
      <c r="L71" s="34"/>
      <c r="M71" s="34">
        <v>546</v>
      </c>
      <c r="N71" s="35">
        <f t="shared" si="20"/>
        <v>1070.5882352941176</v>
      </c>
      <c r="O71" s="35">
        <f t="shared" si="13"/>
        <v>399</v>
      </c>
      <c r="P71" s="35">
        <f t="shared" ref="P71:P85" si="21">N71+O71</f>
        <v>1469.5882352941176</v>
      </c>
      <c r="Q71" s="36"/>
      <c r="R71" s="37"/>
      <c r="S71" s="37"/>
      <c r="T71" s="38"/>
      <c r="U71" s="38"/>
      <c r="V71" s="38"/>
    </row>
    <row r="72" spans="1:26" ht="28.75" customHeight="1" x14ac:dyDescent="0.25">
      <c r="A72" s="19">
        <v>43399</v>
      </c>
      <c r="B72" s="24"/>
      <c r="C72" s="24"/>
      <c r="D72" s="5">
        <v>1</v>
      </c>
      <c r="E72" s="5">
        <v>2</v>
      </c>
      <c r="F72" s="5"/>
      <c r="G72" s="5">
        <v>1</v>
      </c>
      <c r="H72" s="5">
        <v>1</v>
      </c>
      <c r="I72" s="5">
        <f t="shared" si="4"/>
        <v>5</v>
      </c>
      <c r="J72" s="6"/>
      <c r="K72" s="6">
        <v>0.52</v>
      </c>
      <c r="L72" s="34"/>
      <c r="M72" s="34">
        <v>341.25</v>
      </c>
      <c r="N72" s="35">
        <f t="shared" si="20"/>
        <v>656.25</v>
      </c>
      <c r="O72" s="35">
        <f t="shared" si="13"/>
        <v>399</v>
      </c>
      <c r="P72" s="35">
        <f t="shared" si="21"/>
        <v>1055.25</v>
      </c>
      <c r="Q72" s="36"/>
      <c r="R72" s="37"/>
      <c r="S72" s="37"/>
      <c r="T72" s="38"/>
      <c r="U72" s="38"/>
      <c r="V72" s="38"/>
    </row>
    <row r="73" spans="1:26" s="17" customFormat="1" ht="28.75" customHeight="1" x14ac:dyDescent="0.3">
      <c r="A73" s="27" t="s">
        <v>51</v>
      </c>
      <c r="B73" s="28">
        <f t="shared" ref="B73:M73" si="22">SUBTOTAL(109,B69:B72)</f>
        <v>1</v>
      </c>
      <c r="C73" s="28">
        <f t="shared" si="22"/>
        <v>0</v>
      </c>
      <c r="D73" s="28">
        <f t="shared" si="22"/>
        <v>2</v>
      </c>
      <c r="E73" s="28">
        <f t="shared" si="22"/>
        <v>3</v>
      </c>
      <c r="F73" s="28">
        <f t="shared" si="22"/>
        <v>0</v>
      </c>
      <c r="G73" s="28">
        <f t="shared" si="22"/>
        <v>1</v>
      </c>
      <c r="H73" s="28">
        <f t="shared" si="22"/>
        <v>1</v>
      </c>
      <c r="I73" s="28">
        <f t="shared" si="22"/>
        <v>7</v>
      </c>
      <c r="J73" s="28">
        <f t="shared" si="22"/>
        <v>1.1299999999999999</v>
      </c>
      <c r="K73" s="28">
        <f t="shared" si="22"/>
        <v>1.25</v>
      </c>
      <c r="L73" s="39">
        <f t="shared" si="22"/>
        <v>525</v>
      </c>
      <c r="M73" s="39">
        <f t="shared" si="22"/>
        <v>887.25</v>
      </c>
      <c r="N73" s="39">
        <f t="shared" si="20"/>
        <v>372.79411764705884</v>
      </c>
      <c r="O73" s="39">
        <f t="shared" si="13"/>
        <v>268.9075630252101</v>
      </c>
      <c r="P73" s="39">
        <f t="shared" si="21"/>
        <v>641.70168067226894</v>
      </c>
      <c r="Q73" s="39">
        <f>L73/J73</f>
        <v>464.60176991150445</v>
      </c>
      <c r="R73" s="40">
        <f>$Z$4</f>
        <v>125</v>
      </c>
      <c r="S73" s="40">
        <f>Q73+R73</f>
        <v>589.60176991150445</v>
      </c>
      <c r="T73" s="40">
        <f>M73/K73</f>
        <v>709.8</v>
      </c>
      <c r="U73" s="40">
        <f>$Z$3</f>
        <v>399</v>
      </c>
      <c r="V73" s="40">
        <f>T73+U73</f>
        <v>1108.8</v>
      </c>
      <c r="Z73" s="1"/>
    </row>
    <row r="74" spans="1:26" ht="28.75" customHeight="1" x14ac:dyDescent="0.3">
      <c r="A74" s="19">
        <v>43406</v>
      </c>
      <c r="B74" s="24"/>
      <c r="C74" s="24"/>
      <c r="D74" s="5">
        <v>2</v>
      </c>
      <c r="E74" s="5">
        <v>1</v>
      </c>
      <c r="F74" s="5"/>
      <c r="G74" s="5">
        <v>1</v>
      </c>
      <c r="H74" s="5">
        <v>1</v>
      </c>
      <c r="I74" s="5">
        <f t="shared" si="4"/>
        <v>5</v>
      </c>
      <c r="J74" s="6"/>
      <c r="K74" s="6">
        <v>0.38</v>
      </c>
      <c r="L74" s="34"/>
      <c r="M74" s="34">
        <v>348.08</v>
      </c>
      <c r="N74" s="35">
        <f t="shared" si="20"/>
        <v>916</v>
      </c>
      <c r="O74" s="35">
        <f t="shared" si="13"/>
        <v>399</v>
      </c>
      <c r="P74" s="35">
        <f t="shared" si="21"/>
        <v>1315</v>
      </c>
      <c r="Q74" s="36"/>
      <c r="R74" s="37"/>
      <c r="S74" s="37"/>
      <c r="T74" s="38"/>
      <c r="U74" s="38"/>
      <c r="V74" s="38"/>
      <c r="Z74" s="17"/>
    </row>
    <row r="75" spans="1:26" ht="28.75" customHeight="1" x14ac:dyDescent="0.25">
      <c r="A75" s="19">
        <v>43413</v>
      </c>
      <c r="B75" s="24"/>
      <c r="C75" s="24"/>
      <c r="D75" s="5"/>
      <c r="E75" s="5"/>
      <c r="F75" s="5"/>
      <c r="G75" s="5"/>
      <c r="H75" s="5"/>
      <c r="I75" s="5">
        <v>11</v>
      </c>
      <c r="J75" s="6">
        <v>1.01</v>
      </c>
      <c r="K75" s="6">
        <v>0.83</v>
      </c>
      <c r="L75" s="34">
        <v>525</v>
      </c>
      <c r="M75" s="34">
        <v>765.77</v>
      </c>
      <c r="N75" s="35">
        <f t="shared" si="20"/>
        <v>416.179347826087</v>
      </c>
      <c r="O75" s="35">
        <f t="shared" si="13"/>
        <v>248.59782608695653</v>
      </c>
      <c r="P75" s="35">
        <f t="shared" si="21"/>
        <v>664.7771739130435</v>
      </c>
      <c r="Q75" s="36"/>
      <c r="R75" s="37"/>
      <c r="S75" s="37"/>
      <c r="T75" s="38"/>
      <c r="U75" s="38"/>
      <c r="V75" s="38"/>
    </row>
    <row r="76" spans="1:26" ht="28.75" customHeight="1" x14ac:dyDescent="0.25">
      <c r="A76" s="19">
        <v>43420</v>
      </c>
      <c r="B76" s="24"/>
      <c r="C76" s="24"/>
      <c r="D76" s="5">
        <v>2</v>
      </c>
      <c r="E76" s="5">
        <v>2</v>
      </c>
      <c r="F76" s="5">
        <v>1</v>
      </c>
      <c r="G76" s="5"/>
      <c r="H76" s="5">
        <v>1</v>
      </c>
      <c r="I76" s="5">
        <f t="shared" si="4"/>
        <v>6</v>
      </c>
      <c r="J76" s="6"/>
      <c r="K76" s="6">
        <v>0.46</v>
      </c>
      <c r="L76" s="34"/>
      <c r="M76" s="34">
        <v>417.69</v>
      </c>
      <c r="N76" s="35">
        <f t="shared" si="20"/>
        <v>908.02173913043475</v>
      </c>
      <c r="O76" s="35">
        <f t="shared" si="13"/>
        <v>399</v>
      </c>
      <c r="P76" s="35">
        <f t="shared" si="21"/>
        <v>1307.0217391304348</v>
      </c>
      <c r="Q76" s="36"/>
      <c r="R76" s="37"/>
      <c r="S76" s="37"/>
      <c r="T76" s="38"/>
      <c r="U76" s="38"/>
      <c r="V76" s="38"/>
    </row>
    <row r="77" spans="1:26" ht="28.75" customHeight="1" x14ac:dyDescent="0.25">
      <c r="A77" s="19">
        <v>43427</v>
      </c>
      <c r="B77" s="24"/>
      <c r="C77" s="24"/>
      <c r="D77" s="5">
        <v>2</v>
      </c>
      <c r="E77" s="5">
        <v>1</v>
      </c>
      <c r="F77" s="5"/>
      <c r="G77" s="5">
        <v>1</v>
      </c>
      <c r="H77" s="5">
        <v>1</v>
      </c>
      <c r="I77" s="5">
        <f t="shared" si="4"/>
        <v>5</v>
      </c>
      <c r="J77" s="6"/>
      <c r="K77" s="6">
        <v>0.33</v>
      </c>
      <c r="L77" s="34"/>
      <c r="M77" s="34">
        <v>348.08</v>
      </c>
      <c r="N77" s="35">
        <f t="shared" si="20"/>
        <v>1054.7878787878788</v>
      </c>
      <c r="O77" s="35">
        <f t="shared" si="13"/>
        <v>399.00000000000006</v>
      </c>
      <c r="P77" s="35">
        <f t="shared" si="21"/>
        <v>1453.7878787878788</v>
      </c>
      <c r="Q77" s="36"/>
      <c r="R77" s="37"/>
      <c r="S77" s="37"/>
      <c r="T77" s="38"/>
      <c r="U77" s="38"/>
      <c r="V77" s="38"/>
    </row>
    <row r="78" spans="1:26" ht="28.75" customHeight="1" x14ac:dyDescent="0.25">
      <c r="A78" s="19">
        <v>43434</v>
      </c>
      <c r="B78" s="24"/>
      <c r="C78" s="24"/>
      <c r="D78" s="5">
        <v>1</v>
      </c>
      <c r="E78" s="5">
        <v>1</v>
      </c>
      <c r="F78" s="5"/>
      <c r="G78" s="5">
        <v>1</v>
      </c>
      <c r="H78" s="5"/>
      <c r="I78" s="5">
        <f t="shared" si="4"/>
        <v>3</v>
      </c>
      <c r="J78" s="6"/>
      <c r="K78" s="6"/>
      <c r="L78" s="34"/>
      <c r="M78" s="34">
        <v>208.85</v>
      </c>
      <c r="N78" s="35" t="e">
        <f t="shared" si="20"/>
        <v>#DIV/0!</v>
      </c>
      <c r="O78" s="35" t="e">
        <f t="shared" si="13"/>
        <v>#DIV/0!</v>
      </c>
      <c r="P78" s="35" t="e">
        <f t="shared" si="21"/>
        <v>#DIV/0!</v>
      </c>
      <c r="Q78" s="36"/>
      <c r="R78" s="37"/>
      <c r="S78" s="37"/>
      <c r="T78" s="38"/>
      <c r="U78" s="38"/>
      <c r="V78" s="38"/>
    </row>
    <row r="79" spans="1:26" s="17" customFormat="1" ht="28.75" customHeight="1" x14ac:dyDescent="0.3">
      <c r="A79" s="27" t="s">
        <v>11</v>
      </c>
      <c r="B79" s="28">
        <f t="shared" ref="B79:M79" si="23">SUBTOTAL(109,B74:B78)</f>
        <v>0</v>
      </c>
      <c r="C79" s="28">
        <f t="shared" si="23"/>
        <v>0</v>
      </c>
      <c r="D79" s="28">
        <f t="shared" si="23"/>
        <v>7</v>
      </c>
      <c r="E79" s="28">
        <f t="shared" si="23"/>
        <v>5</v>
      </c>
      <c r="F79" s="28">
        <f t="shared" si="23"/>
        <v>1</v>
      </c>
      <c r="G79" s="28">
        <f t="shared" si="23"/>
        <v>3</v>
      </c>
      <c r="H79" s="28">
        <f t="shared" si="23"/>
        <v>3</v>
      </c>
      <c r="I79" s="28">
        <f t="shared" si="23"/>
        <v>30</v>
      </c>
      <c r="J79" s="28">
        <f t="shared" si="23"/>
        <v>1.01</v>
      </c>
      <c r="K79" s="28">
        <f t="shared" si="23"/>
        <v>2</v>
      </c>
      <c r="L79" s="39">
        <f t="shared" si="23"/>
        <v>525</v>
      </c>
      <c r="M79" s="39">
        <f t="shared" si="23"/>
        <v>2088.4699999999998</v>
      </c>
      <c r="N79" s="39">
        <f t="shared" si="20"/>
        <v>693.84385382059804</v>
      </c>
      <c r="O79" s="39">
        <f t="shared" si="13"/>
        <v>307.05980066445187</v>
      </c>
      <c r="P79" s="39">
        <f t="shared" si="21"/>
        <v>1000.9036544850499</v>
      </c>
      <c r="Q79" s="39">
        <f>L79/J79</f>
        <v>519.80198019801981</v>
      </c>
      <c r="R79" s="40">
        <f>$Z$4</f>
        <v>125</v>
      </c>
      <c r="S79" s="40">
        <f>Q79+R79</f>
        <v>644.80198019801981</v>
      </c>
      <c r="T79" s="40">
        <f>M79/K79</f>
        <v>1044.2349999999999</v>
      </c>
      <c r="U79" s="40">
        <f>$Z$3</f>
        <v>399</v>
      </c>
      <c r="V79" s="40">
        <f>T79+U79</f>
        <v>1443.2349999999999</v>
      </c>
      <c r="Z79" s="1"/>
    </row>
    <row r="80" spans="1:26" ht="28.75" customHeight="1" x14ac:dyDescent="0.3">
      <c r="A80" s="19">
        <v>43441</v>
      </c>
      <c r="B80" s="24"/>
      <c r="C80" s="24"/>
      <c r="D80" s="5">
        <v>2</v>
      </c>
      <c r="E80" s="5">
        <v>3</v>
      </c>
      <c r="F80" s="5"/>
      <c r="G80" s="5">
        <v>1</v>
      </c>
      <c r="H80" s="5">
        <v>2</v>
      </c>
      <c r="I80" s="5">
        <f>SUM(C80:H80)</f>
        <v>8</v>
      </c>
      <c r="J80" s="6"/>
      <c r="K80" s="6">
        <v>0.3</v>
      </c>
      <c r="L80" s="34"/>
      <c r="M80" s="34">
        <v>556.91999999999996</v>
      </c>
      <c r="N80" s="35">
        <f t="shared" si="20"/>
        <v>1856.3999999999999</v>
      </c>
      <c r="O80" s="35">
        <f t="shared" si="13"/>
        <v>399</v>
      </c>
      <c r="P80" s="35">
        <f t="shared" si="21"/>
        <v>2255.3999999999996</v>
      </c>
      <c r="Q80" s="36"/>
      <c r="R80" s="37"/>
      <c r="S80" s="37"/>
      <c r="T80" s="38"/>
      <c r="U80" s="38"/>
      <c r="V80" s="38"/>
      <c r="Z80" s="17"/>
    </row>
    <row r="81" spans="1:26" ht="28.75" customHeight="1" x14ac:dyDescent="0.25">
      <c r="A81" s="19">
        <v>43448</v>
      </c>
      <c r="B81" s="24"/>
      <c r="C81" s="24"/>
      <c r="D81" s="5"/>
      <c r="E81" s="5"/>
      <c r="F81" s="5"/>
      <c r="G81" s="5"/>
      <c r="H81" s="5"/>
      <c r="I81" s="5">
        <f t="shared" si="4"/>
        <v>0</v>
      </c>
      <c r="J81" s="6"/>
      <c r="K81" s="6">
        <v>0.24</v>
      </c>
      <c r="L81" s="34"/>
      <c r="M81" s="34">
        <v>278</v>
      </c>
      <c r="N81" s="35">
        <f t="shared" si="20"/>
        <v>1158.3333333333335</v>
      </c>
      <c r="O81" s="35">
        <f t="shared" si="13"/>
        <v>399</v>
      </c>
      <c r="P81" s="35">
        <f t="shared" si="21"/>
        <v>1557.3333333333335</v>
      </c>
      <c r="Q81" s="36"/>
      <c r="R81" s="37"/>
      <c r="S81" s="37"/>
      <c r="T81" s="38"/>
      <c r="U81" s="38"/>
      <c r="V81" s="38"/>
    </row>
    <row r="82" spans="1:26" ht="28.75" customHeight="1" x14ac:dyDescent="0.25">
      <c r="A82" s="19">
        <v>43455</v>
      </c>
      <c r="B82" s="24"/>
      <c r="C82" s="24"/>
      <c r="D82" s="5"/>
      <c r="E82" s="5"/>
      <c r="F82" s="5"/>
      <c r="G82" s="5"/>
      <c r="H82" s="5"/>
      <c r="I82" s="5">
        <f t="shared" si="4"/>
        <v>0</v>
      </c>
      <c r="J82" s="6">
        <v>1.24</v>
      </c>
      <c r="K82" s="6">
        <v>0.24</v>
      </c>
      <c r="L82" s="34">
        <v>525</v>
      </c>
      <c r="M82" s="34"/>
      <c r="N82" s="35">
        <f t="shared" si="20"/>
        <v>0</v>
      </c>
      <c r="O82" s="35">
        <f t="shared" si="13"/>
        <v>169.43243243243242</v>
      </c>
      <c r="P82" s="35">
        <f t="shared" si="21"/>
        <v>169.43243243243242</v>
      </c>
      <c r="Q82" s="36"/>
      <c r="R82" s="37"/>
      <c r="S82" s="37"/>
      <c r="T82" s="38"/>
      <c r="U82" s="38"/>
      <c r="V82" s="38"/>
    </row>
    <row r="83" spans="1:26" ht="28.75" customHeight="1" x14ac:dyDescent="0.25">
      <c r="A83" s="19">
        <v>43462</v>
      </c>
      <c r="B83" s="24"/>
      <c r="C83" s="24"/>
      <c r="D83" s="5"/>
      <c r="E83" s="5"/>
      <c r="F83" s="5"/>
      <c r="G83" s="5"/>
      <c r="H83" s="5"/>
      <c r="I83" s="5">
        <f t="shared" si="4"/>
        <v>0</v>
      </c>
      <c r="J83" s="6"/>
      <c r="K83" s="6">
        <v>0.25</v>
      </c>
      <c r="L83" s="34"/>
      <c r="M83" s="34">
        <v>348</v>
      </c>
      <c r="N83" s="35">
        <f t="shared" si="20"/>
        <v>1392</v>
      </c>
      <c r="O83" s="35">
        <f t="shared" si="13"/>
        <v>399</v>
      </c>
      <c r="P83" s="35">
        <f t="shared" si="21"/>
        <v>1791</v>
      </c>
      <c r="Q83" s="36"/>
      <c r="R83" s="37"/>
      <c r="S83" s="37"/>
      <c r="T83" s="38"/>
      <c r="U83" s="38"/>
      <c r="V83" s="38"/>
    </row>
    <row r="84" spans="1:26" s="17" customFormat="1" ht="28.75" customHeight="1" thickBot="1" x14ac:dyDescent="0.35">
      <c r="A84" s="27" t="s">
        <v>12</v>
      </c>
      <c r="B84" s="28">
        <f t="shared" ref="B84:M84" si="24">SUBTOTAL(109,B80:B83)</f>
        <v>0</v>
      </c>
      <c r="C84" s="28">
        <f t="shared" si="24"/>
        <v>0</v>
      </c>
      <c r="D84" s="28">
        <f t="shared" si="24"/>
        <v>2</v>
      </c>
      <c r="E84" s="28">
        <f t="shared" si="24"/>
        <v>3</v>
      </c>
      <c r="F84" s="28">
        <f t="shared" si="24"/>
        <v>0</v>
      </c>
      <c r="G84" s="28">
        <f t="shared" si="24"/>
        <v>1</v>
      </c>
      <c r="H84" s="28">
        <f t="shared" si="24"/>
        <v>2</v>
      </c>
      <c r="I84" s="28">
        <f t="shared" si="24"/>
        <v>8</v>
      </c>
      <c r="J84" s="28">
        <f t="shared" si="24"/>
        <v>1.24</v>
      </c>
      <c r="K84" s="28">
        <f t="shared" si="24"/>
        <v>1.03</v>
      </c>
      <c r="L84" s="39">
        <f t="shared" si="24"/>
        <v>525</v>
      </c>
      <c r="M84" s="39">
        <f t="shared" si="24"/>
        <v>1182.92</v>
      </c>
      <c r="N84" s="39">
        <f t="shared" si="20"/>
        <v>521.11013215859032</v>
      </c>
      <c r="O84" s="39">
        <f t="shared" si="13"/>
        <v>249.32599118942733</v>
      </c>
      <c r="P84" s="39">
        <f t="shared" si="21"/>
        <v>770.43612334801765</v>
      </c>
      <c r="Q84" s="39">
        <f>L84/J84</f>
        <v>423.38709677419354</v>
      </c>
      <c r="R84" s="82">
        <f>$Z$4</f>
        <v>125</v>
      </c>
      <c r="S84" s="82">
        <f>Q84+R84</f>
        <v>548.38709677419354</v>
      </c>
      <c r="T84" s="82">
        <f>M84/K84</f>
        <v>1148.4660194174758</v>
      </c>
      <c r="U84" s="82">
        <f>$Z$3</f>
        <v>399</v>
      </c>
      <c r="V84" s="82">
        <f>T84+U84</f>
        <v>1547.4660194174758</v>
      </c>
      <c r="Z84" s="1"/>
    </row>
    <row r="85" spans="1:26" s="17" customFormat="1" ht="28.75" customHeight="1" thickBot="1" x14ac:dyDescent="0.35">
      <c r="A85" s="92" t="s">
        <v>68</v>
      </c>
      <c r="B85" s="93">
        <f>SUBTOTAL(109,B15:B83)</f>
        <v>9</v>
      </c>
      <c r="C85" s="87">
        <f t="shared" ref="C85:M85" si="25">SUBTOTAL(109,C15:C83)</f>
        <v>0</v>
      </c>
      <c r="D85" s="87">
        <f t="shared" si="25"/>
        <v>78</v>
      </c>
      <c r="E85" s="87">
        <f t="shared" si="25"/>
        <v>70</v>
      </c>
      <c r="F85" s="87">
        <f t="shared" si="25"/>
        <v>4</v>
      </c>
      <c r="G85" s="87">
        <f t="shared" si="25"/>
        <v>34</v>
      </c>
      <c r="H85" s="87">
        <f t="shared" si="25"/>
        <v>41</v>
      </c>
      <c r="I85" s="87">
        <f t="shared" si="25"/>
        <v>244</v>
      </c>
      <c r="J85" s="87">
        <f t="shared" si="25"/>
        <v>13.09</v>
      </c>
      <c r="K85" s="87">
        <f t="shared" si="25"/>
        <v>17.935000000000002</v>
      </c>
      <c r="L85" s="89">
        <f t="shared" si="25"/>
        <v>5617.5</v>
      </c>
      <c r="M85" s="89">
        <f t="shared" si="25"/>
        <v>17077.009999999998</v>
      </c>
      <c r="N85" s="89">
        <f t="shared" si="20"/>
        <v>550.42739726027389</v>
      </c>
      <c r="O85" s="94">
        <f t="shared" si="13"/>
        <v>283.39452054794521</v>
      </c>
      <c r="P85" s="89">
        <f t="shared" si="21"/>
        <v>833.82191780821904</v>
      </c>
      <c r="Q85" s="89">
        <f>L85/J85</f>
        <v>429.14438502673795</v>
      </c>
      <c r="R85" s="89">
        <f>$Z$4</f>
        <v>125</v>
      </c>
      <c r="S85" s="89">
        <f>Q85+R85</f>
        <v>554.14438502673795</v>
      </c>
      <c r="T85" s="90">
        <f>M85/K85</f>
        <v>952.16113744075813</v>
      </c>
      <c r="U85" s="90">
        <f>(SUM(K4,K9,K15,K20,K26)*Z3+SUM(K33,K39,K44,K50,K56,K62,K68,K73,K79,K84)*Z4)/K85</f>
        <v>201.02871480345689</v>
      </c>
      <c r="V85" s="91">
        <f>T85+U85</f>
        <v>1153.189852244215</v>
      </c>
    </row>
    <row r="86" spans="1:26" ht="13" x14ac:dyDescent="0.3">
      <c r="A86" s="1"/>
      <c r="D86" s="1">
        <f>D85/I85</f>
        <v>0.31967213114754101</v>
      </c>
      <c r="E86" s="1">
        <f>E85/I85</f>
        <v>0.28688524590163933</v>
      </c>
      <c r="F86" s="1">
        <f>F85/I85</f>
        <v>1.6393442622950821E-2</v>
      </c>
      <c r="G86" s="1">
        <f>G85/I85</f>
        <v>0.13934426229508196</v>
      </c>
      <c r="H86" s="1">
        <f>H85/I85</f>
        <v>0.16803278688524589</v>
      </c>
      <c r="K86" s="4"/>
      <c r="Z86" s="17"/>
    </row>
    <row r="87" spans="1:26" x14ac:dyDescent="0.25">
      <c r="A87" s="1"/>
      <c r="K87" s="4"/>
    </row>
    <row r="88" spans="1:26" x14ac:dyDescent="0.25">
      <c r="A88" s="1"/>
      <c r="M88" s="3"/>
    </row>
    <row r="89" spans="1:26" s="17" customFormat="1" ht="52" customHeight="1" x14ac:dyDescent="0.3">
      <c r="A89" s="31" t="s">
        <v>23</v>
      </c>
      <c r="B89" s="32" t="s">
        <v>36</v>
      </c>
      <c r="C89" s="32" t="s">
        <v>37</v>
      </c>
      <c r="D89" s="32" t="s">
        <v>39</v>
      </c>
      <c r="E89" s="32" t="s">
        <v>40</v>
      </c>
      <c r="F89" s="17" t="s">
        <v>41</v>
      </c>
      <c r="G89" s="32" t="s">
        <v>45</v>
      </c>
      <c r="H89" s="32" t="s">
        <v>43</v>
      </c>
      <c r="I89" s="32" t="s">
        <v>44</v>
      </c>
      <c r="J89" s="48" t="s">
        <v>46</v>
      </c>
      <c r="K89" s="48"/>
      <c r="M89" s="25"/>
      <c r="Z89" s="1"/>
    </row>
    <row r="90" spans="1:26" ht="13" x14ac:dyDescent="0.3">
      <c r="A90" s="21" t="s">
        <v>24</v>
      </c>
      <c r="B90" s="1">
        <f>J3</f>
        <v>0.79</v>
      </c>
      <c r="C90" s="1">
        <f>K3</f>
        <v>0.09</v>
      </c>
      <c r="D90" s="30">
        <f t="shared" ref="D90:D104" si="26">B90*$Z$4+C90*$Z$2</f>
        <v>125.66</v>
      </c>
      <c r="E90" s="22">
        <f>SUM(L3:M3)</f>
        <v>887.25</v>
      </c>
      <c r="F90" s="30">
        <f>SUM(D90:E90)</f>
        <v>1012.91</v>
      </c>
      <c r="G90" s="30">
        <f>S3</f>
        <v>1001</v>
      </c>
      <c r="H90" s="30">
        <f>V3</f>
        <v>2732.3333333333335</v>
      </c>
      <c r="I90" s="22">
        <f t="shared" ref="I90:I104" si="27">F90/SUM(B90:C90)</f>
        <v>1151.0340909090908</v>
      </c>
      <c r="J90" s="30">
        <f>AVERAGE(I90)</f>
        <v>1151.0340909090908</v>
      </c>
      <c r="K90" s="30"/>
      <c r="Z90" s="17"/>
    </row>
    <row r="91" spans="1:26" x14ac:dyDescent="0.25">
      <c r="A91" s="21" t="s">
        <v>25</v>
      </c>
      <c r="B91" s="1">
        <f>J8</f>
        <v>0.86</v>
      </c>
      <c r="C91" s="1">
        <f>K8</f>
        <v>0.51500000000000001</v>
      </c>
      <c r="D91" s="30">
        <f t="shared" si="26"/>
        <v>261.48500000000001</v>
      </c>
      <c r="E91" s="22">
        <f>SUM(L8:M8)</f>
        <v>1901.5</v>
      </c>
      <c r="F91" s="30">
        <f t="shared" ref="F91:F104" si="28">SUM(D91:E91)</f>
        <v>2162.9850000000001</v>
      </c>
      <c r="G91" s="30">
        <f>S8</f>
        <v>855</v>
      </c>
      <c r="H91" s="30">
        <f>V8</f>
        <v>2141.7184466019417</v>
      </c>
      <c r="I91" s="22">
        <f t="shared" si="27"/>
        <v>1573.0800000000002</v>
      </c>
      <c r="J91" s="30">
        <f>AVERAGE(I90:I91)</f>
        <v>1362.0570454545455</v>
      </c>
      <c r="K91" s="30"/>
    </row>
    <row r="92" spans="1:26" x14ac:dyDescent="0.25">
      <c r="A92" s="21" t="s">
        <v>26</v>
      </c>
      <c r="B92" s="1">
        <f>J14</f>
        <v>0.97</v>
      </c>
      <c r="C92" s="1">
        <f>K14</f>
        <v>1.3099999999999998</v>
      </c>
      <c r="D92" s="30">
        <f t="shared" si="26"/>
        <v>512.93999999999994</v>
      </c>
      <c r="E92" s="22">
        <f>SUM(L14:M14)</f>
        <v>2345.88</v>
      </c>
      <c r="F92" s="30">
        <f t="shared" si="28"/>
        <v>2858.82</v>
      </c>
      <c r="G92" s="30">
        <f>S14</f>
        <v>563.40206185567013</v>
      </c>
      <c r="H92" s="30">
        <f>V14</f>
        <v>1765.129770992367</v>
      </c>
      <c r="I92" s="22">
        <f t="shared" si="27"/>
        <v>1253.8684210526317</v>
      </c>
      <c r="J92" s="30">
        <f>AVERAGE(I90:I92)</f>
        <v>1325.9941706539075</v>
      </c>
      <c r="K92" s="30"/>
    </row>
    <row r="93" spans="1:26" x14ac:dyDescent="0.25">
      <c r="A93" s="21" t="s">
        <v>27</v>
      </c>
      <c r="B93" s="1">
        <f>J20</f>
        <v>0.6</v>
      </c>
      <c r="C93" s="1">
        <f>K20</f>
        <v>0.84999999999999987</v>
      </c>
      <c r="D93" s="30">
        <f t="shared" si="26"/>
        <v>329.15</v>
      </c>
      <c r="E93" s="22">
        <f>SUM(L20:M20)</f>
        <v>1247.75</v>
      </c>
      <c r="F93" s="30">
        <f t="shared" si="28"/>
        <v>1576.9</v>
      </c>
      <c r="G93" s="30">
        <f>S20</f>
        <v>125</v>
      </c>
      <c r="H93" s="30">
        <f>V20</f>
        <v>1766.9411764705885</v>
      </c>
      <c r="I93" s="22">
        <f t="shared" si="27"/>
        <v>1087.5172413793107</v>
      </c>
      <c r="J93" s="30">
        <f>AVERAGE(I90:I93)</f>
        <v>1266.3749383352583</v>
      </c>
      <c r="K93" s="30"/>
    </row>
    <row r="94" spans="1:26" x14ac:dyDescent="0.25">
      <c r="A94" s="21" t="s">
        <v>28</v>
      </c>
      <c r="B94" s="1">
        <f>J26</f>
        <v>0</v>
      </c>
      <c r="C94" s="1">
        <f>K26</f>
        <v>0.77</v>
      </c>
      <c r="D94" s="30">
        <f t="shared" si="26"/>
        <v>230.23000000000002</v>
      </c>
      <c r="E94" s="22">
        <f>SUM(L26:M26)</f>
        <v>2031.75</v>
      </c>
      <c r="F94" s="30">
        <f t="shared" si="28"/>
        <v>2261.98</v>
      </c>
      <c r="G94" s="30" t="e">
        <f>S26</f>
        <v>#DIV/0!</v>
      </c>
      <c r="H94" s="30">
        <f>V26</f>
        <v>1096.7272727272727</v>
      </c>
      <c r="I94" s="22">
        <f t="shared" si="27"/>
        <v>2937.6363636363635</v>
      </c>
      <c r="J94" s="30">
        <f>AVERAGE(I90:I94)</f>
        <v>1600.6272233954794</v>
      </c>
      <c r="K94" s="30"/>
    </row>
    <row r="95" spans="1:26" x14ac:dyDescent="0.25">
      <c r="A95" s="21" t="s">
        <v>29</v>
      </c>
      <c r="B95" s="1">
        <f>J33</f>
        <v>0.68</v>
      </c>
      <c r="C95" s="1">
        <f>K33</f>
        <v>1.2999999999999998</v>
      </c>
      <c r="D95" s="30">
        <f t="shared" si="26"/>
        <v>473.69999999999993</v>
      </c>
      <c r="E95" s="22">
        <f>SUM(L33:M33)</f>
        <v>1092</v>
      </c>
      <c r="F95" s="30">
        <f t="shared" si="28"/>
        <v>1565.6999999999998</v>
      </c>
      <c r="G95" s="30">
        <f>S33</f>
        <v>125</v>
      </c>
      <c r="H95" s="30">
        <f>V33</f>
        <v>1239</v>
      </c>
      <c r="I95" s="22">
        <f t="shared" si="27"/>
        <v>790.75757575757564</v>
      </c>
      <c r="J95" s="30">
        <f>AVERAGE(I90:I95)</f>
        <v>1465.6489487891622</v>
      </c>
      <c r="K95" s="30"/>
    </row>
    <row r="96" spans="1:26" x14ac:dyDescent="0.25">
      <c r="A96" s="21" t="s">
        <v>30</v>
      </c>
      <c r="B96" s="1">
        <f>J39</f>
        <v>1.73</v>
      </c>
      <c r="C96" s="1">
        <f>K39</f>
        <v>1.06</v>
      </c>
      <c r="D96" s="30">
        <f t="shared" si="26"/>
        <v>533.19000000000005</v>
      </c>
      <c r="E96" s="22">
        <f>SUM(L44:M44)</f>
        <v>1480.5</v>
      </c>
      <c r="F96" s="30">
        <f t="shared" si="28"/>
        <v>2013.69</v>
      </c>
      <c r="G96" s="30">
        <f>S39</f>
        <v>428.46820809248555</v>
      </c>
      <c r="H96" s="30">
        <f>V39</f>
        <v>1557.9622641509434</v>
      </c>
      <c r="I96" s="22">
        <f t="shared" si="27"/>
        <v>721.75268817204301</v>
      </c>
      <c r="J96" s="30">
        <f>AVERAGE(I90:I96)</f>
        <v>1359.378054415288</v>
      </c>
      <c r="K96" s="30"/>
    </row>
    <row r="97" spans="1:11" x14ac:dyDescent="0.25">
      <c r="A97" s="21" t="s">
        <v>31</v>
      </c>
      <c r="B97" s="1">
        <f>J44</f>
        <v>1.83</v>
      </c>
      <c r="C97" s="1">
        <f>K44</f>
        <v>1.6600000000000001</v>
      </c>
      <c r="D97" s="30">
        <f t="shared" si="26"/>
        <v>725.09</v>
      </c>
      <c r="E97" s="22">
        <f>SUM(L50:M50)</f>
        <v>2504.12</v>
      </c>
      <c r="F97" s="30">
        <f t="shared" si="28"/>
        <v>3229.21</v>
      </c>
      <c r="G97" s="30">
        <f>S44</f>
        <v>411.88524590163934</v>
      </c>
      <c r="H97" s="30">
        <f>V44</f>
        <v>974.60240963855415</v>
      </c>
      <c r="I97" s="22">
        <f t="shared" si="27"/>
        <v>925.27507163323776</v>
      </c>
      <c r="J97" s="22">
        <f t="array" ref="J97">AVERAGE(IF(ISNUMBER(I90:I97),I90:I97))</f>
        <v>1305.1151815675316</v>
      </c>
      <c r="K97" s="30"/>
    </row>
    <row r="98" spans="1:11" x14ac:dyDescent="0.25">
      <c r="A98" s="21" t="s">
        <v>32</v>
      </c>
      <c r="B98" s="1">
        <f>J50</f>
        <v>1.35</v>
      </c>
      <c r="C98" s="1">
        <f>K50</f>
        <v>2.0699999999999998</v>
      </c>
      <c r="D98" s="30">
        <f t="shared" si="26"/>
        <v>787.68</v>
      </c>
      <c r="E98" s="22">
        <f>SUM(L56:M56)</f>
        <v>2436</v>
      </c>
      <c r="F98" s="30">
        <f t="shared" si="28"/>
        <v>3223.68</v>
      </c>
      <c r="G98" s="30">
        <f>S50</f>
        <v>513.88888888888891</v>
      </c>
      <c r="H98" s="30">
        <f>V50</f>
        <v>1355.0966183574878</v>
      </c>
      <c r="I98" s="22">
        <f t="shared" si="27"/>
        <v>942.59649122807014</v>
      </c>
      <c r="J98" s="22">
        <f t="array" ref="J98">AVERAGE(IF(ISNUMBER(I90:I98),I90:I98))</f>
        <v>1264.8353270853693</v>
      </c>
      <c r="K98" s="30"/>
    </row>
    <row r="99" spans="1:11" x14ac:dyDescent="0.25">
      <c r="A99" s="21" t="s">
        <v>33</v>
      </c>
      <c r="B99" s="1">
        <f>J56</f>
        <v>1.1100000000000001</v>
      </c>
      <c r="C99" s="1">
        <f>K56</f>
        <v>1.54</v>
      </c>
      <c r="D99" s="30">
        <f t="shared" si="26"/>
        <v>599.21</v>
      </c>
      <c r="E99" s="22">
        <f>SUM(L62:M62)</f>
        <v>2388.75</v>
      </c>
      <c r="F99" s="30">
        <f t="shared" si="28"/>
        <v>2987.96</v>
      </c>
      <c r="G99" s="30">
        <f>S56</f>
        <v>597.97297297297291</v>
      </c>
      <c r="H99" s="30">
        <f>V56</f>
        <v>1639.909090909091</v>
      </c>
      <c r="I99" s="22">
        <f t="shared" si="27"/>
        <v>1127.5320754716979</v>
      </c>
      <c r="J99" s="22">
        <f t="array" ref="J99">AVERAGE(IF(ISNUMBER(I90:I99),I90:I99))</f>
        <v>1251.1050019240022</v>
      </c>
      <c r="K99" s="30"/>
    </row>
    <row r="100" spans="1:11" x14ac:dyDescent="0.25">
      <c r="A100" s="21" t="s">
        <v>34</v>
      </c>
      <c r="B100" s="1">
        <f>J62</f>
        <v>1.03</v>
      </c>
      <c r="C100" s="1">
        <f>K62</f>
        <v>2.4849999999999999</v>
      </c>
      <c r="D100" s="30">
        <f t="shared" si="26"/>
        <v>871.76499999999999</v>
      </c>
      <c r="E100" s="22">
        <f>SUM(L68:M68)</f>
        <v>2026.5</v>
      </c>
      <c r="F100" s="30">
        <f t="shared" si="28"/>
        <v>2898.2649999999999</v>
      </c>
      <c r="G100" s="30">
        <f>S62</f>
        <v>125</v>
      </c>
      <c r="H100" s="30">
        <f>V62</f>
        <v>1360.2676056338028</v>
      </c>
      <c r="I100" s="22">
        <f t="shared" si="27"/>
        <v>824.5419630156473</v>
      </c>
      <c r="J100" s="22">
        <f t="array" ref="J100">AVERAGE(IF(ISNUMBER(I90:I100),I90:I100))</f>
        <v>1212.3265438414244</v>
      </c>
      <c r="K100" s="30"/>
    </row>
    <row r="101" spans="1:11" x14ac:dyDescent="0.25">
      <c r="A101" s="21" t="s">
        <v>35</v>
      </c>
      <c r="B101" s="1">
        <f>J68</f>
        <v>1.38</v>
      </c>
      <c r="C101" s="1">
        <f>K68</f>
        <v>1.92</v>
      </c>
      <c r="D101" s="30">
        <f t="shared" si="26"/>
        <v>746.57999999999993</v>
      </c>
      <c r="E101" s="22">
        <f>SUM(L68:M68)</f>
        <v>2026.5</v>
      </c>
      <c r="F101" s="30">
        <f t="shared" si="28"/>
        <v>2773.08</v>
      </c>
      <c r="G101" s="30">
        <f>S68</f>
        <v>505.43478260869568</v>
      </c>
      <c r="H101" s="30">
        <f>V68</f>
        <v>1181.03125</v>
      </c>
      <c r="I101" s="22">
        <f t="shared" si="27"/>
        <v>840.32727272727277</v>
      </c>
      <c r="J101" s="22">
        <f t="array" ref="J101">AVERAGE(IF(ISNUMBER(I90:I101),I90:I101))</f>
        <v>1181.3266045819116</v>
      </c>
      <c r="K101" s="30"/>
    </row>
    <row r="102" spans="1:11" x14ac:dyDescent="0.25">
      <c r="A102" s="21" t="s">
        <v>24</v>
      </c>
      <c r="B102" s="1">
        <f>J73</f>
        <v>1.1299999999999999</v>
      </c>
      <c r="C102" s="1">
        <f>K73</f>
        <v>1.25</v>
      </c>
      <c r="D102" s="30">
        <f t="shared" si="26"/>
        <v>515</v>
      </c>
      <c r="E102" s="22">
        <f>SUM(L73:M73)</f>
        <v>1412.25</v>
      </c>
      <c r="F102" s="30">
        <f t="shared" si="28"/>
        <v>1927.25</v>
      </c>
      <c r="G102" s="30">
        <f>S73</f>
        <v>589.60176991150445</v>
      </c>
      <c r="H102" s="30">
        <f>V73</f>
        <v>1108.8</v>
      </c>
      <c r="I102" s="22">
        <f t="shared" si="27"/>
        <v>809.76890756302521</v>
      </c>
      <c r="J102" s="22">
        <f t="array" ref="J102">AVERAGE(IF(ISNUMBER(I90:I102),I90:I102))</f>
        <v>1152.7452432727666</v>
      </c>
      <c r="K102" s="30"/>
    </row>
    <row r="103" spans="1:11" x14ac:dyDescent="0.25">
      <c r="A103" s="21" t="s">
        <v>25</v>
      </c>
      <c r="B103" s="1">
        <f>J79</f>
        <v>1.01</v>
      </c>
      <c r="C103" s="1">
        <f>K79</f>
        <v>2</v>
      </c>
      <c r="D103" s="30">
        <f t="shared" si="26"/>
        <v>724.25</v>
      </c>
      <c r="E103" s="22">
        <f>SUM(L79:M79)</f>
        <v>2613.4699999999998</v>
      </c>
      <c r="F103" s="30">
        <f t="shared" si="28"/>
        <v>3337.72</v>
      </c>
      <c r="G103" s="30">
        <f>S79</f>
        <v>644.80198019801981</v>
      </c>
      <c r="H103" s="30">
        <f>V79</f>
        <v>1443.2349999999999</v>
      </c>
      <c r="I103" s="22">
        <f t="shared" si="27"/>
        <v>1108.8770764119602</v>
      </c>
      <c r="J103" s="22">
        <f t="array" ref="J103">AVERAGE(IF(ISNUMBER(I90:I103),I90:I103))</f>
        <v>1149.611802782709</v>
      </c>
      <c r="K103" s="30"/>
    </row>
    <row r="104" spans="1:11" x14ac:dyDescent="0.25">
      <c r="A104" s="21" t="s">
        <v>26</v>
      </c>
      <c r="B104" s="1">
        <f>J84</f>
        <v>1.24</v>
      </c>
      <c r="C104" s="1">
        <f>K84</f>
        <v>1.03</v>
      </c>
      <c r="D104" s="30">
        <f t="shared" si="26"/>
        <v>462.97</v>
      </c>
      <c r="E104" s="22">
        <f>SUM(L84:M84)</f>
        <v>1707.92</v>
      </c>
      <c r="F104" s="30">
        <f t="shared" si="28"/>
        <v>2170.8900000000003</v>
      </c>
      <c r="G104" s="30">
        <f>S84</f>
        <v>548.38709677419354</v>
      </c>
      <c r="H104" s="30">
        <f>V84</f>
        <v>1547.4660194174758</v>
      </c>
      <c r="I104" s="22">
        <f t="shared" si="27"/>
        <v>956.33920704845832</v>
      </c>
      <c r="J104" s="22">
        <f t="array" ref="J104">AVERAGE(IF(ISNUMBER(I90:I104),I90:I104))</f>
        <v>1136.7269630670924</v>
      </c>
      <c r="K104" s="30"/>
    </row>
    <row r="105" spans="1:11" x14ac:dyDescent="0.25">
      <c r="A105" s="1"/>
    </row>
    <row r="106" spans="1:11" ht="25" x14ac:dyDescent="0.25">
      <c r="A106" s="33" t="s">
        <v>71</v>
      </c>
      <c r="B106" s="3">
        <f>AVERAGEIF(B93:B104,"&lt;&gt;0")</f>
        <v>1.19</v>
      </c>
      <c r="C106" s="3">
        <f>AVERAGEIF(C93:C104,"&lt;&gt;0")</f>
        <v>1.4945833333333336</v>
      </c>
      <c r="D106" s="3">
        <f>AVERAGEIF(D93:D104,"&lt;&gt;0")</f>
        <v>583.23458333333338</v>
      </c>
      <c r="E106" s="3">
        <f>AVERAGEIF(E93:E104,"&lt;&gt;0")</f>
        <v>1913.9591666666668</v>
      </c>
      <c r="F106" s="22">
        <f>AVERAGEIF(F93:F104,"&lt;&gt;0")</f>
        <v>2497.1937499999999</v>
      </c>
      <c r="G106" s="22">
        <f t="array" ref="G106">AVERAGE(IF(ISNUMBER(G93:G104),G93:G104))</f>
        <v>419.58554048621824</v>
      </c>
      <c r="H106" s="22">
        <f t="array" ref="H106">AVERAGE(IF(ISNUMBER(H93:H104),H93:H104))</f>
        <v>1355.9198922754347</v>
      </c>
      <c r="I106" s="22">
        <f t="array" ref="I106">AVERAGE(IF(ISNUMBER(I93:I104),I93:I104))</f>
        <v>1089.4101611703884</v>
      </c>
    </row>
    <row r="108" spans="1:11" x14ac:dyDescent="0.25">
      <c r="A108" s="1"/>
    </row>
    <row r="109" spans="1:11" x14ac:dyDescent="0.25">
      <c r="A109" s="1"/>
    </row>
    <row r="110" spans="1:11" ht="13" x14ac:dyDescent="0.3">
      <c r="A110" s="95" t="s">
        <v>69</v>
      </c>
      <c r="B110" s="17">
        <f>SUM(B90:B92)</f>
        <v>2.62</v>
      </c>
      <c r="C110" s="17">
        <f>SUM(C90:C92)</f>
        <v>1.9149999999999998</v>
      </c>
      <c r="D110" s="97">
        <f>SUM(D90:D92)</f>
        <v>900.08499999999992</v>
      </c>
      <c r="E110" s="97">
        <f>SUM(E90:E92)</f>
        <v>5134.63</v>
      </c>
      <c r="F110" s="97">
        <f>SUM(F90:F92)</f>
        <v>6034.7150000000001</v>
      </c>
      <c r="G110" s="96">
        <f>S15</f>
        <v>287.30916030534354</v>
      </c>
      <c r="H110" s="96">
        <f>V15</f>
        <v>2758.2062663185375</v>
      </c>
      <c r="I110" s="97">
        <f>F110/SUM(B110:C110)</f>
        <v>1330.6979051819185</v>
      </c>
      <c r="J110" s="96"/>
    </row>
    <row r="111" spans="1:11" ht="13" x14ac:dyDescent="0.3">
      <c r="A111" s="95" t="s">
        <v>70</v>
      </c>
      <c r="B111" s="17">
        <f>SUM(B93:B104)</f>
        <v>13.09</v>
      </c>
      <c r="C111" s="17">
        <f>SUM(C93:C104)</f>
        <v>17.935000000000002</v>
      </c>
      <c r="D111" s="97">
        <f>SUM(D93:D104)</f>
        <v>6998.8150000000005</v>
      </c>
      <c r="E111" s="97">
        <f>SUM(E93:E104)</f>
        <v>22967.510000000002</v>
      </c>
      <c r="F111" s="97">
        <f>SUM(F93:F104)</f>
        <v>29966.324999999997</v>
      </c>
      <c r="G111" s="96">
        <f>S85</f>
        <v>554.14438502673795</v>
      </c>
      <c r="H111" s="96">
        <f>V85</f>
        <v>1153.189852244215</v>
      </c>
      <c r="I111" s="97">
        <f>F111/SUM(B111:C111)</f>
        <v>965.87671232876698</v>
      </c>
    </row>
    <row r="112" spans="1:1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</sheetData>
  <pageMargins left="0.25" right="0.25" top="0.75" bottom="0.75" header="0.3" footer="0.3"/>
  <pageSetup paperSize="9" orientation="landscape" r:id="rId1"/>
  <headerFooter>
    <oddHeader xml:space="preserve">&amp;C&amp;"Arial,Bold"&amp;14Kitwanga Transfer Station PPP Mega-Bag Tracking            
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0A98-6988-488E-B995-CB4DE103B87F}">
  <sheetPr>
    <tabColor theme="0" tint="-4.9989318521683403E-2"/>
  </sheetPr>
  <dimension ref="A1:F38"/>
  <sheetViews>
    <sheetView topLeftCell="A10" workbookViewId="0">
      <selection activeCell="A35" sqref="A35"/>
    </sheetView>
  </sheetViews>
  <sheetFormatPr defaultColWidth="9.1796875" defaultRowHeight="18.75" customHeight="1" x14ac:dyDescent="0.3"/>
  <cols>
    <col min="1" max="1" width="11.453125" style="55" bestFit="1" customWidth="1"/>
    <col min="2" max="2" width="17.1796875" style="55" customWidth="1"/>
    <col min="3" max="4" width="15.453125" style="55" customWidth="1"/>
    <col min="5" max="5" width="9.453125" style="55" bestFit="1" customWidth="1"/>
    <col min="6" max="16384" width="9.1796875" style="55"/>
  </cols>
  <sheetData>
    <row r="1" spans="1:4" ht="18.75" customHeight="1" x14ac:dyDescent="0.3">
      <c r="A1" s="415">
        <v>2018</v>
      </c>
      <c r="B1" s="415"/>
      <c r="C1" s="415"/>
      <c r="D1" s="415"/>
    </row>
    <row r="2" spans="1:4" ht="18.75" customHeight="1" thickBot="1" x14ac:dyDescent="0.35">
      <c r="A2" s="416"/>
      <c r="B2" s="416"/>
      <c r="C2" s="416"/>
      <c r="D2" s="416"/>
    </row>
    <row r="3" spans="1:4" ht="28" x14ac:dyDescent="0.3">
      <c r="A3" s="57" t="s">
        <v>0</v>
      </c>
      <c r="B3" s="58" t="s">
        <v>47</v>
      </c>
      <c r="C3" s="58" t="s">
        <v>48</v>
      </c>
      <c r="D3" s="59" t="s">
        <v>49</v>
      </c>
    </row>
    <row r="4" spans="1:4" ht="18.75" customHeight="1" x14ac:dyDescent="0.3">
      <c r="A4" s="60">
        <v>43105</v>
      </c>
      <c r="B4" s="56">
        <v>0.89</v>
      </c>
      <c r="C4" s="64">
        <v>92.52</v>
      </c>
      <c r="D4" s="66">
        <v>614.25</v>
      </c>
    </row>
    <row r="5" spans="1:4" ht="18.75" customHeight="1" x14ac:dyDescent="0.3">
      <c r="A5" s="60">
        <v>43127</v>
      </c>
      <c r="B5" s="56">
        <v>1.39</v>
      </c>
      <c r="C5" s="64">
        <v>144.49</v>
      </c>
      <c r="D5" s="66">
        <v>955.5</v>
      </c>
    </row>
    <row r="6" spans="1:4" ht="18.75" customHeight="1" x14ac:dyDescent="0.3">
      <c r="A6" s="60">
        <v>43148</v>
      </c>
      <c r="B6" s="56">
        <v>1.02</v>
      </c>
      <c r="C6" s="64">
        <v>106.03</v>
      </c>
      <c r="D6" s="66">
        <v>955.5</v>
      </c>
    </row>
    <row r="7" spans="1:4" ht="18.75" customHeight="1" x14ac:dyDescent="0.3">
      <c r="A7" s="60">
        <v>43166</v>
      </c>
      <c r="B7" s="56">
        <v>1.03</v>
      </c>
      <c r="C7" s="64">
        <v>107.7</v>
      </c>
      <c r="D7" s="66">
        <v>750.5</v>
      </c>
    </row>
    <row r="8" spans="1:4" ht="18.75" customHeight="1" x14ac:dyDescent="0.3">
      <c r="A8" s="60">
        <v>43187</v>
      </c>
      <c r="B8" s="56">
        <v>0.78</v>
      </c>
      <c r="C8" s="64">
        <v>81.08</v>
      </c>
      <c r="D8" s="66">
        <v>614.25</v>
      </c>
    </row>
    <row r="9" spans="1:4" ht="18.75" customHeight="1" x14ac:dyDescent="0.3">
      <c r="A9" s="60">
        <v>43197</v>
      </c>
      <c r="B9" s="56">
        <v>0.68</v>
      </c>
      <c r="C9" s="64">
        <v>70.69</v>
      </c>
      <c r="D9" s="66">
        <v>614.25</v>
      </c>
    </row>
    <row r="10" spans="1:4" ht="18.75" customHeight="1" x14ac:dyDescent="0.3">
      <c r="A10" s="60">
        <v>43211</v>
      </c>
      <c r="B10" s="56">
        <v>1.21</v>
      </c>
      <c r="C10" s="64">
        <v>151</v>
      </c>
      <c r="D10" s="66">
        <v>682.5</v>
      </c>
    </row>
    <row r="11" spans="1:4" ht="18.75" customHeight="1" x14ac:dyDescent="0.3">
      <c r="A11" s="60">
        <v>43228</v>
      </c>
      <c r="B11" s="56">
        <v>0.63</v>
      </c>
      <c r="C11" s="69">
        <v>82.69</v>
      </c>
      <c r="D11" s="66">
        <v>546</v>
      </c>
    </row>
    <row r="12" spans="1:4" ht="18.75" customHeight="1" x14ac:dyDescent="0.3">
      <c r="A12" s="60">
        <v>43239</v>
      </c>
      <c r="B12" s="56">
        <v>0.7</v>
      </c>
      <c r="C12" s="64">
        <v>131.25</v>
      </c>
      <c r="D12" s="66">
        <v>477.75</v>
      </c>
    </row>
    <row r="13" spans="1:4" ht="18.75" customHeight="1" x14ac:dyDescent="0.3">
      <c r="A13" s="60">
        <v>43253</v>
      </c>
      <c r="B13" s="56">
        <v>0.54</v>
      </c>
      <c r="C13" s="64">
        <v>70.88</v>
      </c>
      <c r="D13" s="66">
        <v>409.5</v>
      </c>
    </row>
    <row r="14" spans="1:4" ht="18.75" customHeight="1" x14ac:dyDescent="0.3">
      <c r="A14" s="60">
        <v>43271</v>
      </c>
      <c r="B14" s="56">
        <v>0.59</v>
      </c>
      <c r="C14" s="64">
        <v>77.44</v>
      </c>
      <c r="D14" s="66">
        <v>477.75</v>
      </c>
    </row>
    <row r="15" spans="1:4" ht="18.75" customHeight="1" x14ac:dyDescent="0.3">
      <c r="A15" s="60">
        <v>43284</v>
      </c>
      <c r="B15" s="56">
        <v>0.6</v>
      </c>
      <c r="C15" s="64">
        <v>78.75</v>
      </c>
      <c r="D15" s="66">
        <v>477.75</v>
      </c>
    </row>
    <row r="16" spans="1:4" ht="18.75" customHeight="1" x14ac:dyDescent="0.3">
      <c r="A16" s="60">
        <v>43288</v>
      </c>
      <c r="B16" s="56">
        <v>0.64</v>
      </c>
      <c r="C16" s="64">
        <v>84</v>
      </c>
      <c r="D16" s="66">
        <v>477.75</v>
      </c>
    </row>
    <row r="17" spans="1:4" ht="18.75" customHeight="1" x14ac:dyDescent="0.3">
      <c r="A17" s="60">
        <v>43312</v>
      </c>
      <c r="B17" s="56">
        <v>0.8</v>
      </c>
      <c r="C17" s="64">
        <v>105</v>
      </c>
      <c r="D17" s="66">
        <v>546</v>
      </c>
    </row>
    <row r="18" spans="1:4" ht="18.75" customHeight="1" x14ac:dyDescent="0.3">
      <c r="A18" s="60">
        <v>43329</v>
      </c>
      <c r="B18" s="56">
        <v>0.55000000000000004</v>
      </c>
      <c r="C18" s="64">
        <f t="shared" ref="C18:C37" si="0">(B18*125) + (B18*125*5)/100</f>
        <v>72.1875</v>
      </c>
      <c r="D18" s="66">
        <v>682.5</v>
      </c>
    </row>
    <row r="19" spans="1:4" ht="18.75" customHeight="1" x14ac:dyDescent="0.3">
      <c r="A19" s="60">
        <v>43343</v>
      </c>
      <c r="B19" s="56">
        <v>1.07</v>
      </c>
      <c r="C19" s="64">
        <f t="shared" si="0"/>
        <v>140.4375</v>
      </c>
      <c r="D19" s="66">
        <v>955.5</v>
      </c>
    </row>
    <row r="20" spans="1:4" ht="18.75" customHeight="1" x14ac:dyDescent="0.3">
      <c r="A20" s="60">
        <v>43351</v>
      </c>
      <c r="B20" s="56">
        <v>0.49</v>
      </c>
      <c r="C20" s="64">
        <f t="shared" si="0"/>
        <v>64.3125</v>
      </c>
      <c r="D20" s="66">
        <v>409.5</v>
      </c>
    </row>
    <row r="21" spans="1:4" ht="18.75" customHeight="1" x14ac:dyDescent="0.3">
      <c r="A21" s="60">
        <v>43358</v>
      </c>
      <c r="B21" s="56">
        <v>0.56999999999999995</v>
      </c>
      <c r="C21" s="64">
        <f t="shared" si="0"/>
        <v>74.8125</v>
      </c>
      <c r="D21" s="66">
        <v>477.75</v>
      </c>
    </row>
    <row r="22" spans="1:4" ht="18.75" customHeight="1" x14ac:dyDescent="0.3">
      <c r="A22" s="60">
        <v>43365</v>
      </c>
      <c r="B22" s="56">
        <v>0.48</v>
      </c>
      <c r="C22" s="64">
        <f t="shared" si="0"/>
        <v>63</v>
      </c>
      <c r="D22" s="66">
        <v>409.5</v>
      </c>
    </row>
    <row r="23" spans="1:4" ht="18.75" customHeight="1" x14ac:dyDescent="0.3">
      <c r="A23" s="60">
        <v>43372</v>
      </c>
      <c r="B23" s="56">
        <v>0.43</v>
      </c>
      <c r="C23" s="64">
        <f t="shared" si="0"/>
        <v>56.4375</v>
      </c>
      <c r="D23" s="66">
        <v>409.5</v>
      </c>
    </row>
    <row r="24" spans="1:4" ht="18.75" customHeight="1" x14ac:dyDescent="0.3">
      <c r="A24" s="60">
        <v>43379</v>
      </c>
      <c r="B24" s="56">
        <v>0.3</v>
      </c>
      <c r="C24" s="64">
        <f t="shared" si="0"/>
        <v>39.375</v>
      </c>
      <c r="D24" s="66">
        <v>273</v>
      </c>
    </row>
    <row r="25" spans="1:4" ht="18.75" customHeight="1" x14ac:dyDescent="0.3">
      <c r="A25" s="60">
        <v>43386</v>
      </c>
      <c r="B25" s="56">
        <v>0.41</v>
      </c>
      <c r="C25" s="64">
        <f t="shared" si="0"/>
        <v>53.8125</v>
      </c>
      <c r="D25" s="66">
        <v>409.5</v>
      </c>
    </row>
    <row r="26" spans="1:4" ht="18.75" customHeight="1" x14ac:dyDescent="0.3">
      <c r="A26" s="60">
        <v>43393</v>
      </c>
      <c r="B26" s="72">
        <v>0.38</v>
      </c>
      <c r="C26" s="64">
        <f t="shared" si="0"/>
        <v>49.875</v>
      </c>
      <c r="D26" s="66"/>
    </row>
    <row r="27" spans="1:4" ht="18.75" customHeight="1" x14ac:dyDescent="0.3">
      <c r="A27" s="60">
        <v>43400</v>
      </c>
      <c r="B27" s="72">
        <v>0.45</v>
      </c>
      <c r="C27" s="64">
        <v>59.0625</v>
      </c>
      <c r="D27" s="66">
        <v>409.5</v>
      </c>
    </row>
    <row r="28" spans="1:4" ht="18.75" customHeight="1" x14ac:dyDescent="0.3">
      <c r="A28" s="60">
        <v>43411</v>
      </c>
      <c r="B28" s="72">
        <v>0.69</v>
      </c>
      <c r="C28" s="64">
        <v>90.5625</v>
      </c>
      <c r="D28" s="66">
        <v>626.54</v>
      </c>
    </row>
    <row r="29" spans="1:4" ht="18.75" customHeight="1" x14ac:dyDescent="0.3">
      <c r="A29" s="60">
        <v>43420</v>
      </c>
      <c r="B29" s="72">
        <v>0.74</v>
      </c>
      <c r="C29" s="64">
        <v>97.125</v>
      </c>
      <c r="D29" s="66">
        <v>417.69</v>
      </c>
    </row>
    <row r="30" spans="1:4" ht="18.75" customHeight="1" x14ac:dyDescent="0.3">
      <c r="A30" s="60">
        <v>43427</v>
      </c>
      <c r="B30" s="72">
        <v>0.38</v>
      </c>
      <c r="C30" s="64">
        <v>49.875</v>
      </c>
      <c r="D30" s="66">
        <v>348.08</v>
      </c>
    </row>
    <row r="31" spans="1:4" ht="18.75" customHeight="1" x14ac:dyDescent="0.3">
      <c r="A31" s="60">
        <v>43434</v>
      </c>
      <c r="B31" s="72">
        <v>0.28999999999999998</v>
      </c>
      <c r="C31" s="64">
        <v>38.0625</v>
      </c>
      <c r="D31" s="66">
        <v>278.45999999999998</v>
      </c>
    </row>
    <row r="32" spans="1:4" ht="18.75" customHeight="1" x14ac:dyDescent="0.3">
      <c r="A32" s="60">
        <v>43442</v>
      </c>
      <c r="B32" s="72">
        <v>0.7</v>
      </c>
      <c r="C32" s="64">
        <v>91.875</v>
      </c>
      <c r="D32" s="66">
        <v>348.08</v>
      </c>
    </row>
    <row r="33" spans="1:6" ht="18.75" customHeight="1" x14ac:dyDescent="0.3">
      <c r="A33" s="60">
        <v>43449</v>
      </c>
      <c r="B33" s="72">
        <v>0.67</v>
      </c>
      <c r="C33" s="64">
        <v>87.9375</v>
      </c>
      <c r="D33" s="66"/>
    </row>
    <row r="34" spans="1:6" ht="18.75" customHeight="1" x14ac:dyDescent="0.3">
      <c r="A34" s="60">
        <v>43456</v>
      </c>
      <c r="B34" s="72">
        <v>0.62</v>
      </c>
      <c r="C34" s="64">
        <v>81.375</v>
      </c>
      <c r="D34" s="66">
        <v>556.91999999999996</v>
      </c>
    </row>
    <row r="35" spans="1:6" ht="18.75" customHeight="1" x14ac:dyDescent="0.3">
      <c r="A35" s="60"/>
      <c r="B35" s="72"/>
      <c r="C35" s="64">
        <v>0</v>
      </c>
      <c r="D35" s="66"/>
    </row>
    <row r="36" spans="1:6" ht="18.75" customHeight="1" thickBot="1" x14ac:dyDescent="0.35">
      <c r="A36" s="60"/>
      <c r="B36" s="72"/>
      <c r="C36" s="64">
        <f t="shared" si="0"/>
        <v>0</v>
      </c>
      <c r="D36" s="66"/>
    </row>
    <row r="37" spans="1:6" ht="18.75" customHeight="1" x14ac:dyDescent="0.3">
      <c r="A37" s="70"/>
      <c r="B37" s="72"/>
      <c r="C37" s="64">
        <f t="shared" si="0"/>
        <v>0</v>
      </c>
      <c r="D37" s="66"/>
      <c r="E37" s="413" t="s">
        <v>50</v>
      </c>
      <c r="F37" s="414"/>
    </row>
    <row r="38" spans="1:6" ht="18.75" customHeight="1" thickBot="1" x14ac:dyDescent="0.35">
      <c r="A38" s="71" t="s">
        <v>38</v>
      </c>
      <c r="B38" s="61">
        <f>SUM(B4:B37)</f>
        <v>20.720000000000002</v>
      </c>
      <c r="C38" s="65">
        <f>SUM(C4:C37)</f>
        <v>2593.645</v>
      </c>
      <c r="D38" s="67">
        <f>SUM(D4:D37)</f>
        <v>15611.27</v>
      </c>
      <c r="E38" s="411">
        <f>(C38+D38)/B38</f>
        <v>878.61558880308871</v>
      </c>
      <c r="F38" s="412"/>
    </row>
  </sheetData>
  <mergeCells count="3">
    <mergeCell ref="E38:F38"/>
    <mergeCell ref="E37:F37"/>
    <mergeCell ref="A1:D2"/>
  </mergeCells>
  <pageMargins left="0.25" right="0.25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7993-398E-41B9-8297-5A23A7D83EFB}">
  <sheetPr>
    <tabColor theme="9" tint="0.39997558519241921"/>
  </sheetPr>
  <dimension ref="A1:AI142"/>
  <sheetViews>
    <sheetView zoomScale="90" zoomScaleNormal="90" zoomScalePageLayoutView="150" workbookViewId="0">
      <pane ySplit="1" topLeftCell="A8" activePane="bottomLeft" state="frozen"/>
      <selection pane="bottomLeft" activeCell="M57" sqref="M57"/>
    </sheetView>
  </sheetViews>
  <sheetFormatPr defaultColWidth="9.1796875" defaultRowHeight="12.5" x14ac:dyDescent="0.25"/>
  <cols>
    <col min="1" max="1" width="21" style="21" customWidth="1"/>
    <col min="2" max="3" width="10.453125" style="1" hidden="1" customWidth="1"/>
    <col min="4" max="4" width="13.453125" style="1" hidden="1" customWidth="1"/>
    <col min="5" max="5" width="12.1796875" style="1" hidden="1" customWidth="1"/>
    <col min="6" max="6" width="13.453125" style="1" hidden="1" customWidth="1"/>
    <col min="7" max="7" width="11.54296875" style="1" hidden="1" customWidth="1"/>
    <col min="8" max="8" width="12.81640625" style="1" customWidth="1"/>
    <col min="9" max="9" width="15.1796875" style="1" customWidth="1"/>
    <col min="10" max="10" width="15.453125" style="1" customWidth="1"/>
    <col min="11" max="11" width="13" style="1" bestFit="1" customWidth="1"/>
    <col min="12" max="12" width="14.453125" style="1" bestFit="1" customWidth="1"/>
    <col min="13" max="13" width="12.54296875" style="1" bestFit="1" customWidth="1"/>
    <col min="14" max="14" width="12.453125" style="1" customWidth="1"/>
    <col min="15" max="15" width="12.1796875" style="1" bestFit="1" customWidth="1"/>
    <col min="16" max="16" width="11.453125" style="1" bestFit="1" customWidth="1"/>
    <col min="17" max="17" width="10.7265625" style="1" bestFit="1" customWidth="1"/>
    <col min="18" max="18" width="12.54296875" style="1" bestFit="1" customWidth="1"/>
    <col min="19" max="19" width="11.453125" style="1" bestFit="1" customWidth="1"/>
    <col min="20" max="20" width="11.1796875" style="1" bestFit="1" customWidth="1"/>
    <col min="21" max="35" width="12.54296875" style="1" customWidth="1"/>
    <col min="36" max="16384" width="9.1796875" style="1"/>
  </cols>
  <sheetData>
    <row r="1" spans="1:35" ht="64" customHeight="1" thickBot="1" x14ac:dyDescent="0.35">
      <c r="A1" s="101" t="s">
        <v>0</v>
      </c>
      <c r="B1" s="102" t="s">
        <v>9</v>
      </c>
      <c r="C1" s="102" t="s">
        <v>74</v>
      </c>
      <c r="D1" s="102" t="s">
        <v>75</v>
      </c>
      <c r="E1" s="102" t="s">
        <v>76</v>
      </c>
      <c r="F1" s="102" t="s">
        <v>77</v>
      </c>
      <c r="G1" s="103" t="s">
        <v>1</v>
      </c>
      <c r="H1" s="104" t="s">
        <v>78</v>
      </c>
      <c r="I1" s="104" t="s">
        <v>97</v>
      </c>
      <c r="J1" s="105" t="s">
        <v>144</v>
      </c>
      <c r="K1" s="105" t="s">
        <v>63</v>
      </c>
      <c r="L1" s="106" t="s">
        <v>15</v>
      </c>
      <c r="M1" s="106" t="s">
        <v>16</v>
      </c>
      <c r="N1" s="106" t="s">
        <v>17</v>
      </c>
      <c r="O1" s="107" t="s">
        <v>18</v>
      </c>
      <c r="P1" s="107" t="s">
        <v>19</v>
      </c>
      <c r="Q1" s="107" t="s">
        <v>20</v>
      </c>
      <c r="R1" s="108" t="s">
        <v>42</v>
      </c>
      <c r="S1" s="108" t="s">
        <v>21</v>
      </c>
      <c r="T1" s="108" t="s">
        <v>22</v>
      </c>
      <c r="U1" s="120" t="s">
        <v>80</v>
      </c>
      <c r="V1" s="121" t="s">
        <v>106</v>
      </c>
      <c r="W1" s="121" t="s">
        <v>81</v>
      </c>
      <c r="X1" s="121" t="s">
        <v>105</v>
      </c>
      <c r="Y1" s="121" t="s">
        <v>84</v>
      </c>
      <c r="Z1" s="121" t="s">
        <v>104</v>
      </c>
      <c r="AA1" s="121" t="s">
        <v>85</v>
      </c>
      <c r="AB1" s="121" t="s">
        <v>86</v>
      </c>
      <c r="AC1" s="121" t="s">
        <v>82</v>
      </c>
      <c r="AD1" s="121" t="s">
        <v>118</v>
      </c>
      <c r="AE1" s="121" t="s">
        <v>103</v>
      </c>
      <c r="AF1" s="121" t="s">
        <v>102</v>
      </c>
      <c r="AG1" s="121" t="s">
        <v>83</v>
      </c>
      <c r="AH1" s="121" t="s">
        <v>87</v>
      </c>
      <c r="AI1" s="122" t="s">
        <v>89</v>
      </c>
    </row>
    <row r="2" spans="1:35" ht="28.75" customHeight="1" x14ac:dyDescent="0.25">
      <c r="A2" s="73">
        <v>43470</v>
      </c>
      <c r="B2" s="75"/>
      <c r="C2" s="75"/>
      <c r="D2" s="75"/>
      <c r="E2" s="75"/>
      <c r="F2" s="75"/>
      <c r="G2" s="100">
        <f>SUM(C2:F2)</f>
        <v>0</v>
      </c>
      <c r="H2" s="76"/>
      <c r="I2" s="76"/>
      <c r="J2" s="198"/>
      <c r="K2" s="198"/>
      <c r="L2" s="176" t="e">
        <f t="shared" ref="L2:L18" si="0">SUM(K2:K2)/SUM(H2:I2)</f>
        <v>#DIV/0!</v>
      </c>
      <c r="M2" s="176" t="e">
        <f t="shared" ref="M2:M19" si="1">($B$68*I2+$B$69*H2)/SUM(H2:I2)</f>
        <v>#DIV/0!</v>
      </c>
      <c r="N2" s="176" t="e">
        <f t="shared" ref="N2:N51" si="2">L2+M2</f>
        <v>#DIV/0!</v>
      </c>
      <c r="O2" s="79"/>
      <c r="P2" s="80"/>
      <c r="Q2" s="80"/>
      <c r="R2" s="81"/>
      <c r="S2" s="81"/>
      <c r="T2" s="109"/>
      <c r="U2" s="184"/>
      <c r="V2" s="161"/>
      <c r="W2" s="117"/>
      <c r="X2" s="183"/>
      <c r="Y2" s="118"/>
      <c r="Z2" s="183"/>
      <c r="AA2" s="118"/>
      <c r="AB2" s="183"/>
      <c r="AC2" s="119"/>
      <c r="AD2" s="183"/>
      <c r="AE2" s="161"/>
      <c r="AF2" s="161"/>
      <c r="AG2" s="117">
        <f>AE2+AF2</f>
        <v>0</v>
      </c>
      <c r="AH2" s="117">
        <f>U2+W2+AC2</f>
        <v>0</v>
      </c>
      <c r="AI2" s="151">
        <f>V2+X2+Z2+AB2+AG2</f>
        <v>0</v>
      </c>
    </row>
    <row r="3" spans="1:35" s="17" customFormat="1" ht="28.75" customHeight="1" x14ac:dyDescent="0.3">
      <c r="A3" s="19">
        <f>A2+7</f>
        <v>43477</v>
      </c>
      <c r="B3" s="5"/>
      <c r="C3" s="5">
        <v>5</v>
      </c>
      <c r="D3" s="5"/>
      <c r="E3" s="5"/>
      <c r="F3" s="5"/>
      <c r="G3" s="98">
        <f>SUM(C3:F3)</f>
        <v>5</v>
      </c>
      <c r="H3" s="6"/>
      <c r="I3" s="6">
        <v>0.33800000000000002</v>
      </c>
      <c r="J3" s="34"/>
      <c r="K3" s="34"/>
      <c r="L3" s="35">
        <f t="shared" si="0"/>
        <v>0</v>
      </c>
      <c r="M3" s="35">
        <f t="shared" si="1"/>
        <v>399.00000000000006</v>
      </c>
      <c r="N3" s="35">
        <f t="shared" si="2"/>
        <v>399.00000000000006</v>
      </c>
      <c r="O3" s="36"/>
      <c r="P3" s="37"/>
      <c r="Q3" s="37"/>
      <c r="R3" s="38"/>
      <c r="S3" s="38"/>
      <c r="T3" s="110"/>
      <c r="U3" s="124"/>
      <c r="V3" s="163"/>
      <c r="W3" s="115"/>
      <c r="X3" s="163"/>
      <c r="Y3" s="115"/>
      <c r="Z3" s="163"/>
      <c r="AA3" s="115"/>
      <c r="AB3" s="163"/>
      <c r="AC3" s="115"/>
      <c r="AD3" s="163"/>
      <c r="AE3" s="162"/>
      <c r="AF3" s="163"/>
      <c r="AG3" s="117">
        <f t="shared" ref="AG3:AG64" si="3">AE3+AF3</f>
        <v>0</v>
      </c>
      <c r="AH3" s="117">
        <f t="shared" ref="AH3:AH66" si="4">U3+W3+AC3</f>
        <v>0</v>
      </c>
      <c r="AI3" s="151">
        <f t="shared" ref="AI3:AI66" si="5">V3+X3+Z3+AB3+AG3</f>
        <v>0</v>
      </c>
    </row>
    <row r="4" spans="1:35" ht="28.75" customHeight="1" x14ac:dyDescent="0.25">
      <c r="A4" s="19">
        <f>A3+7</f>
        <v>43484</v>
      </c>
      <c r="B4" s="5">
        <v>1</v>
      </c>
      <c r="C4" s="5">
        <v>3</v>
      </c>
      <c r="D4" s="5"/>
      <c r="E4" s="5"/>
      <c r="F4" s="5"/>
      <c r="G4" s="98">
        <f>SUM(C4:F4)</f>
        <v>3</v>
      </c>
      <c r="H4" s="6">
        <v>1.28</v>
      </c>
      <c r="I4" s="6">
        <v>0.13700000000000001</v>
      </c>
      <c r="J4" s="34">
        <f>525/1.05</f>
        <v>500</v>
      </c>
      <c r="K4" s="34">
        <f>208.85/1.05</f>
        <v>198.9047619047619</v>
      </c>
      <c r="L4" s="35">
        <f t="shared" si="0"/>
        <v>140.37033303088347</v>
      </c>
      <c r="M4" s="35">
        <f t="shared" si="1"/>
        <v>151.49117854622443</v>
      </c>
      <c r="N4" s="35">
        <f t="shared" si="2"/>
        <v>291.86151157710788</v>
      </c>
      <c r="O4" s="36"/>
      <c r="P4" s="37"/>
      <c r="Q4" s="37"/>
      <c r="R4" s="38"/>
      <c r="S4" s="38"/>
      <c r="T4" s="110"/>
      <c r="U4" s="125"/>
      <c r="V4" s="162"/>
      <c r="W4" s="114"/>
      <c r="X4" s="162"/>
      <c r="Y4" s="114"/>
      <c r="Z4" s="162"/>
      <c r="AA4" s="114"/>
      <c r="AB4" s="162"/>
      <c r="AC4" s="114"/>
      <c r="AD4" s="162"/>
      <c r="AE4" s="162"/>
      <c r="AF4" s="162"/>
      <c r="AG4" s="117">
        <f t="shared" si="3"/>
        <v>0</v>
      </c>
      <c r="AH4" s="117">
        <f t="shared" si="4"/>
        <v>0</v>
      </c>
      <c r="AI4" s="151">
        <f t="shared" si="5"/>
        <v>0</v>
      </c>
    </row>
    <row r="5" spans="1:35" ht="28.75" customHeight="1" x14ac:dyDescent="0.25">
      <c r="A5" s="19">
        <f>A4+7</f>
        <v>43491</v>
      </c>
      <c r="B5" s="5"/>
      <c r="C5" s="5">
        <v>3</v>
      </c>
      <c r="D5" s="5"/>
      <c r="E5" s="5"/>
      <c r="F5" s="5"/>
      <c r="G5" s="98">
        <f>SUM(C5:F5)</f>
        <v>3</v>
      </c>
      <c r="H5" s="6"/>
      <c r="I5" s="6">
        <v>0.13600000000000001</v>
      </c>
      <c r="J5" s="34"/>
      <c r="K5" s="34">
        <f>208.85/1.05</f>
        <v>198.9047619047619</v>
      </c>
      <c r="L5" s="35">
        <f t="shared" si="0"/>
        <v>1462.5350140056021</v>
      </c>
      <c r="M5" s="35">
        <f t="shared" si="1"/>
        <v>399</v>
      </c>
      <c r="N5" s="35">
        <f t="shared" si="2"/>
        <v>1861.5350140056021</v>
      </c>
      <c r="O5" s="36"/>
      <c r="P5" s="37"/>
      <c r="Q5" s="37"/>
      <c r="R5" s="38"/>
      <c r="S5" s="38"/>
      <c r="T5" s="110"/>
      <c r="U5" s="125"/>
      <c r="V5" s="162"/>
      <c r="W5" s="114"/>
      <c r="X5" s="162"/>
      <c r="Y5" s="114"/>
      <c r="Z5" s="162"/>
      <c r="AA5" s="114"/>
      <c r="AB5" s="162"/>
      <c r="AC5" s="114"/>
      <c r="AD5" s="162"/>
      <c r="AE5" s="162"/>
      <c r="AF5" s="162"/>
      <c r="AG5" s="117">
        <f t="shared" si="3"/>
        <v>0</v>
      </c>
      <c r="AH5" s="117">
        <f t="shared" si="4"/>
        <v>0</v>
      </c>
      <c r="AI5" s="151">
        <f t="shared" si="5"/>
        <v>0</v>
      </c>
    </row>
    <row r="6" spans="1:35" ht="28.75" customHeight="1" x14ac:dyDescent="0.3">
      <c r="A6" s="27" t="s">
        <v>54</v>
      </c>
      <c r="B6" s="28">
        <f t="shared" ref="B6:J6" si="6">SUBTOTAL(109,B2:B5)</f>
        <v>1</v>
      </c>
      <c r="C6" s="28">
        <f t="shared" si="6"/>
        <v>11</v>
      </c>
      <c r="D6" s="28">
        <f t="shared" si="6"/>
        <v>0</v>
      </c>
      <c r="E6" s="28">
        <f t="shared" si="6"/>
        <v>0</v>
      </c>
      <c r="F6" s="28">
        <f t="shared" si="6"/>
        <v>0</v>
      </c>
      <c r="G6" s="28">
        <f t="shared" si="6"/>
        <v>11</v>
      </c>
      <c r="H6" s="28">
        <f t="shared" si="6"/>
        <v>1.28</v>
      </c>
      <c r="I6" s="28">
        <f t="shared" si="6"/>
        <v>0.61099999999999999</v>
      </c>
      <c r="J6" s="39">
        <f t="shared" si="6"/>
        <v>500</v>
      </c>
      <c r="K6" s="39">
        <f>SUBTOTAL(109,K2:K5)</f>
        <v>397.8095238095238</v>
      </c>
      <c r="L6" s="39">
        <f t="shared" si="0"/>
        <v>210.36992269144568</v>
      </c>
      <c r="M6" s="39">
        <f t="shared" si="1"/>
        <v>213.53199365415122</v>
      </c>
      <c r="N6" s="39">
        <f t="shared" si="2"/>
        <v>423.90191634559687</v>
      </c>
      <c r="O6" s="39">
        <f>J6/H6</f>
        <v>390.625</v>
      </c>
      <c r="P6" s="40">
        <f>$B$69</f>
        <v>125</v>
      </c>
      <c r="Q6" s="40">
        <f>O6+P6</f>
        <v>515.625</v>
      </c>
      <c r="R6" s="40">
        <f>K6/I6</f>
        <v>651.07941703686379</v>
      </c>
      <c r="S6" s="40">
        <f>$B$68</f>
        <v>399</v>
      </c>
      <c r="T6" s="111">
        <f>R6+S6</f>
        <v>1050.0794170368638</v>
      </c>
      <c r="U6" s="185">
        <f>SUBTOTAL(109,U2:U5)</f>
        <v>0</v>
      </c>
      <c r="V6" s="39">
        <f>SUBTOTAL(109,V2:V5)</f>
        <v>0</v>
      </c>
      <c r="W6" s="28">
        <f>SUBTOTAL(109,W2:W5)</f>
        <v>0</v>
      </c>
      <c r="X6" s="39">
        <f>SUBTOTAL(109,X2:X5)</f>
        <v>0</v>
      </c>
      <c r="Y6" s="28">
        <f>SUBTOTAL(109,Y2:Y5)</f>
        <v>0</v>
      </c>
      <c r="Z6" s="39">
        <f t="shared" ref="Z6:AF6" si="7">SUBTOTAL(109,Z2:Z5)</f>
        <v>0</v>
      </c>
      <c r="AA6" s="28">
        <f t="shared" si="7"/>
        <v>0</v>
      </c>
      <c r="AB6" s="39">
        <f t="shared" si="7"/>
        <v>0</v>
      </c>
      <c r="AC6" s="28">
        <f t="shared" si="7"/>
        <v>0</v>
      </c>
      <c r="AD6" s="39">
        <f t="shared" si="7"/>
        <v>0</v>
      </c>
      <c r="AE6" s="39">
        <f t="shared" si="7"/>
        <v>0</v>
      </c>
      <c r="AF6" s="39">
        <f t="shared" si="7"/>
        <v>0</v>
      </c>
      <c r="AG6" s="123">
        <f>AD6+AE6+AF6</f>
        <v>0</v>
      </c>
      <c r="AH6" s="123">
        <f t="shared" si="4"/>
        <v>0</v>
      </c>
      <c r="AI6" s="152">
        <f t="shared" si="5"/>
        <v>0</v>
      </c>
    </row>
    <row r="7" spans="1:35" ht="28.75" customHeight="1" x14ac:dyDescent="0.25">
      <c r="A7" s="19">
        <f>A5+7</f>
        <v>43498</v>
      </c>
      <c r="B7" s="5"/>
      <c r="C7" s="5">
        <v>2</v>
      </c>
      <c r="D7" s="5"/>
      <c r="E7" s="5"/>
      <c r="F7" s="5"/>
      <c r="G7" s="98">
        <f>SUM(C7:F7)</f>
        <v>2</v>
      </c>
      <c r="H7" s="6"/>
      <c r="I7" s="6">
        <v>0.15</v>
      </c>
      <c r="J7" s="34"/>
      <c r="K7" s="34">
        <f>139.23/1.05</f>
        <v>132.6</v>
      </c>
      <c r="L7" s="35">
        <f t="shared" si="0"/>
        <v>884</v>
      </c>
      <c r="M7" s="35">
        <f t="shared" si="1"/>
        <v>399</v>
      </c>
      <c r="N7" s="35">
        <f t="shared" si="2"/>
        <v>1283</v>
      </c>
      <c r="O7" s="36"/>
      <c r="P7" s="37"/>
      <c r="Q7" s="37"/>
      <c r="R7" s="38"/>
      <c r="S7" s="38"/>
      <c r="T7" s="110"/>
      <c r="U7" s="125"/>
      <c r="V7" s="162"/>
      <c r="W7" s="114"/>
      <c r="X7" s="162"/>
      <c r="Y7" s="114"/>
      <c r="Z7" s="162"/>
      <c r="AA7" s="114"/>
      <c r="AB7" s="162"/>
      <c r="AC7" s="114"/>
      <c r="AD7" s="162"/>
      <c r="AE7" s="162"/>
      <c r="AF7" s="162"/>
      <c r="AG7" s="117">
        <f t="shared" si="3"/>
        <v>0</v>
      </c>
      <c r="AH7" s="117">
        <f t="shared" si="4"/>
        <v>0</v>
      </c>
      <c r="AI7" s="151">
        <f t="shared" si="5"/>
        <v>0</v>
      </c>
    </row>
    <row r="8" spans="1:35" s="17" customFormat="1" ht="28.75" customHeight="1" x14ac:dyDescent="0.3">
      <c r="A8" s="19">
        <f>A7+7</f>
        <v>43505</v>
      </c>
      <c r="B8" s="5">
        <v>1</v>
      </c>
      <c r="C8" s="5">
        <v>4</v>
      </c>
      <c r="D8" s="5"/>
      <c r="E8" s="5"/>
      <c r="F8" s="5"/>
      <c r="G8" s="98">
        <f>SUM(C8:F8)</f>
        <v>4</v>
      </c>
      <c r="H8" s="6">
        <v>1.1100000000000001</v>
      </c>
      <c r="I8" s="6">
        <v>0.09</v>
      </c>
      <c r="J8" s="34">
        <f>525/1.05</f>
        <v>500</v>
      </c>
      <c r="K8" s="34">
        <f>278.46/1.05</f>
        <v>265.2</v>
      </c>
      <c r="L8" s="35">
        <f t="shared" si="0"/>
        <v>220.99999999999997</v>
      </c>
      <c r="M8" s="35">
        <f t="shared" si="1"/>
        <v>145.54999999999998</v>
      </c>
      <c r="N8" s="35">
        <f t="shared" si="2"/>
        <v>366.54999999999995</v>
      </c>
      <c r="O8" s="36"/>
      <c r="P8" s="37"/>
      <c r="Q8" s="37"/>
      <c r="R8" s="38"/>
      <c r="S8" s="38"/>
      <c r="T8" s="110"/>
      <c r="U8" s="127"/>
      <c r="V8" s="163"/>
      <c r="W8" s="115"/>
      <c r="X8" s="162"/>
      <c r="Y8" s="114"/>
      <c r="Z8" s="162"/>
      <c r="AA8" s="114"/>
      <c r="AB8" s="162"/>
      <c r="AC8" s="115"/>
      <c r="AD8" s="163"/>
      <c r="AE8" s="163"/>
      <c r="AF8" s="163"/>
      <c r="AG8" s="117">
        <f t="shared" si="3"/>
        <v>0</v>
      </c>
      <c r="AH8" s="117">
        <f t="shared" si="4"/>
        <v>0</v>
      </c>
      <c r="AI8" s="151">
        <f t="shared" si="5"/>
        <v>0</v>
      </c>
    </row>
    <row r="9" spans="1:35" ht="28.75" customHeight="1" x14ac:dyDescent="0.3">
      <c r="A9" s="19">
        <f>A8+7</f>
        <v>43512</v>
      </c>
      <c r="B9" s="5"/>
      <c r="C9" s="5">
        <v>8</v>
      </c>
      <c r="D9" s="5">
        <v>2</v>
      </c>
      <c r="E9" s="5"/>
      <c r="F9" s="5"/>
      <c r="G9" s="98">
        <f>SUM(C9:F9)</f>
        <v>10</v>
      </c>
      <c r="H9" s="6"/>
      <c r="I9" s="6">
        <v>0.45300000000000001</v>
      </c>
      <c r="J9" s="34"/>
      <c r="K9" s="34">
        <f>696.15/1.05</f>
        <v>663</v>
      </c>
      <c r="L9" s="35">
        <f t="shared" si="0"/>
        <v>1463.5761589403974</v>
      </c>
      <c r="M9" s="35">
        <f t="shared" si="1"/>
        <v>399</v>
      </c>
      <c r="N9" s="35">
        <f t="shared" si="2"/>
        <v>1862.5761589403974</v>
      </c>
      <c r="O9" s="36"/>
      <c r="P9" s="37"/>
      <c r="Q9" s="37"/>
      <c r="R9" s="38"/>
      <c r="S9" s="38"/>
      <c r="T9" s="110"/>
      <c r="U9" s="125"/>
      <c r="V9" s="162"/>
      <c r="W9" s="114"/>
      <c r="X9" s="163"/>
      <c r="Y9" s="115"/>
      <c r="Z9" s="163"/>
      <c r="AA9" s="115"/>
      <c r="AB9" s="163"/>
      <c r="AC9" s="114"/>
      <c r="AD9" s="162"/>
      <c r="AE9" s="162"/>
      <c r="AF9" s="162"/>
      <c r="AG9" s="117">
        <f t="shared" si="3"/>
        <v>0</v>
      </c>
      <c r="AH9" s="117">
        <f t="shared" si="4"/>
        <v>0</v>
      </c>
      <c r="AI9" s="151">
        <f t="shared" si="5"/>
        <v>0</v>
      </c>
    </row>
    <row r="10" spans="1:35" ht="28.75" customHeight="1" x14ac:dyDescent="0.25">
      <c r="A10" s="19">
        <f>A9+7</f>
        <v>43519</v>
      </c>
      <c r="B10" s="5"/>
      <c r="C10" s="5">
        <v>10</v>
      </c>
      <c r="D10" s="5"/>
      <c r="E10" s="5"/>
      <c r="F10" s="5"/>
      <c r="G10" s="98">
        <f>SUM(C10:F10)</f>
        <v>10</v>
      </c>
      <c r="H10" s="6"/>
      <c r="I10" s="6">
        <v>0.68</v>
      </c>
      <c r="J10" s="34"/>
      <c r="K10" s="34">
        <f>696.15/1.05</f>
        <v>663</v>
      </c>
      <c r="L10" s="35">
        <f t="shared" si="0"/>
        <v>974.99999999999989</v>
      </c>
      <c r="M10" s="35">
        <f t="shared" si="1"/>
        <v>398.99999999999994</v>
      </c>
      <c r="N10" s="35">
        <f t="shared" si="2"/>
        <v>1373.9999999999998</v>
      </c>
      <c r="O10" s="36"/>
      <c r="P10" s="37"/>
      <c r="Q10" s="37"/>
      <c r="R10" s="38"/>
      <c r="S10" s="38"/>
      <c r="T10" s="110"/>
      <c r="U10" s="125"/>
      <c r="V10" s="162"/>
      <c r="W10" s="114"/>
      <c r="X10" s="162"/>
      <c r="Y10" s="114"/>
      <c r="Z10" s="162"/>
      <c r="AA10" s="114"/>
      <c r="AB10" s="162"/>
      <c r="AC10" s="114"/>
      <c r="AD10" s="162"/>
      <c r="AE10" s="162">
        <v>-44.1</v>
      </c>
      <c r="AF10" s="162"/>
      <c r="AG10" s="117">
        <f t="shared" si="3"/>
        <v>-44.1</v>
      </c>
      <c r="AH10" s="117">
        <f t="shared" si="4"/>
        <v>0</v>
      </c>
      <c r="AI10" s="151">
        <f t="shared" si="5"/>
        <v>-44.1</v>
      </c>
    </row>
    <row r="11" spans="1:35" ht="28.75" customHeight="1" x14ac:dyDescent="0.3">
      <c r="A11" s="27" t="s">
        <v>55</v>
      </c>
      <c r="B11" s="28">
        <f t="shared" ref="B11:K11" si="8">SUBTOTAL(109,B7:B10)</f>
        <v>1</v>
      </c>
      <c r="C11" s="28">
        <f t="shared" si="8"/>
        <v>24</v>
      </c>
      <c r="D11" s="28">
        <f t="shared" si="8"/>
        <v>2</v>
      </c>
      <c r="E11" s="28">
        <f t="shared" si="8"/>
        <v>0</v>
      </c>
      <c r="F11" s="28">
        <f t="shared" si="8"/>
        <v>0</v>
      </c>
      <c r="G11" s="28">
        <f t="shared" si="8"/>
        <v>26</v>
      </c>
      <c r="H11" s="28">
        <f t="shared" si="8"/>
        <v>1.1100000000000001</v>
      </c>
      <c r="I11" s="28">
        <f t="shared" si="8"/>
        <v>1.3730000000000002</v>
      </c>
      <c r="J11" s="39">
        <f t="shared" si="8"/>
        <v>500</v>
      </c>
      <c r="K11" s="39">
        <f t="shared" si="8"/>
        <v>1723.8</v>
      </c>
      <c r="L11" s="39">
        <f>SUM(K11:K11)/SUM(H11:I11)</f>
        <v>694.24083769633489</v>
      </c>
      <c r="M11" s="39">
        <f t="shared" si="1"/>
        <v>276.51107531212244</v>
      </c>
      <c r="N11" s="39">
        <f>L11+M11</f>
        <v>970.75191300845734</v>
      </c>
      <c r="O11" s="39">
        <f>J11/H11</f>
        <v>450.45045045045043</v>
      </c>
      <c r="P11" s="40">
        <f>$B$69</f>
        <v>125</v>
      </c>
      <c r="Q11" s="40">
        <f>O11+P11</f>
        <v>575.45045045045049</v>
      </c>
      <c r="R11" s="40">
        <f>K11/I11</f>
        <v>1255.4989075018207</v>
      </c>
      <c r="S11" s="40">
        <f>$B$68</f>
        <v>399</v>
      </c>
      <c r="T11" s="111">
        <f>R11+S11</f>
        <v>1654.4989075018207</v>
      </c>
      <c r="U11" s="185">
        <f t="shared" ref="U11:AF11" si="9">SUBTOTAL(109,U7:U10)</f>
        <v>0</v>
      </c>
      <c r="V11" s="39">
        <f t="shared" si="9"/>
        <v>0</v>
      </c>
      <c r="W11" s="28">
        <f t="shared" si="9"/>
        <v>0</v>
      </c>
      <c r="X11" s="39">
        <f t="shared" si="9"/>
        <v>0</v>
      </c>
      <c r="Y11" s="28">
        <f t="shared" si="9"/>
        <v>0</v>
      </c>
      <c r="Z11" s="39">
        <f t="shared" si="9"/>
        <v>0</v>
      </c>
      <c r="AA11" s="28">
        <f t="shared" si="9"/>
        <v>0</v>
      </c>
      <c r="AB11" s="39">
        <f t="shared" si="9"/>
        <v>0</v>
      </c>
      <c r="AC11" s="28">
        <f t="shared" si="9"/>
        <v>0</v>
      </c>
      <c r="AD11" s="39">
        <f t="shared" si="9"/>
        <v>0</v>
      </c>
      <c r="AE11" s="39">
        <f t="shared" si="9"/>
        <v>-44.1</v>
      </c>
      <c r="AF11" s="39">
        <f t="shared" si="9"/>
        <v>0</v>
      </c>
      <c r="AG11" s="123">
        <f>AD11+AE11+AF11</f>
        <v>-44.1</v>
      </c>
      <c r="AH11" s="123">
        <f t="shared" si="4"/>
        <v>0</v>
      </c>
      <c r="AI11" s="152">
        <f t="shared" si="5"/>
        <v>-44.1</v>
      </c>
    </row>
    <row r="12" spans="1:35" ht="28.75" customHeight="1" x14ac:dyDescent="0.25">
      <c r="A12" s="19">
        <f>A10+7</f>
        <v>43526</v>
      </c>
      <c r="B12" s="5"/>
      <c r="C12" s="5">
        <v>6</v>
      </c>
      <c r="D12" s="5"/>
      <c r="E12" s="5"/>
      <c r="F12" s="5"/>
      <c r="G12" s="98">
        <f>SUM(C12:F12)</f>
        <v>6</v>
      </c>
      <c r="H12" s="6"/>
      <c r="I12" s="6">
        <v>0.32</v>
      </c>
      <c r="J12" s="34"/>
      <c r="K12" s="34">
        <f>417.69/1.05</f>
        <v>397.79999999999995</v>
      </c>
      <c r="L12" s="35">
        <f>SUM(K12:K12)/SUM(H12:I12)</f>
        <v>1243.1249999999998</v>
      </c>
      <c r="M12" s="35">
        <f t="shared" si="1"/>
        <v>399</v>
      </c>
      <c r="N12" s="35">
        <f>L12+M12</f>
        <v>1642.1249999999998</v>
      </c>
      <c r="O12" s="36"/>
      <c r="P12" s="37"/>
      <c r="Q12" s="37"/>
      <c r="R12" s="38"/>
      <c r="S12" s="38"/>
      <c r="T12" s="110"/>
      <c r="U12" s="125"/>
      <c r="V12" s="162"/>
      <c r="W12" s="114"/>
      <c r="X12" s="162"/>
      <c r="Y12" s="114"/>
      <c r="Z12" s="162"/>
      <c r="AA12" s="114"/>
      <c r="AB12" s="162"/>
      <c r="AC12" s="114"/>
      <c r="AD12" s="162"/>
      <c r="AE12" s="162"/>
      <c r="AF12" s="162"/>
      <c r="AG12" s="117">
        <f t="shared" si="3"/>
        <v>0</v>
      </c>
      <c r="AH12" s="117">
        <f t="shared" si="4"/>
        <v>0</v>
      </c>
      <c r="AI12" s="151">
        <f t="shared" si="5"/>
        <v>0</v>
      </c>
    </row>
    <row r="13" spans="1:35" s="17" customFormat="1" ht="28.75" customHeight="1" x14ac:dyDescent="0.3">
      <c r="A13" s="19">
        <f>A12+7</f>
        <v>43533</v>
      </c>
      <c r="B13" s="5"/>
      <c r="C13" s="5">
        <v>6</v>
      </c>
      <c r="D13" s="5"/>
      <c r="E13" s="5"/>
      <c r="F13" s="5"/>
      <c r="G13" s="98">
        <f>SUM(C13:F13)</f>
        <v>6</v>
      </c>
      <c r="H13" s="6"/>
      <c r="I13" s="6">
        <v>0.25</v>
      </c>
      <c r="J13" s="34"/>
      <c r="K13" s="34">
        <f>417.69/1.05</f>
        <v>397.79999999999995</v>
      </c>
      <c r="L13" s="35">
        <f t="shared" si="0"/>
        <v>1591.1999999999998</v>
      </c>
      <c r="M13" s="35">
        <f t="shared" si="1"/>
        <v>399</v>
      </c>
      <c r="N13" s="35">
        <f t="shared" si="2"/>
        <v>1990.1999999999998</v>
      </c>
      <c r="O13" s="36"/>
      <c r="P13" s="37"/>
      <c r="Q13" s="37"/>
      <c r="R13" s="38"/>
      <c r="S13" s="38"/>
      <c r="T13" s="110"/>
      <c r="U13" s="124"/>
      <c r="V13" s="163"/>
      <c r="W13" s="115"/>
      <c r="X13" s="162"/>
      <c r="Y13" s="114"/>
      <c r="Z13" s="162"/>
      <c r="AA13" s="114"/>
      <c r="AB13" s="162"/>
      <c r="AC13" s="115"/>
      <c r="AD13" s="163"/>
      <c r="AE13" s="163"/>
      <c r="AF13" s="163"/>
      <c r="AG13" s="117">
        <f t="shared" si="3"/>
        <v>0</v>
      </c>
      <c r="AH13" s="117">
        <f t="shared" si="4"/>
        <v>0</v>
      </c>
      <c r="AI13" s="151">
        <f t="shared" si="5"/>
        <v>0</v>
      </c>
    </row>
    <row r="14" spans="1:35" ht="28.75" customHeight="1" x14ac:dyDescent="0.3">
      <c r="A14" s="19">
        <f>A13+7</f>
        <v>43540</v>
      </c>
      <c r="B14" s="5">
        <v>1</v>
      </c>
      <c r="C14" s="5"/>
      <c r="D14" s="5"/>
      <c r="E14" s="5"/>
      <c r="F14" s="5"/>
      <c r="G14" s="98">
        <f>SUM(C14:F14)</f>
        <v>0</v>
      </c>
      <c r="H14" s="6">
        <v>1.27</v>
      </c>
      <c r="I14" s="6">
        <v>0.59</v>
      </c>
      <c r="J14" s="34">
        <f>525/1.05</f>
        <v>500</v>
      </c>
      <c r="K14" s="34">
        <f>278.46/1.05</f>
        <v>265.2</v>
      </c>
      <c r="L14" s="35">
        <f t="shared" si="0"/>
        <v>142.58064516129033</v>
      </c>
      <c r="M14" s="35">
        <f t="shared" si="1"/>
        <v>211.91397849462365</v>
      </c>
      <c r="N14" s="35">
        <f t="shared" si="2"/>
        <v>354.49462365591398</v>
      </c>
      <c r="O14" s="36"/>
      <c r="P14" s="37"/>
      <c r="Q14" s="37"/>
      <c r="R14" s="38"/>
      <c r="S14" s="38"/>
      <c r="T14" s="110"/>
      <c r="U14" s="125"/>
      <c r="V14" s="162"/>
      <c r="W14" s="114"/>
      <c r="X14" s="163"/>
      <c r="Y14" s="115"/>
      <c r="Z14" s="163"/>
      <c r="AA14" s="115"/>
      <c r="AB14" s="163"/>
      <c r="AC14" s="114"/>
      <c r="AD14" s="162"/>
      <c r="AE14" s="162"/>
      <c r="AF14" s="162"/>
      <c r="AG14" s="117">
        <f t="shared" si="3"/>
        <v>0</v>
      </c>
      <c r="AH14" s="117">
        <f t="shared" si="4"/>
        <v>0</v>
      </c>
      <c r="AI14" s="151">
        <f t="shared" si="5"/>
        <v>0</v>
      </c>
    </row>
    <row r="15" spans="1:35" ht="28.75" customHeight="1" x14ac:dyDescent="0.25">
      <c r="A15" s="19">
        <f>A14+7</f>
        <v>43547</v>
      </c>
      <c r="B15" s="5"/>
      <c r="C15" s="5"/>
      <c r="D15" s="5"/>
      <c r="E15" s="5"/>
      <c r="F15" s="5"/>
      <c r="G15" s="98">
        <f>SUM(C15:F15)</f>
        <v>0</v>
      </c>
      <c r="H15" s="6"/>
      <c r="I15" s="6">
        <v>0.51</v>
      </c>
      <c r="J15" s="34"/>
      <c r="K15" s="34">
        <v>626.54</v>
      </c>
      <c r="L15" s="35">
        <f t="shared" si="0"/>
        <v>1228.5098039215686</v>
      </c>
      <c r="M15" s="35">
        <f t="shared" si="1"/>
        <v>399</v>
      </c>
      <c r="N15" s="35">
        <f t="shared" si="2"/>
        <v>1627.5098039215686</v>
      </c>
      <c r="O15" s="36"/>
      <c r="P15" s="37"/>
      <c r="Q15" s="37"/>
      <c r="R15" s="38"/>
      <c r="S15" s="38"/>
      <c r="T15" s="110"/>
      <c r="U15" s="125"/>
      <c r="V15" s="162"/>
      <c r="W15" s="114"/>
      <c r="X15" s="162"/>
      <c r="Y15" s="114"/>
      <c r="Z15" s="162"/>
      <c r="AA15" s="114"/>
      <c r="AB15" s="162"/>
      <c r="AC15" s="114"/>
      <c r="AD15" s="162"/>
      <c r="AE15" s="162"/>
      <c r="AF15" s="162"/>
      <c r="AG15" s="117">
        <f t="shared" si="3"/>
        <v>0</v>
      </c>
      <c r="AH15" s="117">
        <f t="shared" si="4"/>
        <v>0</v>
      </c>
      <c r="AI15" s="151">
        <f t="shared" si="5"/>
        <v>0</v>
      </c>
    </row>
    <row r="16" spans="1:35" ht="28.75" customHeight="1" x14ac:dyDescent="0.25">
      <c r="A16" s="19">
        <f>A15+7</f>
        <v>43554</v>
      </c>
      <c r="B16" s="5"/>
      <c r="C16" s="49"/>
      <c r="D16" s="49"/>
      <c r="E16" s="49"/>
      <c r="F16" s="49"/>
      <c r="G16" s="98">
        <f>SUM(C16:F16)</f>
        <v>0</v>
      </c>
      <c r="H16" s="50"/>
      <c r="I16" s="50">
        <v>0.47</v>
      </c>
      <c r="J16" s="34"/>
      <c r="K16" s="34">
        <f>487.31/1.05</f>
        <v>464.10476190476192</v>
      </c>
      <c r="L16" s="35">
        <f t="shared" si="0"/>
        <v>987.45694022289774</v>
      </c>
      <c r="M16" s="35">
        <f t="shared" si="1"/>
        <v>399</v>
      </c>
      <c r="N16" s="35">
        <f t="shared" si="2"/>
        <v>1386.4569402228976</v>
      </c>
      <c r="O16" s="36"/>
      <c r="P16" s="37"/>
      <c r="Q16" s="37"/>
      <c r="R16" s="38"/>
      <c r="S16" s="38"/>
      <c r="T16" s="110"/>
      <c r="U16" s="125"/>
      <c r="V16" s="162"/>
      <c r="W16" s="114"/>
      <c r="X16" s="162"/>
      <c r="Y16" s="114"/>
      <c r="Z16" s="162"/>
      <c r="AA16" s="114"/>
      <c r="AB16" s="162"/>
      <c r="AC16" s="114"/>
      <c r="AD16" s="162"/>
      <c r="AE16" s="162">
        <v>-40.950000000000003</v>
      </c>
      <c r="AF16" s="162"/>
      <c r="AG16" s="117">
        <f t="shared" si="3"/>
        <v>-40.950000000000003</v>
      </c>
      <c r="AH16" s="117">
        <f t="shared" si="4"/>
        <v>0</v>
      </c>
      <c r="AI16" s="151">
        <f t="shared" si="5"/>
        <v>-40.950000000000003</v>
      </c>
    </row>
    <row r="17" spans="1:35" s="17" customFormat="1" ht="28.75" customHeight="1" x14ac:dyDescent="0.3">
      <c r="A17" s="27" t="s">
        <v>56</v>
      </c>
      <c r="B17" s="28">
        <f t="shared" ref="B17:K17" si="10">SUBTOTAL(109,B12:B16)</f>
        <v>1</v>
      </c>
      <c r="C17" s="28">
        <f t="shared" si="10"/>
        <v>12</v>
      </c>
      <c r="D17" s="28">
        <f t="shared" si="10"/>
        <v>0</v>
      </c>
      <c r="E17" s="28">
        <f t="shared" si="10"/>
        <v>0</v>
      </c>
      <c r="F17" s="28">
        <f t="shared" si="10"/>
        <v>0</v>
      </c>
      <c r="G17" s="28">
        <f t="shared" si="10"/>
        <v>12</v>
      </c>
      <c r="H17" s="28">
        <f t="shared" si="10"/>
        <v>1.27</v>
      </c>
      <c r="I17" s="28">
        <f t="shared" si="10"/>
        <v>2.14</v>
      </c>
      <c r="J17" s="39">
        <f t="shared" si="10"/>
        <v>500</v>
      </c>
      <c r="K17" s="39">
        <f t="shared" si="10"/>
        <v>2151.4447619047619</v>
      </c>
      <c r="L17" s="39">
        <f t="shared" si="0"/>
        <v>630.92221756737888</v>
      </c>
      <c r="M17" s="39">
        <f t="shared" si="1"/>
        <v>296.95307917888562</v>
      </c>
      <c r="N17" s="39">
        <f t="shared" si="2"/>
        <v>927.87529674626444</v>
      </c>
      <c r="O17" s="39">
        <f>J17/H17</f>
        <v>393.70078740157481</v>
      </c>
      <c r="P17" s="40">
        <f>$B$69</f>
        <v>125</v>
      </c>
      <c r="Q17" s="40">
        <f>O17+P17</f>
        <v>518.70078740157487</v>
      </c>
      <c r="R17" s="40">
        <f>K17/I17</f>
        <v>1005.3480195816644</v>
      </c>
      <c r="S17" s="40">
        <f>$B$68</f>
        <v>399</v>
      </c>
      <c r="T17" s="111">
        <f>R17+S17</f>
        <v>1404.3480195816644</v>
      </c>
      <c r="U17" s="185">
        <f t="shared" ref="U17:AF17" si="11">SUBTOTAL(109,U12:U16)</f>
        <v>0</v>
      </c>
      <c r="V17" s="39">
        <f t="shared" si="11"/>
        <v>0</v>
      </c>
      <c r="W17" s="28">
        <f t="shared" si="11"/>
        <v>0</v>
      </c>
      <c r="X17" s="39">
        <f t="shared" si="11"/>
        <v>0</v>
      </c>
      <c r="Y17" s="28">
        <f t="shared" si="11"/>
        <v>0</v>
      </c>
      <c r="Z17" s="39">
        <f t="shared" si="11"/>
        <v>0</v>
      </c>
      <c r="AA17" s="28">
        <f t="shared" si="11"/>
        <v>0</v>
      </c>
      <c r="AB17" s="39">
        <f t="shared" si="11"/>
        <v>0</v>
      </c>
      <c r="AC17" s="28">
        <f t="shared" si="11"/>
        <v>0</v>
      </c>
      <c r="AD17" s="39">
        <f t="shared" si="11"/>
        <v>0</v>
      </c>
      <c r="AE17" s="39">
        <f t="shared" si="11"/>
        <v>-40.950000000000003</v>
      </c>
      <c r="AF17" s="39">
        <f t="shared" si="11"/>
        <v>0</v>
      </c>
      <c r="AG17" s="123">
        <f>AD17+AE17+AF17</f>
        <v>-40.950000000000003</v>
      </c>
      <c r="AH17" s="28">
        <f>SUBTOTAL(109,AH12:AH16)</f>
        <v>0</v>
      </c>
      <c r="AI17" s="152">
        <f t="shared" si="5"/>
        <v>-40.950000000000003</v>
      </c>
    </row>
    <row r="18" spans="1:35" ht="28.75" customHeight="1" x14ac:dyDescent="0.3">
      <c r="A18" s="19">
        <f>A16+7</f>
        <v>43561</v>
      </c>
      <c r="B18" s="5"/>
      <c r="C18" s="49">
        <v>4</v>
      </c>
      <c r="D18" s="49"/>
      <c r="E18" s="49"/>
      <c r="F18" s="49"/>
      <c r="G18" s="98">
        <f>SUM(C18:F18)</f>
        <v>4</v>
      </c>
      <c r="H18" s="50"/>
      <c r="I18" s="50">
        <v>0.31</v>
      </c>
      <c r="J18" s="34"/>
      <c r="K18" s="199">
        <f>278.46/1.05</f>
        <v>265.2</v>
      </c>
      <c r="L18" s="35">
        <f t="shared" si="0"/>
        <v>855.48387096774195</v>
      </c>
      <c r="M18" s="35">
        <f t="shared" si="1"/>
        <v>399</v>
      </c>
      <c r="N18" s="35">
        <f t="shared" si="2"/>
        <v>1254.483870967742</v>
      </c>
      <c r="O18" s="36"/>
      <c r="P18" s="37"/>
      <c r="Q18" s="37"/>
      <c r="R18" s="38"/>
      <c r="S18" s="38"/>
      <c r="T18" s="110"/>
      <c r="U18" s="125"/>
      <c r="V18" s="162"/>
      <c r="W18" s="114"/>
      <c r="X18" s="163"/>
      <c r="Y18" s="115"/>
      <c r="Z18" s="163"/>
      <c r="AA18" s="115"/>
      <c r="AB18" s="163"/>
      <c r="AC18" s="114"/>
      <c r="AD18" s="162"/>
      <c r="AE18" s="162"/>
      <c r="AF18" s="162"/>
      <c r="AG18" s="117">
        <f t="shared" si="3"/>
        <v>0</v>
      </c>
      <c r="AH18" s="117">
        <f t="shared" si="4"/>
        <v>0</v>
      </c>
      <c r="AI18" s="151">
        <f t="shared" si="5"/>
        <v>0</v>
      </c>
    </row>
    <row r="19" spans="1:35" ht="28.75" customHeight="1" x14ac:dyDescent="0.25">
      <c r="A19" s="19">
        <f>A18+7</f>
        <v>43568</v>
      </c>
      <c r="B19" s="5"/>
      <c r="C19" s="49">
        <v>18</v>
      </c>
      <c r="D19" s="49"/>
      <c r="E19" s="49"/>
      <c r="F19" s="49"/>
      <c r="G19" s="98">
        <f>SUM(C19:F19)</f>
        <v>18</v>
      </c>
      <c r="H19" s="50">
        <v>1.1299999999999999</v>
      </c>
      <c r="I19" s="50">
        <v>0.73</v>
      </c>
      <c r="J19" s="34">
        <f>525/1.05</f>
        <v>500</v>
      </c>
      <c r="K19" s="199">
        <f>1253.07/1.05</f>
        <v>1193.3999999999999</v>
      </c>
      <c r="L19" s="35">
        <f t="shared" ref="L19:L66" si="12">SUM(K19:K19)/SUM(H19:I19)</f>
        <v>641.61290322580646</v>
      </c>
      <c r="M19" s="35">
        <f t="shared" si="1"/>
        <v>232.53763440860214</v>
      </c>
      <c r="N19" s="35">
        <f t="shared" si="2"/>
        <v>874.15053763440858</v>
      </c>
      <c r="O19" s="36"/>
      <c r="P19" s="37"/>
      <c r="Q19" s="37"/>
      <c r="R19" s="38"/>
      <c r="S19" s="38"/>
      <c r="T19" s="110"/>
      <c r="U19" s="125"/>
      <c r="V19" s="162"/>
      <c r="W19" s="114"/>
      <c r="X19" s="162"/>
      <c r="Y19" s="114"/>
      <c r="Z19" s="162"/>
      <c r="AA19" s="114"/>
      <c r="AB19" s="162"/>
      <c r="AC19" s="114"/>
      <c r="AD19" s="162"/>
      <c r="AE19" s="162"/>
      <c r="AF19" s="162"/>
      <c r="AG19" s="117">
        <f t="shared" si="3"/>
        <v>0</v>
      </c>
      <c r="AH19" s="117">
        <f t="shared" si="4"/>
        <v>0</v>
      </c>
      <c r="AI19" s="151">
        <f t="shared" si="5"/>
        <v>0</v>
      </c>
    </row>
    <row r="20" spans="1:35" s="214" customFormat="1" ht="28.75" customHeight="1" x14ac:dyDescent="0.35">
      <c r="A20" s="203">
        <f>A19+7</f>
        <v>43575</v>
      </c>
      <c r="B20" s="204"/>
      <c r="C20" s="205"/>
      <c r="D20" s="205"/>
      <c r="E20" s="205"/>
      <c r="F20" s="205"/>
      <c r="G20" s="204">
        <f>SUM(C20:F20)</f>
        <v>0</v>
      </c>
      <c r="H20" s="205"/>
      <c r="I20" s="205"/>
      <c r="J20" s="206"/>
      <c r="K20" s="206"/>
      <c r="L20" s="207"/>
      <c r="M20" s="207"/>
      <c r="N20" s="207"/>
      <c r="O20" s="207"/>
      <c r="P20" s="208"/>
      <c r="Q20" s="208"/>
      <c r="R20" s="208"/>
      <c r="S20" s="208"/>
      <c r="T20" s="209"/>
      <c r="U20" s="210"/>
      <c r="V20" s="208"/>
      <c r="W20" s="211"/>
      <c r="X20" s="208"/>
      <c r="Y20" s="211"/>
      <c r="Z20" s="208"/>
      <c r="AA20" s="211"/>
      <c r="AB20" s="208"/>
      <c r="AC20" s="211"/>
      <c r="AD20" s="208"/>
      <c r="AE20" s="208"/>
      <c r="AF20" s="208"/>
      <c r="AG20" s="212">
        <f t="shared" si="3"/>
        <v>0</v>
      </c>
      <c r="AH20" s="212">
        <f t="shared" si="4"/>
        <v>0</v>
      </c>
      <c r="AI20" s="213">
        <f t="shared" si="5"/>
        <v>0</v>
      </c>
    </row>
    <row r="21" spans="1:35" ht="28.75" customHeight="1" x14ac:dyDescent="0.25">
      <c r="A21" s="19">
        <f>A20+7</f>
        <v>43582</v>
      </c>
      <c r="B21" s="5"/>
      <c r="C21" s="49">
        <v>9</v>
      </c>
      <c r="D21" s="49"/>
      <c r="E21" s="49"/>
      <c r="F21" s="49"/>
      <c r="G21" s="98">
        <f>SUM(C21:F21)</f>
        <v>9</v>
      </c>
      <c r="H21" s="50"/>
      <c r="I21" s="50">
        <v>0.63</v>
      </c>
      <c r="J21" s="34"/>
      <c r="K21" s="199">
        <f>626.54/1.05</f>
        <v>596.70476190476188</v>
      </c>
      <c r="L21" s="35">
        <f t="shared" si="12"/>
        <v>947.1504157218443</v>
      </c>
      <c r="M21" s="35">
        <f t="shared" ref="M21:M35" si="13">($B$68*I21+$B$69*H21)/SUM(H21:I21)</f>
        <v>399</v>
      </c>
      <c r="N21" s="35">
        <f t="shared" si="2"/>
        <v>1346.1504157218442</v>
      </c>
      <c r="O21" s="36"/>
      <c r="P21" s="37"/>
      <c r="Q21" s="37"/>
      <c r="R21" s="38"/>
      <c r="S21" s="38"/>
      <c r="T21" s="110"/>
      <c r="U21" s="125"/>
      <c r="V21" s="162"/>
      <c r="W21" s="114"/>
      <c r="X21" s="162"/>
      <c r="Y21" s="114"/>
      <c r="Z21" s="162"/>
      <c r="AA21" s="114"/>
      <c r="AB21" s="162"/>
      <c r="AC21" s="114"/>
      <c r="AD21" s="162">
        <v>589.75</v>
      </c>
      <c r="AE21" s="162">
        <v>-727.65</v>
      </c>
      <c r="AF21" s="162"/>
      <c r="AG21" s="117">
        <f t="shared" si="3"/>
        <v>-727.65</v>
      </c>
      <c r="AH21" s="117">
        <f t="shared" si="4"/>
        <v>0</v>
      </c>
      <c r="AI21" s="151">
        <f t="shared" si="5"/>
        <v>-727.65</v>
      </c>
    </row>
    <row r="22" spans="1:35" s="17" customFormat="1" ht="28.75" customHeight="1" x14ac:dyDescent="0.3">
      <c r="A22" s="27" t="s">
        <v>57</v>
      </c>
      <c r="B22" s="28">
        <f t="shared" ref="B22:J22" si="14">SUBTOTAL(109,B18:B21)</f>
        <v>0</v>
      </c>
      <c r="C22" s="28">
        <f t="shared" si="14"/>
        <v>31</v>
      </c>
      <c r="D22" s="28">
        <f t="shared" si="14"/>
        <v>0</v>
      </c>
      <c r="E22" s="28">
        <f t="shared" si="14"/>
        <v>0</v>
      </c>
      <c r="F22" s="28">
        <f t="shared" si="14"/>
        <v>0</v>
      </c>
      <c r="G22" s="28">
        <f t="shared" si="14"/>
        <v>31</v>
      </c>
      <c r="H22" s="28">
        <f t="shared" si="14"/>
        <v>1.1299999999999999</v>
      </c>
      <c r="I22" s="28">
        <f t="shared" si="14"/>
        <v>1.67</v>
      </c>
      <c r="J22" s="39">
        <f t="shared" si="14"/>
        <v>500</v>
      </c>
      <c r="K22" s="39">
        <f>SUBTOTAL(109,K18:K21)</f>
        <v>2055.304761904762</v>
      </c>
      <c r="L22" s="39">
        <f t="shared" si="12"/>
        <v>734.0374149659865</v>
      </c>
      <c r="M22" s="39">
        <f t="shared" si="13"/>
        <v>288.42142857142858</v>
      </c>
      <c r="N22" s="39">
        <f t="shared" si="2"/>
        <v>1022.4588435374151</v>
      </c>
      <c r="O22" s="39">
        <f>J22/H22</f>
        <v>442.47787610619474</v>
      </c>
      <c r="P22" s="40">
        <f>$B$69</f>
        <v>125</v>
      </c>
      <c r="Q22" s="40">
        <f>O22+P22</f>
        <v>567.4778761061948</v>
      </c>
      <c r="R22" s="40">
        <f>K22/I22</f>
        <v>1230.7214143142287</v>
      </c>
      <c r="S22" s="40">
        <f>$B$68</f>
        <v>399</v>
      </c>
      <c r="T22" s="111">
        <f>R22+S22</f>
        <v>1629.7214143142287</v>
      </c>
      <c r="U22" s="185">
        <f t="shared" ref="U22:AF22" si="15">SUBTOTAL(109,U18:U21)</f>
        <v>0</v>
      </c>
      <c r="V22" s="39">
        <f t="shared" si="15"/>
        <v>0</v>
      </c>
      <c r="W22" s="28">
        <f t="shared" si="15"/>
        <v>0</v>
      </c>
      <c r="X22" s="39">
        <f t="shared" si="15"/>
        <v>0</v>
      </c>
      <c r="Y22" s="28">
        <f t="shared" si="15"/>
        <v>0</v>
      </c>
      <c r="Z22" s="39">
        <f t="shared" si="15"/>
        <v>0</v>
      </c>
      <c r="AA22" s="28">
        <f t="shared" si="15"/>
        <v>0</v>
      </c>
      <c r="AB22" s="39">
        <f t="shared" si="15"/>
        <v>0</v>
      </c>
      <c r="AC22" s="28">
        <f t="shared" si="15"/>
        <v>0</v>
      </c>
      <c r="AD22" s="39">
        <f t="shared" si="15"/>
        <v>589.75</v>
      </c>
      <c r="AE22" s="39">
        <f t="shared" si="15"/>
        <v>-727.65</v>
      </c>
      <c r="AF22" s="39">
        <f t="shared" si="15"/>
        <v>0</v>
      </c>
      <c r="AG22" s="180">
        <f>AD22+AE22+AF22</f>
        <v>-137.89999999999998</v>
      </c>
      <c r="AH22" s="123">
        <f t="shared" si="4"/>
        <v>0</v>
      </c>
      <c r="AI22" s="152">
        <f t="shared" si="5"/>
        <v>-137.89999999999998</v>
      </c>
    </row>
    <row r="23" spans="1:35" s="214" customFormat="1" ht="28.75" customHeight="1" x14ac:dyDescent="0.35">
      <c r="A23" s="203">
        <f>A21+7</f>
        <v>43589</v>
      </c>
      <c r="B23" s="204"/>
      <c r="C23" s="211"/>
      <c r="D23" s="211"/>
      <c r="E23" s="211"/>
      <c r="F23" s="211"/>
      <c r="G23" s="204">
        <f>SUM(C23:F23)</f>
        <v>0</v>
      </c>
      <c r="H23" s="204"/>
      <c r="I23" s="211"/>
      <c r="J23" s="207"/>
      <c r="K23" s="208"/>
      <c r="L23" s="207" t="e">
        <f t="shared" si="12"/>
        <v>#DIV/0!</v>
      </c>
      <c r="M23" s="207" t="e">
        <f t="shared" si="13"/>
        <v>#DIV/0!</v>
      </c>
      <c r="N23" s="207" t="e">
        <f t="shared" si="2"/>
        <v>#DIV/0!</v>
      </c>
      <c r="O23" s="207"/>
      <c r="P23" s="208"/>
      <c r="Q23" s="208"/>
      <c r="R23" s="208"/>
      <c r="S23" s="208"/>
      <c r="T23" s="209"/>
      <c r="U23" s="210"/>
      <c r="V23" s="208"/>
      <c r="W23" s="211"/>
      <c r="X23" s="208"/>
      <c r="Y23" s="211"/>
      <c r="Z23" s="208"/>
      <c r="AA23" s="211"/>
      <c r="AB23" s="208"/>
      <c r="AC23" s="211"/>
      <c r="AD23" s="208"/>
      <c r="AE23" s="208"/>
      <c r="AF23" s="208"/>
      <c r="AG23" s="215">
        <f t="shared" si="3"/>
        <v>0</v>
      </c>
      <c r="AH23" s="212">
        <f t="shared" si="4"/>
        <v>0</v>
      </c>
      <c r="AI23" s="213">
        <f t="shared" si="5"/>
        <v>0</v>
      </c>
    </row>
    <row r="24" spans="1:35" s="214" customFormat="1" ht="28.75" customHeight="1" x14ac:dyDescent="0.35">
      <c r="A24" s="203">
        <f>A23+7</f>
        <v>43596</v>
      </c>
      <c r="B24" s="204"/>
      <c r="C24" s="211"/>
      <c r="D24" s="211"/>
      <c r="E24" s="211"/>
      <c r="F24" s="211"/>
      <c r="G24" s="204">
        <f>SUM(C24:F24)</f>
        <v>0</v>
      </c>
      <c r="H24" s="204"/>
      <c r="I24" s="211"/>
      <c r="J24" s="207">
        <f>320.66/1.05</f>
        <v>305.39047619047619</v>
      </c>
      <c r="K24" s="208"/>
      <c r="L24" s="207" t="e">
        <f t="shared" si="12"/>
        <v>#DIV/0!</v>
      </c>
      <c r="M24" s="207" t="e">
        <f t="shared" si="13"/>
        <v>#DIV/0!</v>
      </c>
      <c r="N24" s="207" t="e">
        <f t="shared" si="2"/>
        <v>#DIV/0!</v>
      </c>
      <c r="O24" s="207"/>
      <c r="P24" s="208"/>
      <c r="Q24" s="208"/>
      <c r="R24" s="208"/>
      <c r="S24" s="208"/>
      <c r="T24" s="209"/>
      <c r="U24" s="210"/>
      <c r="V24" s="208"/>
      <c r="W24" s="211"/>
      <c r="X24" s="208"/>
      <c r="Y24" s="211"/>
      <c r="Z24" s="208"/>
      <c r="AA24" s="211"/>
      <c r="AB24" s="208"/>
      <c r="AC24" s="211"/>
      <c r="AD24" s="208"/>
      <c r="AE24" s="208"/>
      <c r="AF24" s="208"/>
      <c r="AG24" s="215">
        <f t="shared" si="3"/>
        <v>0</v>
      </c>
      <c r="AH24" s="212">
        <f t="shared" si="4"/>
        <v>0</v>
      </c>
      <c r="AI24" s="213">
        <f t="shared" si="5"/>
        <v>0</v>
      </c>
    </row>
    <row r="25" spans="1:35" ht="28.75" customHeight="1" x14ac:dyDescent="0.25">
      <c r="A25" s="19">
        <f>A24+7</f>
        <v>43603</v>
      </c>
      <c r="B25" s="5"/>
      <c r="C25" s="49">
        <v>10</v>
      </c>
      <c r="D25" s="49"/>
      <c r="E25" s="49"/>
      <c r="F25" s="49"/>
      <c r="G25" s="98">
        <f>SUM(C25:F25)</f>
        <v>10</v>
      </c>
      <c r="H25" s="6"/>
      <c r="I25" s="6">
        <v>0.61</v>
      </c>
      <c r="J25" s="34"/>
      <c r="K25" s="34">
        <f>626.54/1.05</f>
        <v>596.70476190476188</v>
      </c>
      <c r="L25" s="35">
        <f t="shared" si="12"/>
        <v>978.20452771272437</v>
      </c>
      <c r="M25" s="35">
        <f t="shared" si="13"/>
        <v>399</v>
      </c>
      <c r="N25" s="35">
        <f t="shared" si="2"/>
        <v>1377.2045277127245</v>
      </c>
      <c r="O25" s="36"/>
      <c r="P25" s="37"/>
      <c r="Q25" s="37"/>
      <c r="R25" s="38"/>
      <c r="S25" s="38"/>
      <c r="T25" s="110"/>
      <c r="U25" s="125"/>
      <c r="V25" s="162"/>
      <c r="W25" s="114"/>
      <c r="X25" s="162"/>
      <c r="Y25" s="114"/>
      <c r="Z25" s="162"/>
      <c r="AA25" s="114"/>
      <c r="AB25" s="162"/>
      <c r="AC25" s="114"/>
      <c r="AD25" s="162"/>
      <c r="AE25" s="162"/>
      <c r="AF25" s="162"/>
      <c r="AG25" s="161">
        <f t="shared" si="3"/>
        <v>0</v>
      </c>
      <c r="AH25" s="117">
        <f t="shared" si="4"/>
        <v>0</v>
      </c>
      <c r="AI25" s="151">
        <f t="shared" si="5"/>
        <v>0</v>
      </c>
    </row>
    <row r="26" spans="1:35" ht="28.75" customHeight="1" x14ac:dyDescent="0.25">
      <c r="A26" s="19">
        <f>A25+7</f>
        <v>43610</v>
      </c>
      <c r="B26" s="5"/>
      <c r="C26" s="49">
        <v>6</v>
      </c>
      <c r="D26" s="49">
        <v>8</v>
      </c>
      <c r="E26" s="49"/>
      <c r="F26" s="49"/>
      <c r="G26" s="98">
        <f>SUM(C26:F26)</f>
        <v>14</v>
      </c>
      <c r="H26" s="6">
        <v>2.16</v>
      </c>
      <c r="I26" s="6">
        <v>1.0900000000000001</v>
      </c>
      <c r="J26" s="34"/>
      <c r="K26" s="34">
        <f>955.5/1.05</f>
        <v>910</v>
      </c>
      <c r="L26" s="35">
        <f t="shared" si="12"/>
        <v>280</v>
      </c>
      <c r="M26" s="35">
        <f t="shared" si="13"/>
        <v>216.89538461538464</v>
      </c>
      <c r="N26" s="35">
        <f t="shared" si="2"/>
        <v>496.89538461538461</v>
      </c>
      <c r="O26" s="36"/>
      <c r="P26" s="37"/>
      <c r="Q26" s="37"/>
      <c r="R26" s="38"/>
      <c r="S26" s="38"/>
      <c r="T26" s="110"/>
      <c r="U26" s="125"/>
      <c r="V26" s="162"/>
      <c r="W26" s="114">
        <v>2.7</v>
      </c>
      <c r="X26" s="162">
        <v>-592.84</v>
      </c>
      <c r="Y26" s="114"/>
      <c r="Z26" s="162"/>
      <c r="AA26" s="114"/>
      <c r="AB26" s="162"/>
      <c r="AC26" s="114"/>
      <c r="AD26" s="162"/>
      <c r="AE26" s="162"/>
      <c r="AF26" s="162"/>
      <c r="AG26" s="161">
        <f t="shared" si="3"/>
        <v>0</v>
      </c>
      <c r="AH26" s="117">
        <f t="shared" si="4"/>
        <v>2.7</v>
      </c>
      <c r="AI26" s="151">
        <f t="shared" si="5"/>
        <v>-592.84</v>
      </c>
    </row>
    <row r="27" spans="1:35" ht="28.75" customHeight="1" x14ac:dyDescent="0.25">
      <c r="A27" s="19">
        <f>A26+7</f>
        <v>43617</v>
      </c>
      <c r="B27" s="5"/>
      <c r="C27" s="5">
        <v>6</v>
      </c>
      <c r="D27" s="5"/>
      <c r="E27" s="5">
        <v>3</v>
      </c>
      <c r="F27" s="5"/>
      <c r="G27" s="98">
        <f>SUM(C27:F27)</f>
        <v>9</v>
      </c>
      <c r="H27" s="6"/>
      <c r="I27" s="6">
        <v>0.67</v>
      </c>
      <c r="J27" s="34"/>
      <c r="K27" s="34">
        <f>626.54/1.05</f>
        <v>596.70476190476188</v>
      </c>
      <c r="L27" s="35">
        <f>SUM(K27:K27)/SUM(H27:I27)</f>
        <v>890.60412224591323</v>
      </c>
      <c r="M27" s="35">
        <f t="shared" si="13"/>
        <v>399.00000000000006</v>
      </c>
      <c r="N27" s="35">
        <f>L27+M27</f>
        <v>1289.6041222459132</v>
      </c>
      <c r="O27" s="36"/>
      <c r="P27" s="37"/>
      <c r="Q27" s="37"/>
      <c r="R27" s="38"/>
      <c r="S27" s="38"/>
      <c r="T27" s="110"/>
      <c r="U27" s="125"/>
      <c r="V27" s="162"/>
      <c r="W27" s="114"/>
      <c r="X27" s="162"/>
      <c r="Y27" s="114"/>
      <c r="Z27" s="162"/>
      <c r="AA27" s="114"/>
      <c r="AB27" s="162"/>
      <c r="AC27" s="114"/>
      <c r="AD27" s="162"/>
      <c r="AE27" s="162">
        <v>-81.900000000000006</v>
      </c>
      <c r="AF27" s="162"/>
      <c r="AG27" s="161">
        <f t="shared" si="3"/>
        <v>-81.900000000000006</v>
      </c>
      <c r="AH27" s="117">
        <f t="shared" si="4"/>
        <v>0</v>
      </c>
      <c r="AI27" s="151">
        <f t="shared" si="5"/>
        <v>-81.900000000000006</v>
      </c>
    </row>
    <row r="28" spans="1:35" ht="28.75" customHeight="1" x14ac:dyDescent="0.3">
      <c r="A28" s="27" t="s">
        <v>58</v>
      </c>
      <c r="B28" s="28">
        <f>SUBTOTAL(109,B23:B27)</f>
        <v>0</v>
      </c>
      <c r="C28" s="28">
        <f t="shared" ref="C28:I28" si="16">SUBTOTAL(109,C23:C27)</f>
        <v>22</v>
      </c>
      <c r="D28" s="28">
        <f t="shared" si="16"/>
        <v>8</v>
      </c>
      <c r="E28" s="28">
        <f t="shared" si="16"/>
        <v>3</v>
      </c>
      <c r="F28" s="28">
        <f t="shared" si="16"/>
        <v>0</v>
      </c>
      <c r="G28" s="28">
        <f t="shared" si="16"/>
        <v>33</v>
      </c>
      <c r="H28" s="28">
        <f t="shared" si="16"/>
        <v>2.16</v>
      </c>
      <c r="I28" s="28">
        <f t="shared" si="16"/>
        <v>2.37</v>
      </c>
      <c r="J28" s="39">
        <f>SUBTOTAL(109,J23:J27)</f>
        <v>305.39047619047619</v>
      </c>
      <c r="K28" s="39">
        <f>SUBTOTAL(109,K23:K27)</f>
        <v>2103.4095238095238</v>
      </c>
      <c r="L28" s="39">
        <f t="shared" si="12"/>
        <v>464.32881320298537</v>
      </c>
      <c r="M28" s="39">
        <f t="shared" si="13"/>
        <v>268.35099337748346</v>
      </c>
      <c r="N28" s="39">
        <f t="shared" si="2"/>
        <v>732.67980658046883</v>
      </c>
      <c r="O28" s="39">
        <f>J28/H28</f>
        <v>141.38447971781304</v>
      </c>
      <c r="P28" s="40">
        <f>$B$69</f>
        <v>125</v>
      </c>
      <c r="Q28" s="40">
        <f>O28+P28</f>
        <v>266.38447971781306</v>
      </c>
      <c r="R28" s="40">
        <f>K28/I28</f>
        <v>887.5145670082378</v>
      </c>
      <c r="S28" s="40">
        <f>$B$68</f>
        <v>399</v>
      </c>
      <c r="T28" s="111">
        <f>R28+S28</f>
        <v>1286.5145670082379</v>
      </c>
      <c r="U28" s="185">
        <f t="shared" ref="U28:AF28" si="17">SUBTOTAL(109,U23:U27)</f>
        <v>0</v>
      </c>
      <c r="V28" s="39">
        <f t="shared" si="17"/>
        <v>0</v>
      </c>
      <c r="W28" s="28">
        <f t="shared" si="17"/>
        <v>2.7</v>
      </c>
      <c r="X28" s="39">
        <f t="shared" si="17"/>
        <v>-592.84</v>
      </c>
      <c r="Y28" s="28">
        <f t="shared" si="17"/>
        <v>0</v>
      </c>
      <c r="Z28" s="39">
        <f t="shared" si="17"/>
        <v>0</v>
      </c>
      <c r="AA28" s="28">
        <f t="shared" si="17"/>
        <v>0</v>
      </c>
      <c r="AB28" s="39">
        <f t="shared" si="17"/>
        <v>0</v>
      </c>
      <c r="AC28" s="28">
        <f t="shared" si="17"/>
        <v>0</v>
      </c>
      <c r="AD28" s="39">
        <f t="shared" si="17"/>
        <v>0</v>
      </c>
      <c r="AE28" s="39">
        <f t="shared" si="17"/>
        <v>-81.900000000000006</v>
      </c>
      <c r="AF28" s="39">
        <f t="shared" si="17"/>
        <v>0</v>
      </c>
      <c r="AG28" s="180">
        <f>AD28+AE28+AF28</f>
        <v>-81.900000000000006</v>
      </c>
      <c r="AH28" s="123">
        <f t="shared" si="4"/>
        <v>2.7</v>
      </c>
      <c r="AI28" s="152">
        <f t="shared" si="5"/>
        <v>-674.74</v>
      </c>
    </row>
    <row r="29" spans="1:35" ht="28.75" customHeight="1" x14ac:dyDescent="0.25">
      <c r="A29" s="19">
        <f>A27+7</f>
        <v>43624</v>
      </c>
      <c r="B29" s="5"/>
      <c r="C29" s="5">
        <v>4</v>
      </c>
      <c r="D29" s="5">
        <v>3</v>
      </c>
      <c r="E29" s="5"/>
      <c r="F29" s="5"/>
      <c r="G29" s="98">
        <f>SUM(C29:F29)</f>
        <v>7</v>
      </c>
      <c r="H29" s="6"/>
      <c r="I29" s="6">
        <v>0.39</v>
      </c>
      <c r="J29" s="34"/>
      <c r="K29" s="34">
        <f>487.31/1.05</f>
        <v>464.10476190476192</v>
      </c>
      <c r="L29" s="35">
        <f t="shared" si="12"/>
        <v>1190.0122100122101</v>
      </c>
      <c r="M29" s="35">
        <f t="shared" si="13"/>
        <v>399</v>
      </c>
      <c r="N29" s="35">
        <f t="shared" si="2"/>
        <v>1589.0122100122101</v>
      </c>
      <c r="O29" s="36"/>
      <c r="P29" s="37"/>
      <c r="Q29" s="37"/>
      <c r="R29" s="38"/>
      <c r="S29" s="38"/>
      <c r="T29" s="110"/>
      <c r="U29" s="125">
        <v>1.41</v>
      </c>
      <c r="V29" s="162">
        <v>-310.42</v>
      </c>
      <c r="W29" s="114"/>
      <c r="X29" s="162"/>
      <c r="Y29" s="114"/>
      <c r="Z29" s="162"/>
      <c r="AA29" s="114"/>
      <c r="AB29" s="162"/>
      <c r="AC29" s="114"/>
      <c r="AD29" s="162"/>
      <c r="AE29" s="162"/>
      <c r="AF29" s="162"/>
      <c r="AG29" s="161">
        <f t="shared" si="3"/>
        <v>0</v>
      </c>
      <c r="AH29" s="117">
        <f t="shared" si="4"/>
        <v>1.41</v>
      </c>
      <c r="AI29" s="151">
        <f t="shared" si="5"/>
        <v>-310.42</v>
      </c>
    </row>
    <row r="30" spans="1:35" s="17" customFormat="1" ht="28.75" customHeight="1" x14ac:dyDescent="0.3">
      <c r="A30" s="19">
        <f>A29+7</f>
        <v>43631</v>
      </c>
      <c r="B30" s="5"/>
      <c r="C30" s="5">
        <v>3</v>
      </c>
      <c r="D30" s="5">
        <v>1</v>
      </c>
      <c r="E30" s="5">
        <v>1</v>
      </c>
      <c r="F30" s="5"/>
      <c r="G30" s="98">
        <f>SUM(C30:F30)</f>
        <v>5</v>
      </c>
      <c r="H30" s="6"/>
      <c r="I30" s="6">
        <v>0.33</v>
      </c>
      <c r="J30" s="34"/>
      <c r="K30" s="34">
        <f>348.08/1.05</f>
        <v>331.50476190476189</v>
      </c>
      <c r="L30" s="35">
        <f t="shared" si="12"/>
        <v>1004.5598845598845</v>
      </c>
      <c r="M30" s="35">
        <f t="shared" si="13"/>
        <v>399.00000000000006</v>
      </c>
      <c r="N30" s="35">
        <f t="shared" si="2"/>
        <v>1403.5598845598845</v>
      </c>
      <c r="O30" s="36"/>
      <c r="P30" s="37"/>
      <c r="Q30" s="37"/>
      <c r="R30" s="38"/>
      <c r="S30" s="38"/>
      <c r="T30" s="110"/>
      <c r="U30" s="124"/>
      <c r="V30" s="163"/>
      <c r="W30" s="115"/>
      <c r="X30" s="162"/>
      <c r="Y30" s="114"/>
      <c r="Z30" s="162"/>
      <c r="AA30" s="114"/>
      <c r="AB30" s="162"/>
      <c r="AC30" s="115"/>
      <c r="AD30" s="163"/>
      <c r="AE30" s="163"/>
      <c r="AF30" s="163"/>
      <c r="AG30" s="161">
        <f t="shared" si="3"/>
        <v>0</v>
      </c>
      <c r="AH30" s="117">
        <f t="shared" si="4"/>
        <v>0</v>
      </c>
      <c r="AI30" s="151">
        <f t="shared" si="5"/>
        <v>0</v>
      </c>
    </row>
    <row r="31" spans="1:35" ht="28.75" customHeight="1" x14ac:dyDescent="0.3">
      <c r="A31" s="19">
        <f>A30+7</f>
        <v>43638</v>
      </c>
      <c r="B31" s="5"/>
      <c r="C31" s="5">
        <v>4</v>
      </c>
      <c r="D31" s="5"/>
      <c r="E31" s="5"/>
      <c r="F31" s="5"/>
      <c r="G31" s="98">
        <f>SUM(C31:F31)</f>
        <v>4</v>
      </c>
      <c r="H31" s="6"/>
      <c r="I31" s="6">
        <v>0.31</v>
      </c>
      <c r="J31" s="34">
        <f>1146.6/1.05</f>
        <v>1091.9999999999998</v>
      </c>
      <c r="K31" s="34">
        <f>278.46/1.05</f>
        <v>265.2</v>
      </c>
      <c r="L31" s="35">
        <f t="shared" si="12"/>
        <v>855.48387096774195</v>
      </c>
      <c r="M31" s="35">
        <f t="shared" si="13"/>
        <v>399</v>
      </c>
      <c r="N31" s="35">
        <f t="shared" si="2"/>
        <v>1254.483870967742</v>
      </c>
      <c r="O31" s="36"/>
      <c r="P31" s="37"/>
      <c r="Q31" s="37"/>
      <c r="R31" s="38"/>
      <c r="S31" s="38"/>
      <c r="T31" s="110"/>
      <c r="U31" s="125"/>
      <c r="V31" s="162"/>
      <c r="W31" s="114"/>
      <c r="X31" s="163"/>
      <c r="Y31" s="115"/>
      <c r="Z31" s="163"/>
      <c r="AA31" s="115"/>
      <c r="AB31" s="163"/>
      <c r="AC31" s="114"/>
      <c r="AD31" s="162"/>
      <c r="AE31" s="162"/>
      <c r="AF31" s="162"/>
      <c r="AG31" s="161">
        <f t="shared" si="3"/>
        <v>0</v>
      </c>
      <c r="AH31" s="117">
        <f t="shared" si="4"/>
        <v>0</v>
      </c>
      <c r="AI31" s="151">
        <f t="shared" si="5"/>
        <v>0</v>
      </c>
    </row>
    <row r="32" spans="1:35" ht="28.75" customHeight="1" x14ac:dyDescent="0.25">
      <c r="A32" s="19">
        <f>A31+7</f>
        <v>43645</v>
      </c>
      <c r="B32" s="5"/>
      <c r="C32" s="5">
        <v>11</v>
      </c>
      <c r="D32" s="5"/>
      <c r="E32" s="5"/>
      <c r="F32" s="5"/>
      <c r="G32" s="98">
        <f>SUM(C32:F32)</f>
        <v>11</v>
      </c>
      <c r="H32" s="6"/>
      <c r="I32" s="6">
        <v>0.72</v>
      </c>
      <c r="J32" s="34"/>
      <c r="K32" s="34">
        <f>765.77/1.05</f>
        <v>729.3047619047619</v>
      </c>
      <c r="L32" s="35">
        <f t="shared" si="12"/>
        <v>1012.9232804232804</v>
      </c>
      <c r="M32" s="35">
        <f t="shared" si="13"/>
        <v>399</v>
      </c>
      <c r="N32" s="35">
        <f t="shared" si="2"/>
        <v>1411.9232804232804</v>
      </c>
      <c r="O32" s="36"/>
      <c r="P32" s="37"/>
      <c r="Q32" s="37"/>
      <c r="R32" s="38"/>
      <c r="S32" s="38"/>
      <c r="T32" s="110"/>
      <c r="U32" s="125"/>
      <c r="V32" s="162"/>
      <c r="W32" s="114"/>
      <c r="X32" s="162"/>
      <c r="Y32" s="114"/>
      <c r="Z32" s="162"/>
      <c r="AA32" s="114"/>
      <c r="AB32" s="162"/>
      <c r="AC32" s="114"/>
      <c r="AD32" s="162"/>
      <c r="AE32" s="162"/>
      <c r="AF32" s="162"/>
      <c r="AG32" s="161">
        <f t="shared" si="3"/>
        <v>0</v>
      </c>
      <c r="AH32" s="117">
        <f t="shared" si="4"/>
        <v>0</v>
      </c>
      <c r="AI32" s="151">
        <f t="shared" si="5"/>
        <v>0</v>
      </c>
    </row>
    <row r="33" spans="1:35" ht="28.75" customHeight="1" x14ac:dyDescent="0.3">
      <c r="A33" s="27" t="s">
        <v>59</v>
      </c>
      <c r="B33" s="28">
        <f t="shared" ref="B33:K33" si="18">SUBTOTAL(109,B29:B32)</f>
        <v>0</v>
      </c>
      <c r="C33" s="28">
        <f t="shared" si="18"/>
        <v>22</v>
      </c>
      <c r="D33" s="28">
        <f t="shared" si="18"/>
        <v>4</v>
      </c>
      <c r="E33" s="28">
        <f t="shared" si="18"/>
        <v>1</v>
      </c>
      <c r="F33" s="28">
        <f t="shared" si="18"/>
        <v>0</v>
      </c>
      <c r="G33" s="28">
        <f t="shared" si="18"/>
        <v>27</v>
      </c>
      <c r="H33" s="28">
        <v>1.6</v>
      </c>
      <c r="I33" s="28">
        <f t="shared" si="18"/>
        <v>1.75</v>
      </c>
      <c r="J33" s="39">
        <f>SUBTOTAL(109,J29:J32)</f>
        <v>1091.9999999999998</v>
      </c>
      <c r="K33" s="39">
        <f t="shared" si="18"/>
        <v>1790.1142857142859</v>
      </c>
      <c r="L33" s="39">
        <f t="shared" si="12"/>
        <v>534.36247334754796</v>
      </c>
      <c r="M33" s="39">
        <f t="shared" si="13"/>
        <v>268.13432835820896</v>
      </c>
      <c r="N33" s="39">
        <f t="shared" si="2"/>
        <v>802.49680170575698</v>
      </c>
      <c r="O33" s="39">
        <f>J33/H33</f>
        <v>682.49999999999977</v>
      </c>
      <c r="P33" s="40">
        <v>0</v>
      </c>
      <c r="Q33" s="40">
        <f>O33+P33</f>
        <v>682.49999999999977</v>
      </c>
      <c r="R33" s="40">
        <f>K33/I33</f>
        <v>1022.9224489795919</v>
      </c>
      <c r="S33" s="40">
        <f>$B$68</f>
        <v>399</v>
      </c>
      <c r="T33" s="111">
        <f>R33+S33</f>
        <v>1421.922448979592</v>
      </c>
      <c r="U33" s="185">
        <f t="shared" ref="U33:AF33" si="19">SUBTOTAL(109,U29:U32)</f>
        <v>1.41</v>
      </c>
      <c r="V33" s="39">
        <f t="shared" si="19"/>
        <v>-310.42</v>
      </c>
      <c r="W33" s="28">
        <f t="shared" si="19"/>
        <v>0</v>
      </c>
      <c r="X33" s="39">
        <f t="shared" si="19"/>
        <v>0</v>
      </c>
      <c r="Y33" s="28">
        <f t="shared" si="19"/>
        <v>0</v>
      </c>
      <c r="Z33" s="39">
        <f t="shared" si="19"/>
        <v>0</v>
      </c>
      <c r="AA33" s="28">
        <f t="shared" si="19"/>
        <v>0</v>
      </c>
      <c r="AB33" s="39">
        <f t="shared" si="19"/>
        <v>0</v>
      </c>
      <c r="AC33" s="28">
        <f t="shared" si="19"/>
        <v>0</v>
      </c>
      <c r="AD33" s="39">
        <f t="shared" si="19"/>
        <v>0</v>
      </c>
      <c r="AE33" s="39">
        <f t="shared" si="19"/>
        <v>0</v>
      </c>
      <c r="AF33" s="39">
        <f t="shared" si="19"/>
        <v>0</v>
      </c>
      <c r="AG33" s="180">
        <f>AD33+AE33+AF33</f>
        <v>0</v>
      </c>
      <c r="AH33" s="123">
        <f t="shared" si="4"/>
        <v>1.41</v>
      </c>
      <c r="AI33" s="152">
        <f t="shared" si="5"/>
        <v>-310.42</v>
      </c>
    </row>
    <row r="34" spans="1:35" ht="28.75" customHeight="1" x14ac:dyDescent="0.25">
      <c r="A34" s="19">
        <f>A32+7</f>
        <v>43652</v>
      </c>
      <c r="B34" s="5"/>
      <c r="C34" s="5">
        <v>7</v>
      </c>
      <c r="D34" s="5"/>
      <c r="E34" s="5"/>
      <c r="F34" s="5"/>
      <c r="G34" s="98">
        <f>SUM(C34:F34)</f>
        <v>7</v>
      </c>
      <c r="H34" s="6"/>
      <c r="I34" s="6">
        <v>0.48</v>
      </c>
      <c r="J34" s="34"/>
      <c r="K34" s="34">
        <f>487.31/1.05</f>
        <v>464.10476190476192</v>
      </c>
      <c r="L34" s="35">
        <f t="shared" si="12"/>
        <v>966.88492063492072</v>
      </c>
      <c r="M34" s="35">
        <f t="shared" si="13"/>
        <v>399</v>
      </c>
      <c r="N34" s="35">
        <f t="shared" si="2"/>
        <v>1365.8849206349207</v>
      </c>
      <c r="O34" s="36"/>
      <c r="P34" s="37"/>
      <c r="Q34" s="37"/>
      <c r="R34" s="38"/>
      <c r="S34" s="38"/>
      <c r="T34" s="110"/>
      <c r="U34" s="125"/>
      <c r="V34" s="162"/>
      <c r="W34" s="114"/>
      <c r="X34" s="162"/>
      <c r="Y34" s="114"/>
      <c r="Z34" s="162"/>
      <c r="AA34" s="114"/>
      <c r="AB34" s="162"/>
      <c r="AC34" s="114"/>
      <c r="AD34" s="162"/>
      <c r="AE34" s="162"/>
      <c r="AF34" s="162"/>
      <c r="AG34" s="161">
        <f t="shared" si="3"/>
        <v>0</v>
      </c>
      <c r="AH34" s="117">
        <f t="shared" si="4"/>
        <v>0</v>
      </c>
      <c r="AI34" s="151">
        <f t="shared" si="5"/>
        <v>0</v>
      </c>
    </row>
    <row r="35" spans="1:35" s="17" customFormat="1" ht="28.75" customHeight="1" x14ac:dyDescent="0.3">
      <c r="A35" s="19">
        <f>A34+7</f>
        <v>43659</v>
      </c>
      <c r="B35" s="5"/>
      <c r="C35" s="5">
        <v>13</v>
      </c>
      <c r="D35" s="5"/>
      <c r="E35" s="5"/>
      <c r="F35" s="5"/>
      <c r="G35" s="98">
        <v>0</v>
      </c>
      <c r="H35" s="6"/>
      <c r="I35" s="6">
        <v>0.69</v>
      </c>
      <c r="J35" s="34"/>
      <c r="K35" s="34">
        <f>905/1.05</f>
        <v>861.90476190476181</v>
      </c>
      <c r="L35" s="35">
        <f t="shared" si="12"/>
        <v>1249.1373360938578</v>
      </c>
      <c r="M35" s="35">
        <f t="shared" si="13"/>
        <v>399.00000000000006</v>
      </c>
      <c r="N35" s="35">
        <f t="shared" si="2"/>
        <v>1648.1373360938578</v>
      </c>
      <c r="O35" s="36"/>
      <c r="P35" s="37"/>
      <c r="Q35" s="37"/>
      <c r="R35" s="38"/>
      <c r="S35" s="38"/>
      <c r="T35" s="110"/>
      <c r="U35" s="124"/>
      <c r="V35" s="163"/>
      <c r="W35" s="115"/>
      <c r="X35" s="162"/>
      <c r="Y35" s="114"/>
      <c r="Z35" s="162"/>
      <c r="AA35" s="114"/>
      <c r="AB35" s="162"/>
      <c r="AC35" s="115"/>
      <c r="AD35" s="163"/>
      <c r="AE35" s="163"/>
      <c r="AF35" s="163"/>
      <c r="AG35" s="161">
        <f t="shared" si="3"/>
        <v>0</v>
      </c>
      <c r="AH35" s="117">
        <f t="shared" si="4"/>
        <v>0</v>
      </c>
      <c r="AI35" s="151">
        <f t="shared" si="5"/>
        <v>0</v>
      </c>
    </row>
    <row r="36" spans="1:35" ht="28.75" customHeight="1" x14ac:dyDescent="0.3">
      <c r="A36" s="19">
        <f>A35+7</f>
        <v>43666</v>
      </c>
      <c r="B36" s="5"/>
      <c r="C36" s="5">
        <v>3</v>
      </c>
      <c r="D36" s="5"/>
      <c r="E36" s="5"/>
      <c r="F36" s="5"/>
      <c r="G36" s="98">
        <v>0</v>
      </c>
      <c r="H36" s="6"/>
      <c r="I36" s="6">
        <v>0.18</v>
      </c>
      <c r="J36" s="34">
        <f>342/1.05</f>
        <v>325.71428571428572</v>
      </c>
      <c r="K36" s="34">
        <f>208.85/1.05</f>
        <v>198.9047619047619</v>
      </c>
      <c r="L36" s="35">
        <f t="shared" si="12"/>
        <v>1105.0264550264551</v>
      </c>
      <c r="M36" s="35">
        <f t="shared" ref="M36:M46" si="20">($B$68*I36+$B$69*H36)/SUM(H36:I36)</f>
        <v>399</v>
      </c>
      <c r="N36" s="35">
        <f t="shared" si="2"/>
        <v>1504.0264550264551</v>
      </c>
      <c r="O36" s="36"/>
      <c r="P36" s="37"/>
      <c r="Q36" s="37"/>
      <c r="R36" s="38"/>
      <c r="S36" s="38"/>
      <c r="T36" s="110"/>
      <c r="U36" s="125"/>
      <c r="V36" s="162"/>
      <c r="W36" s="114"/>
      <c r="X36" s="163"/>
      <c r="Y36" s="115"/>
      <c r="Z36" s="163"/>
      <c r="AA36" s="115"/>
      <c r="AB36" s="163"/>
      <c r="AC36" s="114"/>
      <c r="AD36" s="162"/>
      <c r="AE36" s="162"/>
      <c r="AF36" s="162"/>
      <c r="AG36" s="161">
        <f t="shared" si="3"/>
        <v>0</v>
      </c>
      <c r="AH36" s="117">
        <f t="shared" si="4"/>
        <v>0</v>
      </c>
      <c r="AI36" s="151">
        <f t="shared" si="5"/>
        <v>0</v>
      </c>
    </row>
    <row r="37" spans="1:35" ht="28.75" customHeight="1" x14ac:dyDescent="0.25">
      <c r="A37" s="19">
        <f>A36+7</f>
        <v>43673</v>
      </c>
      <c r="B37" s="5"/>
      <c r="C37" s="5"/>
      <c r="D37" s="5"/>
      <c r="E37" s="5"/>
      <c r="F37" s="5"/>
      <c r="G37" s="98">
        <f>SUM(C37:F37)</f>
        <v>0</v>
      </c>
      <c r="H37" s="6"/>
      <c r="I37" s="6"/>
      <c r="J37" s="34"/>
      <c r="K37" s="34"/>
      <c r="L37" s="35" t="e">
        <f t="shared" si="12"/>
        <v>#DIV/0!</v>
      </c>
      <c r="M37" s="35" t="e">
        <f t="shared" si="20"/>
        <v>#DIV/0!</v>
      </c>
      <c r="N37" s="35" t="e">
        <f t="shared" si="2"/>
        <v>#DIV/0!</v>
      </c>
      <c r="O37" s="36"/>
      <c r="P37" s="37"/>
      <c r="Q37" s="37"/>
      <c r="R37" s="38"/>
      <c r="S37" s="38"/>
      <c r="T37" s="110"/>
      <c r="U37" s="125"/>
      <c r="V37" s="162"/>
      <c r="W37" s="114"/>
      <c r="X37" s="162"/>
      <c r="Y37" s="114"/>
      <c r="Z37" s="162"/>
      <c r="AA37" s="114"/>
      <c r="AB37" s="162"/>
      <c r="AC37" s="114"/>
      <c r="AD37" s="162"/>
      <c r="AE37" s="162"/>
      <c r="AF37" s="162"/>
      <c r="AG37" s="161">
        <f t="shared" si="3"/>
        <v>0</v>
      </c>
      <c r="AH37" s="117">
        <f t="shared" si="4"/>
        <v>0</v>
      </c>
      <c r="AI37" s="151">
        <f t="shared" si="5"/>
        <v>0</v>
      </c>
    </row>
    <row r="38" spans="1:35" ht="28.75" customHeight="1" x14ac:dyDescent="0.3">
      <c r="A38" s="27" t="s">
        <v>64</v>
      </c>
      <c r="B38" s="28">
        <f t="shared" ref="B38:K38" si="21">SUBTOTAL(109,B34:B37)</f>
        <v>0</v>
      </c>
      <c r="C38" s="28">
        <f t="shared" si="21"/>
        <v>23</v>
      </c>
      <c r="D38" s="28">
        <f t="shared" si="21"/>
        <v>0</v>
      </c>
      <c r="E38" s="28">
        <f t="shared" si="21"/>
        <v>0</v>
      </c>
      <c r="F38" s="28">
        <f t="shared" si="21"/>
        <v>0</v>
      </c>
      <c r="G38" s="28">
        <f t="shared" si="21"/>
        <v>7</v>
      </c>
      <c r="H38" s="28">
        <v>1.6</v>
      </c>
      <c r="I38" s="28">
        <f t="shared" si="21"/>
        <v>1.3499999999999999</v>
      </c>
      <c r="J38" s="39">
        <f>SUBTOTAL(109,J34:J37)</f>
        <v>325.71428571428572</v>
      </c>
      <c r="K38" s="39">
        <f t="shared" si="21"/>
        <v>1524.9142857142856</v>
      </c>
      <c r="L38" s="39">
        <f t="shared" si="12"/>
        <v>516.92009685230016</v>
      </c>
      <c r="M38" s="39">
        <f t="shared" si="20"/>
        <v>250.38983050847455</v>
      </c>
      <c r="N38" s="39">
        <f t="shared" si="2"/>
        <v>767.30992736077474</v>
      </c>
      <c r="O38" s="39">
        <f>J38/H38</f>
        <v>203.57142857142856</v>
      </c>
      <c r="P38" s="40">
        <v>0</v>
      </c>
      <c r="Q38" s="40">
        <f>O38+P38</f>
        <v>203.57142857142856</v>
      </c>
      <c r="R38" s="40">
        <f>K38/I38</f>
        <v>1129.5661375661375</v>
      </c>
      <c r="S38" s="40">
        <f>$B$68</f>
        <v>399</v>
      </c>
      <c r="T38" s="111">
        <f>R38+S38</f>
        <v>1528.5661375661375</v>
      </c>
      <c r="U38" s="185">
        <f t="shared" ref="U38:AF38" si="22">SUBTOTAL(109,U34:U37)</f>
        <v>0</v>
      </c>
      <c r="V38" s="39">
        <f t="shared" si="22"/>
        <v>0</v>
      </c>
      <c r="W38" s="28">
        <f t="shared" si="22"/>
        <v>0</v>
      </c>
      <c r="X38" s="39">
        <f t="shared" si="22"/>
        <v>0</v>
      </c>
      <c r="Y38" s="28">
        <f t="shared" si="22"/>
        <v>0</v>
      </c>
      <c r="Z38" s="39">
        <f t="shared" si="22"/>
        <v>0</v>
      </c>
      <c r="AA38" s="28">
        <f t="shared" si="22"/>
        <v>0</v>
      </c>
      <c r="AB38" s="39">
        <f t="shared" si="22"/>
        <v>0</v>
      </c>
      <c r="AC38" s="28">
        <f t="shared" si="22"/>
        <v>0</v>
      </c>
      <c r="AD38" s="39">
        <f t="shared" si="22"/>
        <v>0</v>
      </c>
      <c r="AE38" s="39">
        <f t="shared" si="22"/>
        <v>0</v>
      </c>
      <c r="AF38" s="39">
        <f t="shared" si="22"/>
        <v>0</v>
      </c>
      <c r="AG38" s="180">
        <f>AD38+AE38+AF38</f>
        <v>0</v>
      </c>
      <c r="AH38" s="123">
        <f t="shared" si="4"/>
        <v>0</v>
      </c>
      <c r="AI38" s="152">
        <f t="shared" si="5"/>
        <v>0</v>
      </c>
    </row>
    <row r="39" spans="1:35" s="17" customFormat="1" ht="28.75" customHeight="1" x14ac:dyDescent="0.3">
      <c r="A39" s="19">
        <f>A37+7</f>
        <v>43680</v>
      </c>
      <c r="B39" s="5"/>
      <c r="C39" s="5"/>
      <c r="D39" s="5"/>
      <c r="E39" s="5"/>
      <c r="F39" s="5"/>
      <c r="G39" s="98">
        <f>SUM(C39:F39)</f>
        <v>0</v>
      </c>
      <c r="H39" s="6"/>
      <c r="I39" s="6"/>
      <c r="J39" s="34"/>
      <c r="K39" s="34"/>
      <c r="L39" s="35" t="e">
        <f t="shared" si="12"/>
        <v>#DIV/0!</v>
      </c>
      <c r="M39" s="35" t="e">
        <f t="shared" si="20"/>
        <v>#DIV/0!</v>
      </c>
      <c r="N39" s="35" t="e">
        <f t="shared" si="2"/>
        <v>#DIV/0!</v>
      </c>
      <c r="O39" s="36"/>
      <c r="P39" s="37"/>
      <c r="Q39" s="37"/>
      <c r="R39" s="38"/>
      <c r="S39" s="38"/>
      <c r="T39" s="110"/>
      <c r="U39" s="124"/>
      <c r="V39" s="163"/>
      <c r="W39" s="115"/>
      <c r="X39" s="162"/>
      <c r="Y39" s="114"/>
      <c r="Z39" s="162"/>
      <c r="AA39" s="114"/>
      <c r="AB39" s="162"/>
      <c r="AC39" s="115"/>
      <c r="AD39" s="163"/>
      <c r="AE39" s="163"/>
      <c r="AF39" s="163"/>
      <c r="AG39" s="161">
        <f t="shared" si="3"/>
        <v>0</v>
      </c>
      <c r="AH39" s="117">
        <f t="shared" si="4"/>
        <v>0</v>
      </c>
      <c r="AI39" s="151">
        <f t="shared" si="5"/>
        <v>0</v>
      </c>
    </row>
    <row r="40" spans="1:35" ht="28.75" customHeight="1" x14ac:dyDescent="0.3">
      <c r="A40" s="19">
        <f>A39+7</f>
        <v>43687</v>
      </c>
      <c r="B40" s="5"/>
      <c r="C40" s="5">
        <v>12</v>
      </c>
      <c r="D40" s="5">
        <v>7</v>
      </c>
      <c r="E40" s="5"/>
      <c r="F40" s="5"/>
      <c r="G40" s="98">
        <f>SUM(C40:F40)</f>
        <v>19</v>
      </c>
      <c r="H40" s="6"/>
      <c r="I40" s="6">
        <f>0.76+0.09</f>
        <v>0.85</v>
      </c>
      <c r="J40" s="34"/>
      <c r="K40" s="34">
        <f>(1044.23+208.85)/1.05</f>
        <v>1193.4095238095238</v>
      </c>
      <c r="L40" s="35">
        <f t="shared" si="12"/>
        <v>1404.0112044817927</v>
      </c>
      <c r="M40" s="35">
        <f t="shared" si="20"/>
        <v>399</v>
      </c>
      <c r="N40" s="35">
        <f t="shared" si="2"/>
        <v>1803.0112044817927</v>
      </c>
      <c r="O40" s="36"/>
      <c r="P40" s="37"/>
      <c r="Q40" s="37"/>
      <c r="R40" s="38"/>
      <c r="S40" s="38"/>
      <c r="T40" s="110"/>
      <c r="U40" s="125"/>
      <c r="V40" s="162"/>
      <c r="W40" s="114"/>
      <c r="X40" s="163"/>
      <c r="Y40" s="115"/>
      <c r="Z40" s="163"/>
      <c r="AA40" s="115"/>
      <c r="AB40" s="163"/>
      <c r="AC40" s="114"/>
      <c r="AD40" s="162"/>
      <c r="AE40" s="162"/>
      <c r="AF40" s="162"/>
      <c r="AG40" s="161">
        <f t="shared" si="3"/>
        <v>0</v>
      </c>
      <c r="AH40" s="117">
        <f t="shared" si="4"/>
        <v>0</v>
      </c>
      <c r="AI40" s="151">
        <f t="shared" si="5"/>
        <v>0</v>
      </c>
    </row>
    <row r="41" spans="1:35" ht="28.75" customHeight="1" x14ac:dyDescent="0.25">
      <c r="A41" s="19">
        <f>A40+7</f>
        <v>43694</v>
      </c>
      <c r="B41" s="5"/>
      <c r="C41" s="5"/>
      <c r="D41" s="5"/>
      <c r="E41" s="5"/>
      <c r="F41" s="5"/>
      <c r="G41" s="98">
        <f>SUM(C41:F41)</f>
        <v>0</v>
      </c>
      <c r="H41" s="6"/>
      <c r="I41" s="6">
        <v>0.27</v>
      </c>
      <c r="J41" s="34">
        <f>1106.44/1.05</f>
        <v>1053.7523809523809</v>
      </c>
      <c r="K41" s="34"/>
      <c r="L41" s="35">
        <f t="shared" si="12"/>
        <v>0</v>
      </c>
      <c r="M41" s="35">
        <f t="shared" si="20"/>
        <v>399</v>
      </c>
      <c r="N41" s="35">
        <f t="shared" si="2"/>
        <v>399</v>
      </c>
      <c r="O41" s="36"/>
      <c r="P41" s="37"/>
      <c r="Q41" s="37"/>
      <c r="R41" s="38"/>
      <c r="S41" s="38"/>
      <c r="T41" s="110"/>
      <c r="U41" s="125"/>
      <c r="V41" s="162"/>
      <c r="W41" s="114"/>
      <c r="X41" s="162"/>
      <c r="Y41" s="114"/>
      <c r="Z41" s="162"/>
      <c r="AA41" s="114"/>
      <c r="AB41" s="162"/>
      <c r="AC41" s="114"/>
      <c r="AD41" s="162"/>
      <c r="AE41" s="162"/>
      <c r="AF41" s="162"/>
      <c r="AG41" s="161">
        <f t="shared" si="3"/>
        <v>0</v>
      </c>
      <c r="AH41" s="117">
        <f t="shared" si="4"/>
        <v>0</v>
      </c>
      <c r="AI41" s="151">
        <f t="shared" si="5"/>
        <v>0</v>
      </c>
    </row>
    <row r="42" spans="1:35" ht="28.75" customHeight="1" x14ac:dyDescent="0.25">
      <c r="A42" s="19">
        <f>A41+7</f>
        <v>43701</v>
      </c>
      <c r="B42" s="5"/>
      <c r="C42" s="5"/>
      <c r="D42" s="5"/>
      <c r="E42" s="5"/>
      <c r="F42" s="5"/>
      <c r="G42" s="98">
        <f>SUM(C42:F42)</f>
        <v>0</v>
      </c>
      <c r="H42" s="6"/>
      <c r="I42" s="6">
        <v>0.35</v>
      </c>
      <c r="J42" s="34"/>
      <c r="K42" s="34">
        <f>348.08/1.05</f>
        <v>331.50476190476189</v>
      </c>
      <c r="L42" s="35">
        <f t="shared" si="12"/>
        <v>947.15646258503409</v>
      </c>
      <c r="M42" s="35">
        <f t="shared" si="20"/>
        <v>398.99999999999994</v>
      </c>
      <c r="N42" s="35">
        <f t="shared" si="2"/>
        <v>1346.156462585034</v>
      </c>
      <c r="O42" s="36"/>
      <c r="P42" s="37"/>
      <c r="Q42" s="37"/>
      <c r="R42" s="38"/>
      <c r="S42" s="38"/>
      <c r="T42" s="110"/>
      <c r="U42" s="125"/>
      <c r="V42" s="162"/>
      <c r="W42" s="114"/>
      <c r="X42" s="162"/>
      <c r="Y42" s="114"/>
      <c r="Z42" s="162"/>
      <c r="AA42" s="114"/>
      <c r="AB42" s="162"/>
      <c r="AC42" s="114"/>
      <c r="AD42" s="162"/>
      <c r="AE42" s="162"/>
      <c r="AF42" s="162"/>
      <c r="AG42" s="161">
        <f t="shared" si="3"/>
        <v>0</v>
      </c>
      <c r="AH42" s="117">
        <f t="shared" si="4"/>
        <v>0</v>
      </c>
      <c r="AI42" s="151">
        <f t="shared" si="5"/>
        <v>0</v>
      </c>
    </row>
    <row r="43" spans="1:35" ht="28.75" customHeight="1" x14ac:dyDescent="0.25">
      <c r="A43" s="19">
        <f>A42+7</f>
        <v>43708</v>
      </c>
      <c r="B43" s="5"/>
      <c r="C43" s="5"/>
      <c r="D43" s="5"/>
      <c r="E43" s="5"/>
      <c r="F43" s="5"/>
      <c r="G43" s="98">
        <f>SUM(C43:F43)</f>
        <v>0</v>
      </c>
      <c r="H43" s="6"/>
      <c r="I43" s="6">
        <v>0.79</v>
      </c>
      <c r="J43" s="34"/>
      <c r="K43" s="34">
        <f>556.92/1.05</f>
        <v>530.4</v>
      </c>
      <c r="L43" s="35">
        <f t="shared" si="12"/>
        <v>671.39240506329111</v>
      </c>
      <c r="M43" s="35">
        <f t="shared" si="20"/>
        <v>399</v>
      </c>
      <c r="N43" s="35">
        <f t="shared" si="2"/>
        <v>1070.3924050632911</v>
      </c>
      <c r="O43" s="36"/>
      <c r="P43" s="37"/>
      <c r="Q43" s="37"/>
      <c r="R43" s="38"/>
      <c r="S43" s="38"/>
      <c r="T43" s="110"/>
      <c r="U43" s="125"/>
      <c r="V43" s="162"/>
      <c r="W43" s="114"/>
      <c r="X43" s="162"/>
      <c r="Y43" s="114"/>
      <c r="Z43" s="162"/>
      <c r="AA43" s="114"/>
      <c r="AB43" s="162"/>
      <c r="AC43" s="114"/>
      <c r="AD43" s="162"/>
      <c r="AE43" s="162"/>
      <c r="AF43" s="162"/>
      <c r="AG43" s="161">
        <f t="shared" si="3"/>
        <v>0</v>
      </c>
      <c r="AH43" s="117">
        <f t="shared" si="4"/>
        <v>0</v>
      </c>
      <c r="AI43" s="151">
        <f t="shared" si="5"/>
        <v>0</v>
      </c>
    </row>
    <row r="44" spans="1:35" ht="28.75" customHeight="1" x14ac:dyDescent="0.3">
      <c r="A44" s="27" t="s">
        <v>65</v>
      </c>
      <c r="B44" s="28">
        <f>SUBTOTAL(109,B39:B43)</f>
        <v>0</v>
      </c>
      <c r="C44" s="28">
        <f t="shared" ref="C44:K44" si="23">SUBTOTAL(109,C39:C43)</f>
        <v>12</v>
      </c>
      <c r="D44" s="28">
        <f t="shared" si="23"/>
        <v>7</v>
      </c>
      <c r="E44" s="28">
        <f t="shared" si="23"/>
        <v>0</v>
      </c>
      <c r="F44" s="28">
        <f t="shared" si="23"/>
        <v>0</v>
      </c>
      <c r="G44" s="28">
        <f t="shared" si="23"/>
        <v>19</v>
      </c>
      <c r="H44" s="28">
        <v>1.6</v>
      </c>
      <c r="I44" s="28">
        <f t="shared" si="23"/>
        <v>2.2600000000000002</v>
      </c>
      <c r="J44" s="39">
        <f>SUBTOTAL(109,J39:J43)</f>
        <v>1053.7523809523809</v>
      </c>
      <c r="K44" s="39">
        <f t="shared" si="23"/>
        <v>2055.3142857142857</v>
      </c>
      <c r="L44" s="39">
        <f t="shared" si="12"/>
        <v>532.46484085862323</v>
      </c>
      <c r="M44" s="39">
        <f t="shared" si="20"/>
        <v>285.42487046632129</v>
      </c>
      <c r="N44" s="39">
        <f t="shared" si="2"/>
        <v>817.88971132494453</v>
      </c>
      <c r="O44" s="39">
        <f>J44/H44</f>
        <v>658.59523809523807</v>
      </c>
      <c r="P44" s="40">
        <v>0</v>
      </c>
      <c r="Q44" s="40">
        <f>O44+P44</f>
        <v>658.59523809523807</v>
      </c>
      <c r="R44" s="40">
        <f>K44/I44</f>
        <v>909.43109987357764</v>
      </c>
      <c r="S44" s="40">
        <f>$B$68</f>
        <v>399</v>
      </c>
      <c r="T44" s="111">
        <f>R44+S44</f>
        <v>1308.4310998735778</v>
      </c>
      <c r="U44" s="185">
        <f t="shared" ref="U44:AF44" si="24">SUBTOTAL(109,U39:U43)</f>
        <v>0</v>
      </c>
      <c r="V44" s="39">
        <f t="shared" si="24"/>
        <v>0</v>
      </c>
      <c r="W44" s="28">
        <f t="shared" si="24"/>
        <v>0</v>
      </c>
      <c r="X44" s="39">
        <f t="shared" si="24"/>
        <v>0</v>
      </c>
      <c r="Y44" s="28">
        <f t="shared" si="24"/>
        <v>0</v>
      </c>
      <c r="Z44" s="39">
        <f t="shared" si="24"/>
        <v>0</v>
      </c>
      <c r="AA44" s="28">
        <f t="shared" si="24"/>
        <v>0</v>
      </c>
      <c r="AB44" s="39">
        <f t="shared" si="24"/>
        <v>0</v>
      </c>
      <c r="AC44" s="28">
        <f t="shared" si="24"/>
        <v>0</v>
      </c>
      <c r="AD44" s="39">
        <f t="shared" si="24"/>
        <v>0</v>
      </c>
      <c r="AE44" s="39">
        <f t="shared" si="24"/>
        <v>0</v>
      </c>
      <c r="AF44" s="39">
        <f t="shared" si="24"/>
        <v>0</v>
      </c>
      <c r="AG44" s="180">
        <f>AD44+AE44+AF44</f>
        <v>0</v>
      </c>
      <c r="AH44" s="123">
        <f t="shared" si="4"/>
        <v>0</v>
      </c>
      <c r="AI44" s="152">
        <f t="shared" si="5"/>
        <v>0</v>
      </c>
    </row>
    <row r="45" spans="1:35" s="17" customFormat="1" ht="28.75" customHeight="1" x14ac:dyDescent="0.3">
      <c r="A45" s="19">
        <f>A43+7</f>
        <v>43715</v>
      </c>
      <c r="B45" s="5"/>
      <c r="C45" s="5"/>
      <c r="D45" s="5"/>
      <c r="E45" s="5"/>
      <c r="F45" s="5"/>
      <c r="G45" s="98">
        <f>SUM(C45:F45)</f>
        <v>0</v>
      </c>
      <c r="H45" s="6"/>
      <c r="I45" s="6">
        <v>0.48</v>
      </c>
      <c r="J45" s="34"/>
      <c r="K45" s="34"/>
      <c r="L45" s="35">
        <f t="shared" si="12"/>
        <v>0</v>
      </c>
      <c r="M45" s="35">
        <f t="shared" si="20"/>
        <v>399</v>
      </c>
      <c r="N45" s="35">
        <f t="shared" si="2"/>
        <v>399</v>
      </c>
      <c r="O45" s="36"/>
      <c r="P45" s="37"/>
      <c r="Q45" s="37"/>
      <c r="R45" s="38"/>
      <c r="S45" s="38"/>
      <c r="T45" s="110"/>
      <c r="U45" s="124"/>
      <c r="V45" s="163"/>
      <c r="W45" s="115"/>
      <c r="X45" s="162"/>
      <c r="Y45" s="114"/>
      <c r="Z45" s="162"/>
      <c r="AA45" s="114"/>
      <c r="AB45" s="162"/>
      <c r="AC45" s="115"/>
      <c r="AD45" s="163"/>
      <c r="AE45" s="163"/>
      <c r="AF45" s="163"/>
      <c r="AG45" s="161">
        <f t="shared" si="3"/>
        <v>0</v>
      </c>
      <c r="AH45" s="117">
        <f t="shared" si="4"/>
        <v>0</v>
      </c>
      <c r="AI45" s="151">
        <f t="shared" si="5"/>
        <v>0</v>
      </c>
    </row>
    <row r="46" spans="1:35" ht="28.75" customHeight="1" x14ac:dyDescent="0.3">
      <c r="A46" s="19">
        <f>A45+7</f>
        <v>43722</v>
      </c>
      <c r="B46" s="5"/>
      <c r="C46" s="5"/>
      <c r="D46" s="5"/>
      <c r="E46" s="5"/>
      <c r="F46" s="5"/>
      <c r="G46" s="98">
        <f>SUM(C46:F46)</f>
        <v>0</v>
      </c>
      <c r="H46" s="6"/>
      <c r="I46" s="6"/>
      <c r="J46" s="34"/>
      <c r="K46" s="34"/>
      <c r="L46" s="35" t="e">
        <f t="shared" si="12"/>
        <v>#DIV/0!</v>
      </c>
      <c r="M46" s="35" t="e">
        <f t="shared" si="20"/>
        <v>#DIV/0!</v>
      </c>
      <c r="N46" s="35" t="e">
        <f t="shared" si="2"/>
        <v>#DIV/0!</v>
      </c>
      <c r="O46" s="36"/>
      <c r="P46" s="37"/>
      <c r="Q46" s="37"/>
      <c r="R46" s="38"/>
      <c r="S46" s="38"/>
      <c r="T46" s="110"/>
      <c r="U46" s="125"/>
      <c r="V46" s="162"/>
      <c r="W46" s="114"/>
      <c r="X46" s="163"/>
      <c r="Y46" s="115"/>
      <c r="Z46" s="163"/>
      <c r="AA46" s="115"/>
      <c r="AB46" s="163"/>
      <c r="AC46" s="114"/>
      <c r="AD46" s="162"/>
      <c r="AE46" s="162"/>
      <c r="AF46" s="162"/>
      <c r="AG46" s="161">
        <f t="shared" si="3"/>
        <v>0</v>
      </c>
      <c r="AH46" s="117">
        <f t="shared" si="4"/>
        <v>0</v>
      </c>
      <c r="AI46" s="151">
        <f t="shared" si="5"/>
        <v>0</v>
      </c>
    </row>
    <row r="47" spans="1:35" ht="28.75" customHeight="1" x14ac:dyDescent="0.3">
      <c r="A47" s="19">
        <f>A46+7</f>
        <v>43729</v>
      </c>
      <c r="B47" s="5"/>
      <c r="C47" s="5"/>
      <c r="D47" s="5"/>
      <c r="E47" s="5"/>
      <c r="F47" s="5"/>
      <c r="G47" s="98">
        <f>SUM(C47:F47)</f>
        <v>0</v>
      </c>
      <c r="H47" s="6"/>
      <c r="I47" s="6">
        <v>0.11</v>
      </c>
      <c r="J47" s="34">
        <f>645.1/1.05</f>
        <v>614.38095238095241</v>
      </c>
      <c r="K47" s="34">
        <v>208.85</v>
      </c>
      <c r="L47" s="35"/>
      <c r="M47" s="35"/>
      <c r="N47" s="35"/>
      <c r="O47" s="36"/>
      <c r="P47" s="37"/>
      <c r="Q47" s="37"/>
      <c r="R47" s="38"/>
      <c r="S47" s="38"/>
      <c r="T47" s="110"/>
      <c r="U47" s="125"/>
      <c r="V47" s="162"/>
      <c r="W47" s="114"/>
      <c r="X47" s="163"/>
      <c r="Y47" s="115"/>
      <c r="Z47" s="163"/>
      <c r="AA47" s="115"/>
      <c r="AB47" s="163"/>
      <c r="AC47" s="114"/>
      <c r="AD47" s="162"/>
      <c r="AE47" s="162"/>
      <c r="AF47" s="162"/>
      <c r="AG47" s="161">
        <f t="shared" si="3"/>
        <v>0</v>
      </c>
      <c r="AH47" s="117">
        <f t="shared" si="4"/>
        <v>0</v>
      </c>
      <c r="AI47" s="151">
        <f t="shared" si="5"/>
        <v>0</v>
      </c>
    </row>
    <row r="48" spans="1:35" ht="28.75" customHeight="1" x14ac:dyDescent="0.25">
      <c r="A48" s="19">
        <f>A47+7</f>
        <v>43736</v>
      </c>
      <c r="B48" s="5"/>
      <c r="C48" s="5"/>
      <c r="D48" s="5"/>
      <c r="E48" s="5"/>
      <c r="F48" s="5"/>
      <c r="G48" s="98">
        <f>SUM(C48:F48)</f>
        <v>0</v>
      </c>
      <c r="H48" s="6"/>
      <c r="I48" s="6">
        <v>0.77</v>
      </c>
      <c r="J48" s="34"/>
      <c r="K48" s="34">
        <v>348.08</v>
      </c>
      <c r="L48" s="35">
        <f t="shared" si="12"/>
        <v>452.05194805194805</v>
      </c>
      <c r="M48" s="35">
        <f t="shared" ref="M48:M66" si="25">($B$68*I48+$B$69*H48)/SUM(H48:I48)</f>
        <v>399</v>
      </c>
      <c r="N48" s="35">
        <f t="shared" si="2"/>
        <v>851.0519480519481</v>
      </c>
      <c r="O48" s="36"/>
      <c r="P48" s="37"/>
      <c r="Q48" s="37"/>
      <c r="R48" s="38"/>
      <c r="S48" s="38"/>
      <c r="T48" s="110"/>
      <c r="U48" s="125"/>
      <c r="V48" s="162"/>
      <c r="W48" s="114"/>
      <c r="X48" s="162"/>
      <c r="Y48" s="114"/>
      <c r="Z48" s="162"/>
      <c r="AA48" s="114"/>
      <c r="AB48" s="162"/>
      <c r="AC48" s="114"/>
      <c r="AD48" s="162"/>
      <c r="AE48" s="162"/>
      <c r="AF48" s="162"/>
      <c r="AG48" s="161">
        <f t="shared" si="3"/>
        <v>0</v>
      </c>
      <c r="AH48" s="117">
        <f t="shared" si="4"/>
        <v>0</v>
      </c>
      <c r="AI48" s="151">
        <f t="shared" si="5"/>
        <v>0</v>
      </c>
    </row>
    <row r="49" spans="1:35" ht="28.75" customHeight="1" x14ac:dyDescent="0.3">
      <c r="A49" s="68" t="s">
        <v>66</v>
      </c>
      <c r="B49" s="28">
        <f t="shared" ref="B49:K49" si="26">SUBTOTAL(109,B45:B48)</f>
        <v>0</v>
      </c>
      <c r="C49" s="28">
        <f t="shared" si="26"/>
        <v>0</v>
      </c>
      <c r="D49" s="28">
        <f t="shared" si="26"/>
        <v>0</v>
      </c>
      <c r="E49" s="28">
        <f t="shared" si="26"/>
        <v>0</v>
      </c>
      <c r="F49" s="28">
        <f t="shared" si="26"/>
        <v>0</v>
      </c>
      <c r="G49" s="28">
        <f t="shared" si="26"/>
        <v>0</v>
      </c>
      <c r="H49" s="28">
        <f t="shared" si="26"/>
        <v>0</v>
      </c>
      <c r="I49" s="28">
        <f t="shared" si="26"/>
        <v>1.3599999999999999</v>
      </c>
      <c r="J49" s="39">
        <f>SUBTOTAL(109,J45:J48)</f>
        <v>614.38095238095241</v>
      </c>
      <c r="K49" s="39">
        <f t="shared" si="26"/>
        <v>556.92999999999995</v>
      </c>
      <c r="L49" s="39">
        <f t="shared" si="12"/>
        <v>409.50735294117646</v>
      </c>
      <c r="M49" s="39">
        <f t="shared" si="25"/>
        <v>399</v>
      </c>
      <c r="N49" s="39">
        <f t="shared" si="2"/>
        <v>808.50735294117646</v>
      </c>
      <c r="O49" s="39" t="e">
        <f>J49/H49</f>
        <v>#DIV/0!</v>
      </c>
      <c r="P49" s="40">
        <v>0</v>
      </c>
      <c r="Q49" s="40" t="e">
        <f>O49+P49</f>
        <v>#DIV/0!</v>
      </c>
      <c r="R49" s="40">
        <f>K49/I49</f>
        <v>409.50735294117646</v>
      </c>
      <c r="S49" s="40">
        <f>$B$68</f>
        <v>399</v>
      </c>
      <c r="T49" s="111">
        <f>R49+S49</f>
        <v>808.50735294117646</v>
      </c>
      <c r="U49" s="185">
        <f t="shared" ref="U49:AF49" si="27">SUBTOTAL(109,U45:U48)</f>
        <v>0</v>
      </c>
      <c r="V49" s="39">
        <f t="shared" si="27"/>
        <v>0</v>
      </c>
      <c r="W49" s="28">
        <f t="shared" si="27"/>
        <v>0</v>
      </c>
      <c r="X49" s="39">
        <f t="shared" si="27"/>
        <v>0</v>
      </c>
      <c r="Y49" s="28">
        <f t="shared" si="27"/>
        <v>0</v>
      </c>
      <c r="Z49" s="39">
        <f t="shared" si="27"/>
        <v>0</v>
      </c>
      <c r="AA49" s="28">
        <f t="shared" si="27"/>
        <v>0</v>
      </c>
      <c r="AB49" s="39">
        <f t="shared" si="27"/>
        <v>0</v>
      </c>
      <c r="AC49" s="28">
        <f t="shared" si="27"/>
        <v>0</v>
      </c>
      <c r="AD49" s="39">
        <f t="shared" si="27"/>
        <v>0</v>
      </c>
      <c r="AE49" s="39">
        <f t="shared" si="27"/>
        <v>0</v>
      </c>
      <c r="AF49" s="39">
        <f t="shared" si="27"/>
        <v>0</v>
      </c>
      <c r="AG49" s="180">
        <f>AD49+AE49+AF49</f>
        <v>0</v>
      </c>
      <c r="AH49" s="123">
        <f t="shared" si="4"/>
        <v>0</v>
      </c>
      <c r="AI49" s="152">
        <f t="shared" si="5"/>
        <v>0</v>
      </c>
    </row>
    <row r="50" spans="1:35" s="17" customFormat="1" ht="28.75" customHeight="1" x14ac:dyDescent="0.3">
      <c r="A50" s="19">
        <f>A48+7</f>
        <v>43743</v>
      </c>
      <c r="B50" s="5"/>
      <c r="C50" s="5"/>
      <c r="D50" s="5"/>
      <c r="E50" s="5"/>
      <c r="F50" s="5"/>
      <c r="G50" s="98">
        <f>SUM(C50:F50)</f>
        <v>0</v>
      </c>
      <c r="H50" s="6"/>
      <c r="I50" s="6"/>
      <c r="J50" s="34"/>
      <c r="K50" s="34"/>
      <c r="L50" s="35" t="e">
        <f t="shared" si="12"/>
        <v>#DIV/0!</v>
      </c>
      <c r="M50" s="35" t="e">
        <f t="shared" si="25"/>
        <v>#DIV/0!</v>
      </c>
      <c r="N50" s="35" t="e">
        <f t="shared" si="2"/>
        <v>#DIV/0!</v>
      </c>
      <c r="O50" s="36"/>
      <c r="P50" s="37"/>
      <c r="Q50" s="37"/>
      <c r="R50" s="38"/>
      <c r="S50" s="38"/>
      <c r="T50" s="110"/>
      <c r="U50" s="124"/>
      <c r="V50" s="163"/>
      <c r="W50" s="115"/>
      <c r="X50" s="162"/>
      <c r="Y50" s="114"/>
      <c r="Z50" s="162"/>
      <c r="AA50" s="114"/>
      <c r="AB50" s="162"/>
      <c r="AC50" s="115"/>
      <c r="AD50" s="163"/>
      <c r="AE50" s="163"/>
      <c r="AF50" s="163"/>
      <c r="AG50" s="161">
        <f t="shared" si="3"/>
        <v>0</v>
      </c>
      <c r="AH50" s="117">
        <f t="shared" si="4"/>
        <v>0</v>
      </c>
      <c r="AI50" s="151">
        <f t="shared" si="5"/>
        <v>0</v>
      </c>
    </row>
    <row r="51" spans="1:35" ht="28.75" customHeight="1" x14ac:dyDescent="0.3">
      <c r="A51" s="19">
        <f>A50+7</f>
        <v>43750</v>
      </c>
      <c r="B51" s="5"/>
      <c r="C51" s="5"/>
      <c r="D51" s="5"/>
      <c r="E51" s="5"/>
      <c r="F51" s="5"/>
      <c r="G51" s="98">
        <f>SUM(C51:F51)</f>
        <v>0</v>
      </c>
      <c r="H51" s="6"/>
      <c r="I51" s="6">
        <v>0.77</v>
      </c>
      <c r="J51" s="34"/>
      <c r="K51" s="34">
        <v>633.2285714285714</v>
      </c>
      <c r="L51" s="35">
        <f>SUM(K51:K51)/SUM(H51:I51)</f>
        <v>822.37476808905376</v>
      </c>
      <c r="M51" s="35">
        <f t="shared" si="25"/>
        <v>399</v>
      </c>
      <c r="N51" s="35">
        <f t="shared" si="2"/>
        <v>1221.3747680890538</v>
      </c>
      <c r="O51" s="36"/>
      <c r="P51" s="37"/>
      <c r="Q51" s="37"/>
      <c r="R51" s="38"/>
      <c r="S51" s="38"/>
      <c r="T51" s="110"/>
      <c r="U51" s="125"/>
      <c r="V51" s="162"/>
      <c r="W51" s="114"/>
      <c r="X51" s="163"/>
      <c r="Y51" s="115"/>
      <c r="Z51" s="163"/>
      <c r="AA51" s="115"/>
      <c r="AB51" s="163"/>
      <c r="AC51" s="114"/>
      <c r="AD51" s="162"/>
      <c r="AE51" s="162"/>
      <c r="AF51" s="162"/>
      <c r="AG51" s="161">
        <f t="shared" si="3"/>
        <v>0</v>
      </c>
      <c r="AH51" s="117">
        <f t="shared" si="4"/>
        <v>0</v>
      </c>
      <c r="AI51" s="151">
        <f t="shared" si="5"/>
        <v>0</v>
      </c>
    </row>
    <row r="52" spans="1:35" ht="28.75" customHeight="1" x14ac:dyDescent="0.25">
      <c r="A52" s="19">
        <f>A51+7</f>
        <v>43757</v>
      </c>
      <c r="B52" s="5"/>
      <c r="C52" s="5"/>
      <c r="D52" s="5"/>
      <c r="E52" s="5"/>
      <c r="F52" s="5"/>
      <c r="G52" s="98">
        <f>SUM(C52:F52)</f>
        <v>0</v>
      </c>
      <c r="H52" s="6"/>
      <c r="I52" s="6">
        <v>0.19</v>
      </c>
      <c r="J52" s="34"/>
      <c r="K52" s="34">
        <v>348.08</v>
      </c>
      <c r="L52" s="35">
        <f t="shared" si="12"/>
        <v>1832</v>
      </c>
      <c r="M52" s="35">
        <f t="shared" si="25"/>
        <v>399</v>
      </c>
      <c r="N52" s="35">
        <f t="shared" ref="N52:N66" si="28">L52+M52</f>
        <v>2231</v>
      </c>
      <c r="O52" s="36"/>
      <c r="P52" s="37"/>
      <c r="Q52" s="37"/>
      <c r="R52" s="38"/>
      <c r="S52" s="38"/>
      <c r="T52" s="110"/>
      <c r="U52" s="125"/>
      <c r="V52" s="162"/>
      <c r="W52" s="114"/>
      <c r="X52" s="162"/>
      <c r="Y52" s="114"/>
      <c r="Z52" s="162"/>
      <c r="AA52" s="114"/>
      <c r="AB52" s="162"/>
      <c r="AC52" s="114"/>
      <c r="AD52" s="162"/>
      <c r="AE52" s="162"/>
      <c r="AF52" s="162"/>
      <c r="AG52" s="161">
        <f t="shared" si="3"/>
        <v>0</v>
      </c>
      <c r="AH52" s="117">
        <f t="shared" si="4"/>
        <v>0</v>
      </c>
      <c r="AI52" s="151">
        <f t="shared" si="5"/>
        <v>0</v>
      </c>
    </row>
    <row r="53" spans="1:35" ht="28.75" customHeight="1" x14ac:dyDescent="0.25">
      <c r="A53" s="19">
        <f>A52+7</f>
        <v>43764</v>
      </c>
      <c r="B53" s="5"/>
      <c r="C53" s="5"/>
      <c r="D53" s="5"/>
      <c r="E53" s="5"/>
      <c r="F53" s="5"/>
      <c r="G53" s="98">
        <f>SUM(C53:F53)</f>
        <v>0</v>
      </c>
      <c r="H53" s="6"/>
      <c r="I53" s="6">
        <v>0.44</v>
      </c>
      <c r="J53" s="34"/>
      <c r="K53" s="34">
        <v>556.91999999999996</v>
      </c>
      <c r="L53" s="35">
        <f t="shared" si="12"/>
        <v>1265.7272727272725</v>
      </c>
      <c r="M53" s="35">
        <f t="shared" si="25"/>
        <v>399</v>
      </c>
      <c r="N53" s="35">
        <f t="shared" si="28"/>
        <v>1664.7272727272725</v>
      </c>
      <c r="O53" s="36"/>
      <c r="P53" s="37"/>
      <c r="Q53" s="37"/>
      <c r="R53" s="38"/>
      <c r="S53" s="38"/>
      <c r="T53" s="110"/>
      <c r="U53" s="125"/>
      <c r="V53" s="162"/>
      <c r="W53" s="114"/>
      <c r="X53" s="162"/>
      <c r="Y53" s="114"/>
      <c r="Z53" s="162"/>
      <c r="AA53" s="114"/>
      <c r="AB53" s="162"/>
      <c r="AC53" s="114"/>
      <c r="AD53" s="162"/>
      <c r="AE53" s="162"/>
      <c r="AF53" s="162"/>
      <c r="AG53" s="161">
        <f t="shared" si="3"/>
        <v>0</v>
      </c>
      <c r="AH53" s="117">
        <f t="shared" si="4"/>
        <v>0</v>
      </c>
      <c r="AI53" s="151">
        <f t="shared" si="5"/>
        <v>0</v>
      </c>
    </row>
    <row r="54" spans="1:35" ht="28.75" customHeight="1" x14ac:dyDescent="0.3">
      <c r="A54" s="27" t="s">
        <v>51</v>
      </c>
      <c r="B54" s="28">
        <f t="shared" ref="B54:G54" si="29">SUBTOTAL(109,B50:B53)</f>
        <v>0</v>
      </c>
      <c r="C54" s="28">
        <f t="shared" si="29"/>
        <v>0</v>
      </c>
      <c r="D54" s="28">
        <f t="shared" si="29"/>
        <v>0</v>
      </c>
      <c r="E54" s="28">
        <f t="shared" si="29"/>
        <v>0</v>
      </c>
      <c r="F54" s="28">
        <f t="shared" si="29"/>
        <v>0</v>
      </c>
      <c r="G54" s="28">
        <f t="shared" si="29"/>
        <v>0</v>
      </c>
      <c r="H54" s="28">
        <v>1.6</v>
      </c>
      <c r="I54" s="28">
        <f>SUBTOTAL(109,I50:I53)</f>
        <v>1.4</v>
      </c>
      <c r="J54" s="39">
        <f>SUBTOTAL(109,J50:J53)</f>
        <v>0</v>
      </c>
      <c r="K54" s="39">
        <f>SUBTOTAL(109,K50:K53)</f>
        <v>1538.2285714285713</v>
      </c>
      <c r="L54" s="39">
        <f t="shared" si="12"/>
        <v>512.74285714285713</v>
      </c>
      <c r="M54" s="39">
        <f t="shared" si="25"/>
        <v>252.86666666666665</v>
      </c>
      <c r="N54" s="39">
        <f t="shared" si="28"/>
        <v>765.60952380952381</v>
      </c>
      <c r="O54" s="39">
        <f>J54/H54</f>
        <v>0</v>
      </c>
      <c r="P54" s="40">
        <v>0</v>
      </c>
      <c r="Q54" s="40">
        <f>O54+P54</f>
        <v>0</v>
      </c>
      <c r="R54" s="40">
        <f>K54/I54</f>
        <v>1098.7346938775511</v>
      </c>
      <c r="S54" s="40">
        <f>$B$68</f>
        <v>399</v>
      </c>
      <c r="T54" s="111">
        <f>R54+S54</f>
        <v>1497.7346938775511</v>
      </c>
      <c r="U54" s="185">
        <f t="shared" ref="U54:AF54" si="30">SUBTOTAL(109,U50:U53)</f>
        <v>0</v>
      </c>
      <c r="V54" s="39">
        <f t="shared" si="30"/>
        <v>0</v>
      </c>
      <c r="W54" s="28">
        <f t="shared" si="30"/>
        <v>0</v>
      </c>
      <c r="X54" s="39">
        <f t="shared" si="30"/>
        <v>0</v>
      </c>
      <c r="Y54" s="28">
        <f t="shared" si="30"/>
        <v>0</v>
      </c>
      <c r="Z54" s="39">
        <f t="shared" si="30"/>
        <v>0</v>
      </c>
      <c r="AA54" s="28">
        <f t="shared" si="30"/>
        <v>0</v>
      </c>
      <c r="AB54" s="39">
        <f t="shared" si="30"/>
        <v>0</v>
      </c>
      <c r="AC54" s="28">
        <f t="shared" si="30"/>
        <v>0</v>
      </c>
      <c r="AD54" s="39">
        <f t="shared" si="30"/>
        <v>0</v>
      </c>
      <c r="AE54" s="39">
        <f t="shared" si="30"/>
        <v>0</v>
      </c>
      <c r="AF54" s="39">
        <f t="shared" si="30"/>
        <v>0</v>
      </c>
      <c r="AG54" s="180">
        <f>AD54+AE54+AF54</f>
        <v>0</v>
      </c>
      <c r="AH54" s="123">
        <f t="shared" si="4"/>
        <v>0</v>
      </c>
      <c r="AI54" s="152">
        <f t="shared" si="5"/>
        <v>0</v>
      </c>
    </row>
    <row r="55" spans="1:35" ht="28.75" customHeight="1" x14ac:dyDescent="0.25">
      <c r="A55" s="19">
        <f>A53+7</f>
        <v>43771</v>
      </c>
      <c r="B55" s="5"/>
      <c r="C55" s="5"/>
      <c r="D55" s="5"/>
      <c r="E55" s="5"/>
      <c r="F55" s="5"/>
      <c r="G55" s="98">
        <f>SUM(C55:F55)</f>
        <v>0</v>
      </c>
      <c r="H55" s="6"/>
      <c r="I55" s="6">
        <v>0.92</v>
      </c>
      <c r="J55" s="34"/>
      <c r="K55" s="34">
        <v>413.70476190476188</v>
      </c>
      <c r="L55" s="35">
        <f t="shared" si="12"/>
        <v>449.67908902691505</v>
      </c>
      <c r="M55" s="35">
        <f t="shared" si="25"/>
        <v>399</v>
      </c>
      <c r="N55" s="35">
        <f t="shared" si="28"/>
        <v>848.67908902691511</v>
      </c>
      <c r="O55" s="36"/>
      <c r="P55" s="37"/>
      <c r="Q55" s="37"/>
      <c r="R55" s="38"/>
      <c r="S55" s="38"/>
      <c r="T55" s="110"/>
      <c r="U55" s="125"/>
      <c r="V55" s="162"/>
      <c r="W55" s="114"/>
      <c r="X55" s="162"/>
      <c r="Y55" s="114"/>
      <c r="Z55" s="162"/>
      <c r="AA55" s="114"/>
      <c r="AB55" s="162"/>
      <c r="AC55" s="114"/>
      <c r="AD55" s="162"/>
      <c r="AE55" s="162"/>
      <c r="AF55" s="162"/>
      <c r="AG55" s="161">
        <f t="shared" si="3"/>
        <v>0</v>
      </c>
      <c r="AH55" s="117">
        <f t="shared" si="4"/>
        <v>0</v>
      </c>
      <c r="AI55" s="151">
        <f t="shared" si="5"/>
        <v>0</v>
      </c>
    </row>
    <row r="56" spans="1:35" s="17" customFormat="1" ht="28.75" customHeight="1" x14ac:dyDescent="0.3">
      <c r="A56" s="19">
        <f>A55+7</f>
        <v>43778</v>
      </c>
      <c r="B56" s="5"/>
      <c r="C56" s="5"/>
      <c r="D56" s="5"/>
      <c r="E56" s="5"/>
      <c r="F56" s="5"/>
      <c r="G56" s="98">
        <f>SUM(C56:F56)</f>
        <v>0</v>
      </c>
      <c r="H56" s="6"/>
      <c r="I56" s="6">
        <v>0.81</v>
      </c>
      <c r="J56" s="34"/>
      <c r="K56" s="34">
        <v>464.10476190476192</v>
      </c>
      <c r="L56" s="35">
        <f t="shared" si="12"/>
        <v>572.96884185773069</v>
      </c>
      <c r="M56" s="35">
        <f t="shared" si="25"/>
        <v>398.99999999999994</v>
      </c>
      <c r="N56" s="35">
        <f t="shared" si="28"/>
        <v>971.96884185773069</v>
      </c>
      <c r="O56" s="36"/>
      <c r="P56" s="37"/>
      <c r="Q56" s="37"/>
      <c r="R56" s="38"/>
      <c r="S56" s="38"/>
      <c r="T56" s="110"/>
      <c r="U56" s="124"/>
      <c r="V56" s="163"/>
      <c r="W56" s="115"/>
      <c r="X56" s="162"/>
      <c r="Y56" s="114"/>
      <c r="Z56" s="162"/>
      <c r="AA56" s="114"/>
      <c r="AB56" s="162"/>
      <c r="AC56" s="115"/>
      <c r="AD56" s="163"/>
      <c r="AE56" s="163"/>
      <c r="AF56" s="163"/>
      <c r="AG56" s="161">
        <f t="shared" si="3"/>
        <v>0</v>
      </c>
      <c r="AH56" s="117">
        <f t="shared" si="4"/>
        <v>0</v>
      </c>
      <c r="AI56" s="151">
        <f t="shared" si="5"/>
        <v>0</v>
      </c>
    </row>
    <row r="57" spans="1:35" ht="28.75" customHeight="1" x14ac:dyDescent="0.3">
      <c r="A57" s="19">
        <f>A56+7</f>
        <v>43785</v>
      </c>
      <c r="B57" s="5"/>
      <c r="C57" s="5"/>
      <c r="D57" s="5"/>
      <c r="E57" s="5"/>
      <c r="F57" s="5"/>
      <c r="G57" s="98">
        <f>SUM(C57:F57)</f>
        <v>0</v>
      </c>
      <c r="H57" s="6"/>
      <c r="I57" s="6">
        <v>0.19</v>
      </c>
      <c r="J57" s="34"/>
      <c r="K57" s="34">
        <v>344.75238095238097</v>
      </c>
      <c r="L57" s="35">
        <f t="shared" si="12"/>
        <v>1814.4862155388473</v>
      </c>
      <c r="M57" s="35">
        <f t="shared" si="25"/>
        <v>399</v>
      </c>
      <c r="N57" s="35">
        <f t="shared" si="28"/>
        <v>2213.4862155388473</v>
      </c>
      <c r="O57" s="36"/>
      <c r="P57" s="37"/>
      <c r="Q57" s="37"/>
      <c r="R57" s="38"/>
      <c r="S57" s="38"/>
      <c r="T57" s="110"/>
      <c r="U57" s="125"/>
      <c r="V57" s="162"/>
      <c r="W57" s="114"/>
      <c r="X57" s="163"/>
      <c r="Y57" s="115"/>
      <c r="Z57" s="163"/>
      <c r="AA57" s="115"/>
      <c r="AB57" s="163"/>
      <c r="AC57" s="114"/>
      <c r="AD57" s="162"/>
      <c r="AE57" s="162"/>
      <c r="AF57" s="162"/>
      <c r="AG57" s="161">
        <f t="shared" si="3"/>
        <v>0</v>
      </c>
      <c r="AH57" s="117">
        <f t="shared" si="4"/>
        <v>0</v>
      </c>
      <c r="AI57" s="151">
        <f t="shared" si="5"/>
        <v>0</v>
      </c>
    </row>
    <row r="58" spans="1:35" ht="28.75" customHeight="1" x14ac:dyDescent="0.25">
      <c r="A58" s="19">
        <f>A57+7</f>
        <v>43792</v>
      </c>
      <c r="B58" s="5"/>
      <c r="C58" s="5"/>
      <c r="D58" s="5"/>
      <c r="E58" s="5"/>
      <c r="F58" s="5"/>
      <c r="G58" s="98">
        <f>SUM(C58:F58)</f>
        <v>0</v>
      </c>
      <c r="H58" s="6"/>
      <c r="I58" s="6">
        <v>1.03</v>
      </c>
      <c r="J58" s="34"/>
      <c r="K58" s="34">
        <v>368.68571428571425</v>
      </c>
      <c r="L58" s="35">
        <f t="shared" si="12"/>
        <v>357.94729542302355</v>
      </c>
      <c r="M58" s="35">
        <f t="shared" si="25"/>
        <v>399</v>
      </c>
      <c r="N58" s="35">
        <f t="shared" si="28"/>
        <v>756.94729542302355</v>
      </c>
      <c r="O58" s="36"/>
      <c r="P58" s="37"/>
      <c r="Q58" s="37"/>
      <c r="R58" s="38"/>
      <c r="S58" s="38"/>
      <c r="T58" s="110"/>
      <c r="U58" s="125"/>
      <c r="V58" s="162"/>
      <c r="W58" s="114"/>
      <c r="X58" s="162"/>
      <c r="Y58" s="114"/>
      <c r="Z58" s="162"/>
      <c r="AA58" s="114"/>
      <c r="AB58" s="162"/>
      <c r="AC58" s="114"/>
      <c r="AD58" s="162"/>
      <c r="AE58" s="162"/>
      <c r="AF58" s="162"/>
      <c r="AG58" s="161">
        <f t="shared" si="3"/>
        <v>0</v>
      </c>
      <c r="AH58" s="117">
        <f t="shared" si="4"/>
        <v>0</v>
      </c>
      <c r="AI58" s="151">
        <f t="shared" si="5"/>
        <v>0</v>
      </c>
    </row>
    <row r="59" spans="1:35" ht="28.75" customHeight="1" x14ac:dyDescent="0.25">
      <c r="A59" s="19">
        <f>A58+7</f>
        <v>43799</v>
      </c>
      <c r="B59" s="5"/>
      <c r="C59" s="5"/>
      <c r="D59" s="5"/>
      <c r="E59" s="5"/>
      <c r="F59" s="5"/>
      <c r="G59" s="98">
        <f>SUM(C59:F59)</f>
        <v>0</v>
      </c>
      <c r="H59" s="6"/>
      <c r="I59" s="6">
        <v>0.28000000000000003</v>
      </c>
      <c r="J59" s="34"/>
      <c r="K59" s="34">
        <v>464.10476190476192</v>
      </c>
      <c r="L59" s="35">
        <f t="shared" si="12"/>
        <v>1657.517006802721</v>
      </c>
      <c r="M59" s="35">
        <f t="shared" si="25"/>
        <v>399</v>
      </c>
      <c r="N59" s="35">
        <f t="shared" si="28"/>
        <v>2056.517006802721</v>
      </c>
      <c r="O59" s="36"/>
      <c r="P59" s="37"/>
      <c r="Q59" s="37"/>
      <c r="R59" s="38"/>
      <c r="S59" s="38"/>
      <c r="T59" s="110"/>
      <c r="U59" s="125"/>
      <c r="V59" s="162"/>
      <c r="W59" s="114"/>
      <c r="X59" s="162"/>
      <c r="Y59" s="114"/>
      <c r="Z59" s="162"/>
      <c r="AA59" s="114"/>
      <c r="AB59" s="162"/>
      <c r="AC59" s="114"/>
      <c r="AD59" s="162"/>
      <c r="AE59" s="162"/>
      <c r="AF59" s="162"/>
      <c r="AG59" s="161">
        <f t="shared" si="3"/>
        <v>0</v>
      </c>
      <c r="AH59" s="117">
        <f t="shared" si="4"/>
        <v>0</v>
      </c>
      <c r="AI59" s="151">
        <f t="shared" si="5"/>
        <v>0</v>
      </c>
    </row>
    <row r="60" spans="1:35" ht="28.75" customHeight="1" x14ac:dyDescent="0.3">
      <c r="A60" s="27" t="s">
        <v>11</v>
      </c>
      <c r="B60" s="28">
        <f>SUBTOTAL(109,B55:B59)</f>
        <v>0</v>
      </c>
      <c r="C60" s="28">
        <f t="shared" ref="C60:K60" si="31">SUBTOTAL(109,C55:C59)</f>
        <v>0</v>
      </c>
      <c r="D60" s="28">
        <f t="shared" si="31"/>
        <v>0</v>
      </c>
      <c r="E60" s="28">
        <f t="shared" si="31"/>
        <v>0</v>
      </c>
      <c r="F60" s="28">
        <f t="shared" si="31"/>
        <v>0</v>
      </c>
      <c r="G60" s="28">
        <f t="shared" si="31"/>
        <v>0</v>
      </c>
      <c r="H60" s="28">
        <v>1.6</v>
      </c>
      <c r="I60" s="28">
        <f t="shared" si="31"/>
        <v>3.2300000000000004</v>
      </c>
      <c r="J60" s="39">
        <f>SUBTOTAL(109,J55:J59)</f>
        <v>0</v>
      </c>
      <c r="K60" s="39">
        <f t="shared" si="31"/>
        <v>2055.3523809523808</v>
      </c>
      <c r="L60" s="39">
        <f t="shared" si="12"/>
        <v>425.53879522823621</v>
      </c>
      <c r="M60" s="39">
        <f t="shared" si="25"/>
        <v>308.23395445134577</v>
      </c>
      <c r="N60" s="39">
        <f t="shared" si="28"/>
        <v>733.77274967958192</v>
      </c>
      <c r="O60" s="39">
        <f>J60/H60</f>
        <v>0</v>
      </c>
      <c r="P60" s="40">
        <v>0</v>
      </c>
      <c r="Q60" s="40">
        <f>O60+P60</f>
        <v>0</v>
      </c>
      <c r="R60" s="40">
        <f>K60/I60</f>
        <v>636.33200648680508</v>
      </c>
      <c r="S60" s="40">
        <f>$B$68</f>
        <v>399</v>
      </c>
      <c r="T60" s="111">
        <f>R60+S60</f>
        <v>1035.3320064868051</v>
      </c>
      <c r="U60" s="185">
        <f t="shared" ref="U60:AF60" si="32">SUBTOTAL(109,U55:U59)</f>
        <v>0</v>
      </c>
      <c r="V60" s="39">
        <f t="shared" si="32"/>
        <v>0</v>
      </c>
      <c r="W60" s="28">
        <f t="shared" si="32"/>
        <v>0</v>
      </c>
      <c r="X60" s="39">
        <f t="shared" si="32"/>
        <v>0</v>
      </c>
      <c r="Y60" s="28">
        <f t="shared" si="32"/>
        <v>0</v>
      </c>
      <c r="Z60" s="39">
        <f t="shared" si="32"/>
        <v>0</v>
      </c>
      <c r="AA60" s="28">
        <f t="shared" si="32"/>
        <v>0</v>
      </c>
      <c r="AB60" s="39">
        <f t="shared" si="32"/>
        <v>0</v>
      </c>
      <c r="AC60" s="28">
        <f t="shared" si="32"/>
        <v>0</v>
      </c>
      <c r="AD60" s="39">
        <f t="shared" si="32"/>
        <v>0</v>
      </c>
      <c r="AE60" s="39">
        <f t="shared" si="32"/>
        <v>0</v>
      </c>
      <c r="AF60" s="39">
        <f t="shared" si="32"/>
        <v>0</v>
      </c>
      <c r="AG60" s="180">
        <f>AD60+AE60+AF60</f>
        <v>0</v>
      </c>
      <c r="AH60" s="123">
        <f t="shared" si="4"/>
        <v>0</v>
      </c>
      <c r="AI60" s="152">
        <f t="shared" si="5"/>
        <v>0</v>
      </c>
    </row>
    <row r="61" spans="1:35" ht="28.75" customHeight="1" x14ac:dyDescent="0.25">
      <c r="A61" s="19">
        <f>A59+7</f>
        <v>43806</v>
      </c>
      <c r="B61" s="5"/>
      <c r="C61" s="5"/>
      <c r="D61" s="5"/>
      <c r="E61" s="5"/>
      <c r="F61" s="5"/>
      <c r="G61" s="98">
        <f>SUM(C61:F61)</f>
        <v>0</v>
      </c>
      <c r="H61" s="6"/>
      <c r="I61" s="6">
        <v>7.0000000000000007E-2</v>
      </c>
      <c r="J61" s="34"/>
      <c r="K61" s="34"/>
      <c r="L61" s="35">
        <f t="shared" si="12"/>
        <v>0</v>
      </c>
      <c r="M61" s="35">
        <f t="shared" si="25"/>
        <v>399</v>
      </c>
      <c r="N61" s="35">
        <f t="shared" si="28"/>
        <v>399</v>
      </c>
      <c r="O61" s="36"/>
      <c r="P61" s="37"/>
      <c r="Q61" s="37"/>
      <c r="R61" s="38"/>
      <c r="S61" s="38"/>
      <c r="T61" s="110"/>
      <c r="U61" s="125"/>
      <c r="V61" s="162"/>
      <c r="W61" s="114"/>
      <c r="X61" s="162"/>
      <c r="Y61" s="114"/>
      <c r="Z61" s="162"/>
      <c r="AA61" s="114"/>
      <c r="AB61" s="162"/>
      <c r="AC61" s="114"/>
      <c r="AD61" s="162"/>
      <c r="AE61" s="162"/>
      <c r="AF61" s="162"/>
      <c r="AG61" s="161">
        <f t="shared" si="3"/>
        <v>0</v>
      </c>
      <c r="AH61" s="117">
        <f t="shared" si="4"/>
        <v>0</v>
      </c>
      <c r="AI61" s="151">
        <f t="shared" si="5"/>
        <v>0</v>
      </c>
    </row>
    <row r="62" spans="1:35" s="17" customFormat="1" ht="28.75" customHeight="1" x14ac:dyDescent="0.3">
      <c r="A62" s="19">
        <f>A61+7</f>
        <v>43813</v>
      </c>
      <c r="B62" s="5"/>
      <c r="C62" s="5"/>
      <c r="D62" s="5"/>
      <c r="E62" s="5"/>
      <c r="F62" s="5"/>
      <c r="G62" s="98">
        <f>SUM(C62:F62)</f>
        <v>0</v>
      </c>
      <c r="H62" s="6"/>
      <c r="I62" s="6">
        <v>0.33</v>
      </c>
      <c r="J62" s="34"/>
      <c r="K62" s="34"/>
      <c r="L62" s="35">
        <f t="shared" si="12"/>
        <v>0</v>
      </c>
      <c r="M62" s="35">
        <f t="shared" si="25"/>
        <v>399.00000000000006</v>
      </c>
      <c r="N62" s="35">
        <f t="shared" si="28"/>
        <v>399.00000000000006</v>
      </c>
      <c r="O62" s="36"/>
      <c r="P62" s="37"/>
      <c r="Q62" s="37"/>
      <c r="R62" s="38"/>
      <c r="S62" s="38"/>
      <c r="T62" s="110"/>
      <c r="U62" s="124"/>
      <c r="V62" s="163"/>
      <c r="W62" s="115"/>
      <c r="X62" s="162"/>
      <c r="Y62" s="114"/>
      <c r="Z62" s="162"/>
      <c r="AA62" s="114"/>
      <c r="AB62" s="162"/>
      <c r="AC62" s="115"/>
      <c r="AD62" s="163"/>
      <c r="AE62" s="163"/>
      <c r="AF62" s="163"/>
      <c r="AG62" s="161">
        <f t="shared" si="3"/>
        <v>0</v>
      </c>
      <c r="AH62" s="117">
        <f t="shared" si="4"/>
        <v>0</v>
      </c>
      <c r="AI62" s="151">
        <f t="shared" si="5"/>
        <v>0</v>
      </c>
    </row>
    <row r="63" spans="1:35" ht="28.75" customHeight="1" x14ac:dyDescent="0.3">
      <c r="A63" s="19">
        <f>A62+7</f>
        <v>43820</v>
      </c>
      <c r="B63" s="5"/>
      <c r="C63" s="5"/>
      <c r="D63" s="5"/>
      <c r="E63" s="5"/>
      <c r="F63" s="5"/>
      <c r="G63" s="98">
        <f>SUM(C63:F63)</f>
        <v>0</v>
      </c>
      <c r="H63" s="6"/>
      <c r="I63" s="6"/>
      <c r="J63" s="34"/>
      <c r="K63" s="34"/>
      <c r="L63" s="35" t="e">
        <f t="shared" si="12"/>
        <v>#DIV/0!</v>
      </c>
      <c r="M63" s="35" t="e">
        <f t="shared" si="25"/>
        <v>#DIV/0!</v>
      </c>
      <c r="N63" s="35" t="e">
        <f t="shared" si="28"/>
        <v>#DIV/0!</v>
      </c>
      <c r="O63" s="36"/>
      <c r="P63" s="37"/>
      <c r="Q63" s="37"/>
      <c r="R63" s="38"/>
      <c r="S63" s="38"/>
      <c r="T63" s="110"/>
      <c r="U63" s="125"/>
      <c r="V63" s="162"/>
      <c r="W63" s="114"/>
      <c r="X63" s="163"/>
      <c r="Y63" s="115"/>
      <c r="Z63" s="163"/>
      <c r="AA63" s="115"/>
      <c r="AB63" s="163"/>
      <c r="AC63" s="114"/>
      <c r="AD63" s="162"/>
      <c r="AE63" s="162"/>
      <c r="AF63" s="162"/>
      <c r="AG63" s="161">
        <f t="shared" si="3"/>
        <v>0</v>
      </c>
      <c r="AH63" s="117">
        <f t="shared" si="4"/>
        <v>0</v>
      </c>
      <c r="AI63" s="151">
        <f t="shared" si="5"/>
        <v>0</v>
      </c>
    </row>
    <row r="64" spans="1:35" ht="28.75" customHeight="1" x14ac:dyDescent="0.25">
      <c r="A64" s="19">
        <f>A63+7</f>
        <v>43827</v>
      </c>
      <c r="B64" s="5"/>
      <c r="C64" s="5"/>
      <c r="D64" s="5"/>
      <c r="E64" s="5"/>
      <c r="F64" s="5"/>
      <c r="G64" s="98">
        <f>SUM(C64:F64)</f>
        <v>0</v>
      </c>
      <c r="H64" s="6"/>
      <c r="I64" s="6"/>
      <c r="J64" s="34"/>
      <c r="K64" s="34"/>
      <c r="L64" s="35" t="e">
        <f t="shared" si="12"/>
        <v>#DIV/0!</v>
      </c>
      <c r="M64" s="35" t="e">
        <f t="shared" si="25"/>
        <v>#DIV/0!</v>
      </c>
      <c r="N64" s="35" t="e">
        <f t="shared" si="28"/>
        <v>#DIV/0!</v>
      </c>
      <c r="O64" s="36"/>
      <c r="P64" s="37"/>
      <c r="Q64" s="37"/>
      <c r="R64" s="38"/>
      <c r="S64" s="38"/>
      <c r="T64" s="110"/>
      <c r="U64" s="125"/>
      <c r="V64" s="162"/>
      <c r="W64" s="114"/>
      <c r="X64" s="162"/>
      <c r="Y64" s="114"/>
      <c r="Z64" s="162"/>
      <c r="AA64" s="114"/>
      <c r="AB64" s="162"/>
      <c r="AC64" s="114"/>
      <c r="AD64" s="162"/>
      <c r="AE64" s="162"/>
      <c r="AF64" s="162">
        <v>-504.8</v>
      </c>
      <c r="AG64" s="161">
        <f t="shared" si="3"/>
        <v>-504.8</v>
      </c>
      <c r="AH64" s="117">
        <f t="shared" si="4"/>
        <v>0</v>
      </c>
      <c r="AI64" s="151">
        <f t="shared" si="5"/>
        <v>-504.8</v>
      </c>
    </row>
    <row r="65" spans="1:35" ht="28.75" customHeight="1" thickBot="1" x14ac:dyDescent="0.35">
      <c r="A65" s="27" t="s">
        <v>12</v>
      </c>
      <c r="B65" s="28">
        <f>SUBTOTAL(109,B61:B64)</f>
        <v>0</v>
      </c>
      <c r="C65" s="28">
        <f t="shared" ref="C65:K65" si="33">SUBTOTAL(109,C61:C64)</f>
        <v>0</v>
      </c>
      <c r="D65" s="28">
        <f t="shared" si="33"/>
        <v>0</v>
      </c>
      <c r="E65" s="28">
        <f t="shared" si="33"/>
        <v>0</v>
      </c>
      <c r="F65" s="28">
        <f t="shared" si="33"/>
        <v>0</v>
      </c>
      <c r="G65" s="28">
        <f t="shared" si="33"/>
        <v>0</v>
      </c>
      <c r="H65" s="28">
        <v>1.6</v>
      </c>
      <c r="I65" s="28">
        <f t="shared" si="33"/>
        <v>0.4</v>
      </c>
      <c r="J65" s="39">
        <f>SUBTOTAL(109,J61:J64)</f>
        <v>0</v>
      </c>
      <c r="K65" s="39">
        <f t="shared" si="33"/>
        <v>0</v>
      </c>
      <c r="L65" s="39">
        <f t="shared" si="12"/>
        <v>0</v>
      </c>
      <c r="M65" s="39">
        <f t="shared" si="25"/>
        <v>179.8</v>
      </c>
      <c r="N65" s="39">
        <f t="shared" si="28"/>
        <v>179.8</v>
      </c>
      <c r="O65" s="39">
        <f>J65/H65</f>
        <v>0</v>
      </c>
      <c r="P65" s="63">
        <v>0</v>
      </c>
      <c r="Q65" s="63">
        <f>O65+P65</f>
        <v>0</v>
      </c>
      <c r="R65" s="63">
        <f>K65/I65</f>
        <v>0</v>
      </c>
      <c r="S65" s="63">
        <f>$B$68</f>
        <v>399</v>
      </c>
      <c r="T65" s="112">
        <f>R65+S65</f>
        <v>399</v>
      </c>
      <c r="U65" s="128">
        <f t="shared" ref="U65:AF65" si="34">SUBTOTAL(109,U61:U64)</f>
        <v>0</v>
      </c>
      <c r="V65" s="112">
        <f t="shared" si="34"/>
        <v>0</v>
      </c>
      <c r="W65" s="129">
        <f t="shared" si="34"/>
        <v>0</v>
      </c>
      <c r="X65" s="112">
        <f t="shared" si="34"/>
        <v>0</v>
      </c>
      <c r="Y65" s="129">
        <f t="shared" si="34"/>
        <v>0</v>
      </c>
      <c r="Z65" s="112">
        <f t="shared" si="34"/>
        <v>0</v>
      </c>
      <c r="AA65" s="129">
        <f t="shared" si="34"/>
        <v>0</v>
      </c>
      <c r="AB65" s="112">
        <f t="shared" si="34"/>
        <v>0</v>
      </c>
      <c r="AC65" s="129">
        <f t="shared" si="34"/>
        <v>0</v>
      </c>
      <c r="AD65" s="112">
        <f t="shared" si="34"/>
        <v>0</v>
      </c>
      <c r="AE65" s="112">
        <f t="shared" si="34"/>
        <v>0</v>
      </c>
      <c r="AF65" s="112">
        <f t="shared" si="34"/>
        <v>-504.8</v>
      </c>
      <c r="AG65" s="180">
        <f>AD65+AE65+AF65</f>
        <v>-504.8</v>
      </c>
      <c r="AH65" s="130">
        <f t="shared" si="4"/>
        <v>0</v>
      </c>
      <c r="AI65" s="153">
        <f t="shared" si="5"/>
        <v>-504.8</v>
      </c>
    </row>
    <row r="66" spans="1:35" ht="28.75" customHeight="1" thickBot="1" x14ac:dyDescent="0.35">
      <c r="A66" s="20" t="s">
        <v>79</v>
      </c>
      <c r="B66" s="99">
        <f t="shared" ref="B66:J66" si="35">SUBTOTAL(109,B2:B64)</f>
        <v>3</v>
      </c>
      <c r="C66" s="11">
        <f t="shared" si="35"/>
        <v>157</v>
      </c>
      <c r="D66" s="11">
        <f t="shared" si="35"/>
        <v>21</v>
      </c>
      <c r="E66" s="11">
        <f t="shared" si="35"/>
        <v>4</v>
      </c>
      <c r="F66" s="11">
        <f t="shared" si="35"/>
        <v>0</v>
      </c>
      <c r="G66" s="11">
        <f t="shared" si="35"/>
        <v>166</v>
      </c>
      <c r="H66" s="10">
        <f t="shared" si="35"/>
        <v>14.95</v>
      </c>
      <c r="I66" s="10">
        <f t="shared" si="35"/>
        <v>19.914000000000001</v>
      </c>
      <c r="J66" s="41">
        <f t="shared" si="35"/>
        <v>5391.2380952380954</v>
      </c>
      <c r="K66" s="41">
        <f>SUBTOTAL(109,K2:K64)</f>
        <v>17952.62238095238</v>
      </c>
      <c r="L66" s="42">
        <f t="shared" si="12"/>
        <v>514.93295034856521</v>
      </c>
      <c r="M66" s="43">
        <f t="shared" si="25"/>
        <v>281.50631023405231</v>
      </c>
      <c r="N66" s="42">
        <f t="shared" si="28"/>
        <v>796.43926058261752</v>
      </c>
      <c r="O66" s="44">
        <f>J66/H66</f>
        <v>360.61793279184587</v>
      </c>
      <c r="P66" s="44">
        <f>$B$69</f>
        <v>125</v>
      </c>
      <c r="Q66" s="44">
        <f>O66+P66</f>
        <v>485.61793279184587</v>
      </c>
      <c r="R66" s="84">
        <f>K66/I66</f>
        <v>901.50760173507979</v>
      </c>
      <c r="S66" s="84">
        <f>SUM(I6,I11, I17,I22,I28,I33,I38,I44,I49,I54,I60,I65)*B68/I66</f>
        <v>398.99999999999989</v>
      </c>
      <c r="T66" s="113">
        <f>R66+S66</f>
        <v>1300.5076017350798</v>
      </c>
      <c r="U66" s="131">
        <f>SUBTOTAL(109,U2:U64)</f>
        <v>1.41</v>
      </c>
      <c r="V66" s="164">
        <f>SUBTOTAL(109,V2:V64)</f>
        <v>-310.42</v>
      </c>
      <c r="W66" s="11">
        <f>SUBTOTAL(109,W2:W64)</f>
        <v>2.7</v>
      </c>
      <c r="X66" s="164">
        <f>SUBTOTAL(109,X2:X64)</f>
        <v>-592.84</v>
      </c>
      <c r="Y66" s="11">
        <f t="shared" ref="Y66:AF66" si="36">SUBTOTAL(109,Y2:Y64)</f>
        <v>0</v>
      </c>
      <c r="Z66" s="164">
        <f t="shared" si="36"/>
        <v>0</v>
      </c>
      <c r="AA66" s="11">
        <f t="shared" si="36"/>
        <v>0</v>
      </c>
      <c r="AB66" s="164">
        <f t="shared" si="36"/>
        <v>0</v>
      </c>
      <c r="AC66" s="11">
        <f t="shared" si="36"/>
        <v>0</v>
      </c>
      <c r="AD66" s="164"/>
      <c r="AE66" s="164">
        <f t="shared" si="36"/>
        <v>-894.6</v>
      </c>
      <c r="AF66" s="164">
        <f t="shared" si="36"/>
        <v>-504.8</v>
      </c>
      <c r="AG66" s="181">
        <f>AE66+AF66</f>
        <v>-1399.4</v>
      </c>
      <c r="AH66" s="132">
        <f t="shared" si="4"/>
        <v>4.1100000000000003</v>
      </c>
      <c r="AI66" s="182">
        <f t="shared" si="5"/>
        <v>-2302.66</v>
      </c>
    </row>
    <row r="67" spans="1:35" s="17" customFormat="1" ht="28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AC67" s="1"/>
      <c r="AD67" s="1"/>
    </row>
    <row r="68" spans="1:35" ht="13" x14ac:dyDescent="0.3">
      <c r="A68" s="95" t="s">
        <v>13</v>
      </c>
      <c r="B68" s="62">
        <v>399</v>
      </c>
      <c r="C68" s="21" t="s">
        <v>90</v>
      </c>
      <c r="J68" s="4"/>
      <c r="AC68" s="17"/>
      <c r="AD68" s="17"/>
    </row>
    <row r="69" spans="1:35" x14ac:dyDescent="0.25">
      <c r="A69" s="1"/>
      <c r="B69" s="62">
        <v>125</v>
      </c>
      <c r="C69" s="21" t="s">
        <v>14</v>
      </c>
    </row>
    <row r="70" spans="1:35" ht="28.75" customHeight="1" x14ac:dyDescent="0.25">
      <c r="A70" s="1"/>
      <c r="C70" s="62"/>
      <c r="D70" s="21"/>
    </row>
    <row r="71" spans="1:35" ht="39" x14ac:dyDescent="0.3">
      <c r="A71" s="31" t="s">
        <v>23</v>
      </c>
      <c r="B71" s="32" t="s">
        <v>36</v>
      </c>
      <c r="C71" s="32" t="s">
        <v>37</v>
      </c>
      <c r="D71" s="32" t="s">
        <v>39</v>
      </c>
      <c r="E71" s="32" t="s">
        <v>40</v>
      </c>
      <c r="F71" s="17" t="s">
        <v>41</v>
      </c>
      <c r="G71" s="32" t="s">
        <v>45</v>
      </c>
      <c r="H71" s="32" t="s">
        <v>43</v>
      </c>
      <c r="I71" s="32" t="s">
        <v>44</v>
      </c>
      <c r="J71" s="48" t="s">
        <v>46</v>
      </c>
      <c r="K71" s="32" t="s">
        <v>91</v>
      </c>
      <c r="L71" s="32" t="s">
        <v>92</v>
      </c>
      <c r="M71" s="32" t="s">
        <v>93</v>
      </c>
      <c r="N71" s="32" t="s">
        <v>94</v>
      </c>
      <c r="O71" s="32" t="s">
        <v>95</v>
      </c>
      <c r="P71" s="32" t="s">
        <v>96</v>
      </c>
      <c r="Q71" s="32"/>
      <c r="R71" s="32"/>
      <c r="S71" s="17"/>
      <c r="T71" s="17"/>
      <c r="U71" s="17"/>
      <c r="V71" s="17"/>
    </row>
    <row r="72" spans="1:35" x14ac:dyDescent="0.25">
      <c r="A72" s="21" t="s">
        <v>27</v>
      </c>
      <c r="B72" s="1">
        <f>H6</f>
        <v>1.28</v>
      </c>
      <c r="C72" s="1">
        <f>I6</f>
        <v>0.61099999999999999</v>
      </c>
      <c r="D72" s="30">
        <f t="shared" ref="D72:D83" si="37">B72*$B$69+C72*$B$68</f>
        <v>403.78899999999999</v>
      </c>
      <c r="E72" s="22">
        <f>SUM(J6:K6)</f>
        <v>897.80952380952385</v>
      </c>
      <c r="F72" s="30">
        <f t="shared" ref="F72:F83" si="38">SUM(D72:E72)</f>
        <v>1301.5985238095238</v>
      </c>
      <c r="G72" s="30">
        <f>Q6</f>
        <v>515.625</v>
      </c>
      <c r="H72" s="30">
        <f>T6</f>
        <v>1050.0794170368638</v>
      </c>
      <c r="I72" s="22">
        <f t="shared" ref="I72:I83" si="39">F72/SUM(B72:C72)</f>
        <v>688.31228123190044</v>
      </c>
      <c r="J72" s="30">
        <f t="array" ref="J72">AVERAGE(IF(ISNUMBER(I72),I72))</f>
        <v>688.31228123190044</v>
      </c>
      <c r="K72" s="1">
        <f>AH6</f>
        <v>0</v>
      </c>
      <c r="L72" s="22">
        <f>AI6</f>
        <v>0</v>
      </c>
      <c r="M72" s="1" t="e">
        <f>L72/K72</f>
        <v>#DIV/0!</v>
      </c>
      <c r="N72" s="1">
        <f>B72+C72+K72</f>
        <v>1.891</v>
      </c>
      <c r="O72" s="30">
        <f>F72+L72</f>
        <v>1301.5985238095238</v>
      </c>
      <c r="P72" s="22" t="e">
        <f>O72/M72</f>
        <v>#DIV/0!</v>
      </c>
    </row>
    <row r="73" spans="1:35" x14ac:dyDescent="0.25">
      <c r="A73" s="21" t="s">
        <v>28</v>
      </c>
      <c r="B73" s="1">
        <f>H11</f>
        <v>1.1100000000000001</v>
      </c>
      <c r="C73" s="1">
        <f>I11</f>
        <v>1.3730000000000002</v>
      </c>
      <c r="D73" s="30">
        <f t="shared" si="37"/>
        <v>686.57700000000011</v>
      </c>
      <c r="E73" s="22">
        <f>SUM(J11:K11)</f>
        <v>2223.8000000000002</v>
      </c>
      <c r="F73" s="30">
        <f t="shared" si="38"/>
        <v>2910.3770000000004</v>
      </c>
      <c r="G73" s="30">
        <f>Q11</f>
        <v>575.45045045045049</v>
      </c>
      <c r="H73" s="30">
        <f>T11</f>
        <v>1654.4989075018207</v>
      </c>
      <c r="I73" s="22">
        <f t="shared" si="39"/>
        <v>1172.1212243254126</v>
      </c>
      <c r="J73" s="30">
        <f>AVERAGE(IF(ISNUMBER(I72:I73),I72:I73))</f>
        <v>930.21675277865654</v>
      </c>
      <c r="K73" s="1">
        <f>AH11</f>
        <v>0</v>
      </c>
      <c r="L73" s="22">
        <f>AI11</f>
        <v>-44.1</v>
      </c>
      <c r="M73" s="1" t="e">
        <f t="shared" ref="M73:M83" si="40">L73/K73</f>
        <v>#DIV/0!</v>
      </c>
      <c r="N73" s="1">
        <f t="shared" ref="N73:N83" si="41">B73+C73+K73</f>
        <v>2.4830000000000005</v>
      </c>
      <c r="O73" s="30">
        <f t="shared" ref="O73:O83" si="42">F73+L73</f>
        <v>2866.2770000000005</v>
      </c>
      <c r="P73" s="22" t="e">
        <f t="shared" ref="P73:P83" si="43">O73/M73</f>
        <v>#DIV/0!</v>
      </c>
    </row>
    <row r="74" spans="1:35" s="17" customFormat="1" ht="13" x14ac:dyDescent="0.3">
      <c r="A74" s="21" t="s">
        <v>29</v>
      </c>
      <c r="B74" s="1">
        <f>H17</f>
        <v>1.27</v>
      </c>
      <c r="C74" s="1">
        <f>I17</f>
        <v>2.14</v>
      </c>
      <c r="D74" s="30">
        <f t="shared" si="37"/>
        <v>1012.61</v>
      </c>
      <c r="E74" s="22">
        <f>SUM(J17:K17)</f>
        <v>2651.4447619047619</v>
      </c>
      <c r="F74" s="30">
        <f t="shared" si="38"/>
        <v>3664.054761904762</v>
      </c>
      <c r="G74" s="30">
        <f>Q17</f>
        <v>518.70078740157487</v>
      </c>
      <c r="H74" s="30">
        <f>T17</f>
        <v>1404.3480195816644</v>
      </c>
      <c r="I74" s="22">
        <f t="shared" si="39"/>
        <v>1074.5028627286692</v>
      </c>
      <c r="J74" s="30">
        <f>AVERAGE(IF(ISNUMBER(I72:I74),I72:I74))</f>
        <v>978.31212276199403</v>
      </c>
      <c r="K74" s="1">
        <f>AH17</f>
        <v>0</v>
      </c>
      <c r="L74" s="22">
        <f>AI17</f>
        <v>-40.950000000000003</v>
      </c>
      <c r="M74" s="1" t="e">
        <f t="shared" si="40"/>
        <v>#DIV/0!</v>
      </c>
      <c r="N74" s="1">
        <f t="shared" si="41"/>
        <v>3.41</v>
      </c>
      <c r="O74" s="30">
        <f t="shared" si="42"/>
        <v>3623.1047619047622</v>
      </c>
      <c r="P74" s="22" t="e">
        <f t="shared" si="43"/>
        <v>#DIV/0!</v>
      </c>
      <c r="Q74" s="1"/>
      <c r="R74" s="1"/>
      <c r="S74" s="1"/>
      <c r="T74" s="1"/>
      <c r="U74" s="1"/>
      <c r="V74" s="1"/>
      <c r="AE74" s="1"/>
    </row>
    <row r="75" spans="1:35" ht="13" x14ac:dyDescent="0.3">
      <c r="A75" s="21" t="s">
        <v>30</v>
      </c>
      <c r="B75" s="1">
        <f>H22</f>
        <v>1.1299999999999999</v>
      </c>
      <c r="C75" s="1">
        <f>I22</f>
        <v>1.67</v>
      </c>
      <c r="D75" s="30">
        <f t="shared" si="37"/>
        <v>807.57999999999993</v>
      </c>
      <c r="E75" s="22">
        <f>SUM(J28:K28)</f>
        <v>2408.8000000000002</v>
      </c>
      <c r="F75" s="30">
        <f t="shared" si="38"/>
        <v>3216.38</v>
      </c>
      <c r="G75" s="30">
        <f>Q22</f>
        <v>567.4778761061948</v>
      </c>
      <c r="H75" s="30">
        <f>T22</f>
        <v>1629.7214143142287</v>
      </c>
      <c r="I75" s="22">
        <f t="shared" si="39"/>
        <v>1148.707142857143</v>
      </c>
      <c r="J75" s="30">
        <f>AVERAGE(IF(ISNUMBER(I72:I75),I72:I75))</f>
        <v>1020.9108777857813</v>
      </c>
      <c r="K75" s="1">
        <f>AH22</f>
        <v>0</v>
      </c>
      <c r="L75" s="22">
        <f>AI22</f>
        <v>-137.89999999999998</v>
      </c>
      <c r="M75" s="1" t="e">
        <f t="shared" si="40"/>
        <v>#DIV/0!</v>
      </c>
      <c r="N75" s="1">
        <f t="shared" si="41"/>
        <v>2.8</v>
      </c>
      <c r="O75" s="30">
        <f t="shared" si="42"/>
        <v>3078.48</v>
      </c>
      <c r="P75" s="22" t="e">
        <f t="shared" si="43"/>
        <v>#DIV/0!</v>
      </c>
      <c r="AE75" s="17"/>
    </row>
    <row r="76" spans="1:35" x14ac:dyDescent="0.25">
      <c r="A76" s="21" t="s">
        <v>31</v>
      </c>
      <c r="B76" s="1">
        <f>H28</f>
        <v>2.16</v>
      </c>
      <c r="C76" s="1">
        <f>I28</f>
        <v>2.37</v>
      </c>
      <c r="D76" s="30">
        <f t="shared" si="37"/>
        <v>1215.6300000000001</v>
      </c>
      <c r="E76" s="22">
        <f>SUM(J33:K33)</f>
        <v>2882.1142857142859</v>
      </c>
      <c r="F76" s="30">
        <f t="shared" si="38"/>
        <v>4097.744285714286</v>
      </c>
      <c r="G76" s="30">
        <f>Q28</f>
        <v>266.38447971781306</v>
      </c>
      <c r="H76" s="30">
        <f>T28</f>
        <v>1286.5145670082379</v>
      </c>
      <c r="I76" s="22">
        <f t="shared" si="39"/>
        <v>904.5793125197099</v>
      </c>
      <c r="J76" s="30">
        <f>AVERAGE(IF(ISNUMBER(I72:I76),I72:I76))</f>
        <v>997.64456473256701</v>
      </c>
      <c r="K76" s="1">
        <f>AH28</f>
        <v>2.7</v>
      </c>
      <c r="L76" s="22">
        <f>AI28</f>
        <v>-674.74</v>
      </c>
      <c r="M76" s="1">
        <f t="shared" si="40"/>
        <v>-249.90370370370368</v>
      </c>
      <c r="N76" s="1">
        <f t="shared" si="41"/>
        <v>7.23</v>
      </c>
      <c r="O76" s="30">
        <f t="shared" si="42"/>
        <v>3423.0042857142862</v>
      </c>
      <c r="P76" s="22">
        <f t="shared" si="43"/>
        <v>-13.697293137250753</v>
      </c>
    </row>
    <row r="77" spans="1:35" x14ac:dyDescent="0.25">
      <c r="A77" s="21" t="s">
        <v>32</v>
      </c>
      <c r="B77" s="1">
        <f>H33</f>
        <v>1.6</v>
      </c>
      <c r="C77" s="1">
        <f>I33</f>
        <v>1.75</v>
      </c>
      <c r="D77" s="30">
        <f t="shared" si="37"/>
        <v>898.25</v>
      </c>
      <c r="E77" s="22">
        <f>SUM(J38:K38)</f>
        <v>1850.6285714285714</v>
      </c>
      <c r="F77" s="30">
        <f t="shared" si="38"/>
        <v>2748.8785714285714</v>
      </c>
      <c r="G77" s="30">
        <f>Q33</f>
        <v>682.49999999999977</v>
      </c>
      <c r="H77" s="30">
        <f>T33</f>
        <v>1421.922448979592</v>
      </c>
      <c r="I77" s="22">
        <f t="shared" si="39"/>
        <v>820.5607675906183</v>
      </c>
      <c r="J77" s="30">
        <f>AVERAGE(IF(ISNUMBER(I72:I77),I72:I77))</f>
        <v>968.1305985422423</v>
      </c>
      <c r="K77" s="1">
        <f>AH33</f>
        <v>1.41</v>
      </c>
      <c r="L77" s="22">
        <f>AI33</f>
        <v>-310.42</v>
      </c>
      <c r="M77" s="1">
        <f t="shared" si="40"/>
        <v>-220.15602836879435</v>
      </c>
      <c r="N77" s="1">
        <f t="shared" si="41"/>
        <v>4.76</v>
      </c>
      <c r="O77" s="30">
        <f t="shared" si="42"/>
        <v>2438.4585714285713</v>
      </c>
      <c r="P77" s="22">
        <f t="shared" si="43"/>
        <v>-11.076047244746746</v>
      </c>
    </row>
    <row r="78" spans="1:35" x14ac:dyDescent="0.25">
      <c r="A78" s="21" t="s">
        <v>33</v>
      </c>
      <c r="B78" s="1">
        <f>H38</f>
        <v>1.6</v>
      </c>
      <c r="C78" s="1">
        <f>I38</f>
        <v>1.3499999999999999</v>
      </c>
      <c r="D78" s="30">
        <f t="shared" si="37"/>
        <v>738.65</v>
      </c>
      <c r="E78" s="22">
        <f>SUM(J44:K44)</f>
        <v>3109.0666666666666</v>
      </c>
      <c r="F78" s="30">
        <f t="shared" si="38"/>
        <v>3847.7166666666667</v>
      </c>
      <c r="G78" s="30">
        <f>Q38</f>
        <v>203.57142857142856</v>
      </c>
      <c r="H78" s="30">
        <f>T38</f>
        <v>1528.5661375661375</v>
      </c>
      <c r="I78" s="22">
        <f t="shared" si="39"/>
        <v>1304.3107344632767</v>
      </c>
      <c r="J78" s="30">
        <f>AVERAGE(IF(ISNUMBER(I72:I78),I72:I78))</f>
        <v>1016.1563322452473</v>
      </c>
      <c r="K78" s="1">
        <f>AH38</f>
        <v>0</v>
      </c>
      <c r="L78" s="22">
        <f>AI38</f>
        <v>0</v>
      </c>
      <c r="M78" s="1" t="e">
        <f t="shared" si="40"/>
        <v>#DIV/0!</v>
      </c>
      <c r="N78" s="1">
        <f t="shared" si="41"/>
        <v>2.95</v>
      </c>
      <c r="O78" s="30">
        <f t="shared" si="42"/>
        <v>3847.7166666666667</v>
      </c>
      <c r="P78" s="22" t="e">
        <f t="shared" si="43"/>
        <v>#DIV/0!</v>
      </c>
    </row>
    <row r="79" spans="1:35" s="17" customFormat="1" ht="13" x14ac:dyDescent="0.3">
      <c r="A79" s="21" t="s">
        <v>34</v>
      </c>
      <c r="B79" s="1">
        <f>H44</f>
        <v>1.6</v>
      </c>
      <c r="C79" s="1">
        <f>I44</f>
        <v>2.2600000000000002</v>
      </c>
      <c r="D79" s="30">
        <f t="shared" si="37"/>
        <v>1101.7400000000002</v>
      </c>
      <c r="E79" s="22">
        <f>SUM(J49:K49)</f>
        <v>1171.3109523809524</v>
      </c>
      <c r="F79" s="30">
        <f t="shared" si="38"/>
        <v>2273.0509523809524</v>
      </c>
      <c r="G79" s="30">
        <f>Q44</f>
        <v>658.59523809523807</v>
      </c>
      <c r="H79" s="30">
        <f>T44</f>
        <v>1308.4310998735778</v>
      </c>
      <c r="I79" s="22">
        <f t="shared" si="39"/>
        <v>588.87330372563531</v>
      </c>
      <c r="J79" s="30">
        <f>AVERAGE(IF(ISNUMBER(I72:I79),I72:I79))</f>
        <v>962.74595368029577</v>
      </c>
      <c r="K79" s="1">
        <f>AH44</f>
        <v>0</v>
      </c>
      <c r="L79" s="22">
        <f>AI44</f>
        <v>0</v>
      </c>
      <c r="M79" s="1" t="e">
        <f t="shared" si="40"/>
        <v>#DIV/0!</v>
      </c>
      <c r="N79" s="1">
        <f t="shared" si="41"/>
        <v>3.8600000000000003</v>
      </c>
      <c r="O79" s="30">
        <f t="shared" si="42"/>
        <v>2273.0509523809524</v>
      </c>
      <c r="P79" s="22" t="e">
        <f t="shared" si="43"/>
        <v>#DIV/0!</v>
      </c>
      <c r="Q79" s="1"/>
      <c r="R79" s="1"/>
      <c r="S79" s="1"/>
      <c r="T79" s="1"/>
      <c r="U79" s="1"/>
      <c r="V79" s="1"/>
      <c r="AE79" s="1"/>
    </row>
    <row r="80" spans="1:35" s="17" customFormat="1" ht="13" x14ac:dyDescent="0.3">
      <c r="A80" s="21" t="s">
        <v>35</v>
      </c>
      <c r="B80" s="1">
        <f>H49</f>
        <v>0</v>
      </c>
      <c r="C80" s="1">
        <f>I49</f>
        <v>1.3599999999999999</v>
      </c>
      <c r="D80" s="30">
        <f t="shared" si="37"/>
        <v>542.64</v>
      </c>
      <c r="E80" s="22">
        <f>SUM(J49:K49)</f>
        <v>1171.3109523809524</v>
      </c>
      <c r="F80" s="30">
        <f t="shared" si="38"/>
        <v>1713.9509523809525</v>
      </c>
      <c r="G80" s="30" t="e">
        <f>Q49</f>
        <v>#DIV/0!</v>
      </c>
      <c r="H80" s="30">
        <f>T49</f>
        <v>808.50735294117646</v>
      </c>
      <c r="I80" s="22">
        <f t="shared" si="39"/>
        <v>1260.2580532212887</v>
      </c>
      <c r="J80" s="30">
        <f>AVERAGE(IF(ISNUMBER(I72:I80),I72:I80))</f>
        <v>995.80285362929499</v>
      </c>
      <c r="K80" s="1">
        <f>AH49</f>
        <v>0</v>
      </c>
      <c r="L80" s="22">
        <f>AI49</f>
        <v>0</v>
      </c>
      <c r="M80" s="1" t="e">
        <f t="shared" si="40"/>
        <v>#DIV/0!</v>
      </c>
      <c r="N80" s="1">
        <f t="shared" si="41"/>
        <v>1.3599999999999999</v>
      </c>
      <c r="O80" s="30">
        <f t="shared" si="42"/>
        <v>1713.9509523809525</v>
      </c>
      <c r="P80" s="22" t="e">
        <f t="shared" si="43"/>
        <v>#DIV/0!</v>
      </c>
      <c r="Q80" s="1"/>
      <c r="R80" s="1"/>
      <c r="S80" s="1"/>
      <c r="T80" s="1"/>
      <c r="U80" s="1"/>
      <c r="V80" s="1"/>
    </row>
    <row r="81" spans="1:31" ht="13" x14ac:dyDescent="0.3">
      <c r="A81" s="21" t="s">
        <v>24</v>
      </c>
      <c r="B81" s="1">
        <f>H54</f>
        <v>1.6</v>
      </c>
      <c r="C81" s="1">
        <f>I54</f>
        <v>1.4</v>
      </c>
      <c r="D81" s="30">
        <f t="shared" si="37"/>
        <v>758.59999999999991</v>
      </c>
      <c r="E81" s="22">
        <f>SUM(J54:K54)</f>
        <v>1538.2285714285713</v>
      </c>
      <c r="F81" s="30">
        <f t="shared" si="38"/>
        <v>2296.8285714285712</v>
      </c>
      <c r="G81" s="30">
        <f>Q54</f>
        <v>0</v>
      </c>
      <c r="H81" s="30">
        <f>T54</f>
        <v>1497.7346938775511</v>
      </c>
      <c r="I81" s="22">
        <f t="shared" si="39"/>
        <v>765.60952380952369</v>
      </c>
      <c r="J81" s="30">
        <f>AVERAGE(IF(ISNUMBER(I72:I81),I72:I81))</f>
        <v>972.78352064731791</v>
      </c>
      <c r="K81" s="1">
        <f>AH54</f>
        <v>0</v>
      </c>
      <c r="L81" s="22">
        <f>AI54</f>
        <v>0</v>
      </c>
      <c r="M81" s="1" t="e">
        <f t="shared" si="40"/>
        <v>#DIV/0!</v>
      </c>
      <c r="N81" s="1">
        <f t="shared" si="41"/>
        <v>3</v>
      </c>
      <c r="O81" s="30">
        <f t="shared" si="42"/>
        <v>2296.8285714285712</v>
      </c>
      <c r="P81" s="22" t="e">
        <f t="shared" si="43"/>
        <v>#DIV/0!</v>
      </c>
      <c r="AE81" s="17"/>
    </row>
    <row r="82" spans="1:31" x14ac:dyDescent="0.25">
      <c r="A82" s="21" t="s">
        <v>25</v>
      </c>
      <c r="B82" s="1">
        <f>H60</f>
        <v>1.6</v>
      </c>
      <c r="C82" s="1">
        <f>I60</f>
        <v>3.2300000000000004</v>
      </c>
      <c r="D82" s="30">
        <f t="shared" si="37"/>
        <v>1488.7700000000002</v>
      </c>
      <c r="E82" s="22">
        <f>SUM(J60:K60)</f>
        <v>2055.3523809523808</v>
      </c>
      <c r="F82" s="30">
        <f t="shared" si="38"/>
        <v>3544.1223809523808</v>
      </c>
      <c r="G82" s="30">
        <f>Q60</f>
        <v>0</v>
      </c>
      <c r="H82" s="30">
        <f>T60</f>
        <v>1035.3320064868051</v>
      </c>
      <c r="I82" s="22">
        <f t="shared" si="39"/>
        <v>733.77274967958192</v>
      </c>
      <c r="J82" s="30">
        <f>AVERAGE(IF(ISNUMBER(I72:I82),I72:I82))</f>
        <v>951.05526874116003</v>
      </c>
      <c r="K82" s="1">
        <f>AH60</f>
        <v>0</v>
      </c>
      <c r="L82" s="22">
        <f>AI60</f>
        <v>0</v>
      </c>
      <c r="M82" s="1" t="e">
        <f t="shared" si="40"/>
        <v>#DIV/0!</v>
      </c>
      <c r="N82" s="1">
        <f t="shared" si="41"/>
        <v>4.83</v>
      </c>
      <c r="O82" s="30">
        <f t="shared" si="42"/>
        <v>3544.1223809523808</v>
      </c>
      <c r="P82" s="22" t="e">
        <f t="shared" si="43"/>
        <v>#DIV/0!</v>
      </c>
    </row>
    <row r="83" spans="1:31" x14ac:dyDescent="0.25">
      <c r="A83" s="21" t="s">
        <v>26</v>
      </c>
      <c r="B83" s="1">
        <f>H65</f>
        <v>1.6</v>
      </c>
      <c r="C83" s="1">
        <f>I65</f>
        <v>0.4</v>
      </c>
      <c r="D83" s="30">
        <f t="shared" si="37"/>
        <v>359.6</v>
      </c>
      <c r="E83" s="22">
        <f>SUM(J65:K65)</f>
        <v>0</v>
      </c>
      <c r="F83" s="30">
        <f t="shared" si="38"/>
        <v>359.6</v>
      </c>
      <c r="G83" s="30">
        <f>Q65</f>
        <v>0</v>
      </c>
      <c r="H83" s="30">
        <f>T65</f>
        <v>399</v>
      </c>
      <c r="I83" s="22">
        <f t="shared" si="39"/>
        <v>179.8</v>
      </c>
      <c r="J83" s="30">
        <f>AVERAGE(IF(ISNUMBER(I72:I83),I72:I83))</f>
        <v>886.7839963460633</v>
      </c>
      <c r="K83" s="1">
        <f>AH65</f>
        <v>0</v>
      </c>
      <c r="L83" s="22">
        <f>AI65</f>
        <v>-504.8</v>
      </c>
      <c r="M83" s="1" t="e">
        <f t="shared" si="40"/>
        <v>#DIV/0!</v>
      </c>
      <c r="N83" s="1">
        <f t="shared" si="41"/>
        <v>2</v>
      </c>
      <c r="O83" s="30">
        <f t="shared" si="42"/>
        <v>-145.19999999999999</v>
      </c>
      <c r="P83" s="22" t="e">
        <f t="shared" si="43"/>
        <v>#DIV/0!</v>
      </c>
    </row>
    <row r="84" spans="1:31" s="17" customFormat="1" ht="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AC84" s="1"/>
      <c r="AD84" s="1"/>
    </row>
    <row r="85" spans="1:31" ht="25" x14ac:dyDescent="0.25">
      <c r="A85" s="33" t="s">
        <v>72</v>
      </c>
      <c r="B85" s="3">
        <f>AVERAGEIF(B72:B83,"&lt;&gt;0")</f>
        <v>1.5045454545454546</v>
      </c>
      <c r="C85" s="3">
        <f>AVERAGEIF(C72:C83,"&lt;&gt;0")</f>
        <v>1.6594999999999998</v>
      </c>
      <c r="D85" s="3">
        <f>AVERAGEIF(D72:D83,"&lt;&gt;0")</f>
        <v>834.53633333333335</v>
      </c>
      <c r="E85" s="3">
        <f>AVERAGEIF(E72:E83,"&lt;&gt;0")</f>
        <v>1996.3515151515151</v>
      </c>
      <c r="F85" s="22">
        <f>AVERAGEIF(F72:F83,"&lt;&gt;0")</f>
        <v>2664.5252222222221</v>
      </c>
      <c r="G85" s="22">
        <f>AVERAGE(IF(ISNUMBER(H72:H83),H72:H83))</f>
        <v>0</v>
      </c>
      <c r="H85" s="22">
        <f>AVERAGE(IF(ISNUMBER(I72:I83),I72:I83))</f>
        <v>0</v>
      </c>
      <c r="I85" s="22">
        <f>AVERAGE(IF(ISNUMBER(J72:J83),J72:J83))</f>
        <v>0</v>
      </c>
      <c r="J85" s="22">
        <f>AVERAGE(IF(ISNUMBER(K72:K83),K72:K83))</f>
        <v>0</v>
      </c>
      <c r="K85" s="22">
        <f t="shared" ref="K85:P85" si="44">AVERAGE(IF(ISNUMBER(L72:L83),L72:L83))</f>
        <v>0</v>
      </c>
      <c r="L85" s="22">
        <f t="shared" si="44"/>
        <v>0</v>
      </c>
      <c r="M85" s="22">
        <f t="shared" si="44"/>
        <v>0</v>
      </c>
      <c r="N85" s="1">
        <f t="shared" si="44"/>
        <v>0</v>
      </c>
      <c r="O85" s="22">
        <f t="shared" si="44"/>
        <v>0</v>
      </c>
      <c r="P85" s="22">
        <f t="shared" si="44"/>
        <v>0</v>
      </c>
    </row>
    <row r="86" spans="1:31" ht="13" x14ac:dyDescent="0.3">
      <c r="A86" s="95" t="s">
        <v>73</v>
      </c>
      <c r="B86" s="17">
        <f>SUM(B72:B83)</f>
        <v>16.55</v>
      </c>
      <c r="C86" s="17">
        <f>SUM(C72:C83)</f>
        <v>19.913999999999998</v>
      </c>
      <c r="D86" s="97">
        <f>SUM(D72:D83)</f>
        <v>10014.436</v>
      </c>
      <c r="E86" s="97">
        <f>SUM(E72:E83)</f>
        <v>21959.866666666665</v>
      </c>
      <c r="F86" s="97">
        <f>SUM(F72:F83)</f>
        <v>31974.302666666666</v>
      </c>
      <c r="G86" s="96">
        <f>Q66</f>
        <v>485.61793279184587</v>
      </c>
      <c r="H86" s="96">
        <f>T66</f>
        <v>1300.5076017350798</v>
      </c>
      <c r="I86" s="97">
        <f>F86/SUM(B86:C86)</f>
        <v>876.87315342986687</v>
      </c>
      <c r="K86" s="1">
        <f>SUM(K72:K83)</f>
        <v>4.1100000000000003</v>
      </c>
      <c r="L86" s="22">
        <f>SUM(L72:L83)</f>
        <v>-1712.91</v>
      </c>
      <c r="M86" s="1">
        <f>AI66/AH66</f>
        <v>-560.25790754257901</v>
      </c>
      <c r="N86" s="1">
        <f>SUM(N72:N83)</f>
        <v>40.573999999999998</v>
      </c>
      <c r="O86" s="22">
        <f>SUM(O72:O83)</f>
        <v>30261.392666666667</v>
      </c>
      <c r="P86" s="22">
        <f>O86/N86</f>
        <v>745.83212566339694</v>
      </c>
    </row>
    <row r="87" spans="1:31" x14ac:dyDescent="0.25">
      <c r="A87" s="1"/>
    </row>
    <row r="88" spans="1:31" x14ac:dyDescent="0.25">
      <c r="A88" s="1"/>
    </row>
    <row r="90" spans="1:31" x14ac:dyDescent="0.25">
      <c r="A90" s="1"/>
    </row>
    <row r="91" spans="1:31" x14ac:dyDescent="0.25">
      <c r="A91" s="1"/>
    </row>
    <row r="92" spans="1:31" x14ac:dyDescent="0.25">
      <c r="A92" s="1"/>
    </row>
    <row r="93" spans="1:31" x14ac:dyDescent="0.25">
      <c r="A93" s="1"/>
    </row>
    <row r="94" spans="1:31" x14ac:dyDescent="0.25">
      <c r="A94" s="1"/>
    </row>
    <row r="95" spans="1:31" x14ac:dyDescent="0.25">
      <c r="A95" s="1"/>
    </row>
    <row r="96" spans="1:3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</sheetData>
  <pageMargins left="0.25" right="0.25" top="0.75" bottom="0.75" header="0.3" footer="0.3"/>
  <pageSetup paperSize="9" orientation="landscape" r:id="rId1"/>
  <headerFooter>
    <oddHeader xml:space="preserve">&amp;C&amp;"Arial,Bold"&amp;14Kitwanga Transfer Station PPP Mega-Bag Tracking            
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692-1722-41D3-A6FC-A8949CEBB78A}">
  <sheetPr>
    <tabColor theme="9" tint="0.39997558519241921"/>
  </sheetPr>
  <dimension ref="A1:AK86"/>
  <sheetViews>
    <sheetView zoomScale="90" zoomScaleNormal="90" workbookViewId="0">
      <pane ySplit="1" topLeftCell="A2" activePane="bottomLeft" state="frozen"/>
      <selection pane="bottomLeft" activeCell="N65" sqref="N65"/>
    </sheetView>
  </sheetViews>
  <sheetFormatPr defaultColWidth="9.1796875" defaultRowHeight="18.75" customHeight="1" x14ac:dyDescent="0.3"/>
  <cols>
    <col min="1" max="1" width="19.54296875" style="55" bestFit="1" customWidth="1"/>
    <col min="2" max="4" width="12.54296875" style="55" customWidth="1"/>
    <col min="5" max="5" width="11.54296875" style="55" customWidth="1"/>
    <col min="6" max="6" width="11.54296875" style="55" hidden="1" customWidth="1"/>
    <col min="7" max="9" width="13.453125" style="55" customWidth="1"/>
    <col min="10" max="12" width="12.54296875" style="55" customWidth="1"/>
    <col min="13" max="13" width="11.1796875" style="55" customWidth="1"/>
    <col min="14" max="14" width="11.7265625" style="55" bestFit="1" customWidth="1"/>
    <col min="15" max="15" width="13.453125" style="55" customWidth="1"/>
    <col min="16" max="19" width="9.1796875" style="55"/>
    <col min="20" max="20" width="12.54296875" style="55" customWidth="1"/>
    <col min="21" max="21" width="13.453125" style="55" customWidth="1"/>
    <col min="22" max="28" width="9.1796875" style="55"/>
    <col min="29" max="29" width="9.1796875" style="55" customWidth="1"/>
    <col min="30" max="16384" width="9.1796875" style="55"/>
  </cols>
  <sheetData>
    <row r="1" spans="1:31" ht="18.75" customHeight="1" thickBot="1" x14ac:dyDescent="0.35">
      <c r="A1" s="21"/>
      <c r="B1" s="420" t="s">
        <v>123</v>
      </c>
      <c r="C1" s="421"/>
      <c r="D1" s="421"/>
      <c r="E1" s="421"/>
      <c r="F1" s="421"/>
      <c r="G1" s="421"/>
      <c r="H1" s="421"/>
      <c r="I1" s="421"/>
      <c r="J1" s="421"/>
      <c r="K1" s="422"/>
      <c r="L1" s="417" t="s">
        <v>88</v>
      </c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  <c r="AC1" s="418"/>
      <c r="AD1" s="418"/>
      <c r="AE1" s="419"/>
    </row>
    <row r="2" spans="1:31" ht="78.5" thickBot="1" x14ac:dyDescent="0.35">
      <c r="A2" s="101" t="s">
        <v>141</v>
      </c>
      <c r="B2" s="106" t="s">
        <v>120</v>
      </c>
      <c r="C2" s="106" t="s">
        <v>114</v>
      </c>
      <c r="D2" s="106" t="s">
        <v>78</v>
      </c>
      <c r="E2" s="106" t="s">
        <v>121</v>
      </c>
      <c r="F2" s="106" t="s">
        <v>62</v>
      </c>
      <c r="G2" s="106" t="s">
        <v>111</v>
      </c>
      <c r="H2" s="186" t="s">
        <v>98</v>
      </c>
      <c r="I2" s="175" t="s">
        <v>18</v>
      </c>
      <c r="J2" s="175" t="s">
        <v>19</v>
      </c>
      <c r="K2" s="175" t="s">
        <v>20</v>
      </c>
      <c r="L2" s="165" t="s">
        <v>110</v>
      </c>
      <c r="M2" s="106" t="s">
        <v>109</v>
      </c>
      <c r="N2" s="106" t="s">
        <v>122</v>
      </c>
      <c r="O2" s="121" t="s">
        <v>80</v>
      </c>
      <c r="P2" s="121" t="s">
        <v>106</v>
      </c>
      <c r="Q2" s="121" t="s">
        <v>81</v>
      </c>
      <c r="R2" s="121" t="s">
        <v>105</v>
      </c>
      <c r="S2" s="121" t="s">
        <v>84</v>
      </c>
      <c r="T2" s="121" t="s">
        <v>104</v>
      </c>
      <c r="U2" s="121" t="s">
        <v>85</v>
      </c>
      <c r="V2" s="121" t="s">
        <v>86</v>
      </c>
      <c r="W2" s="121" t="s">
        <v>82</v>
      </c>
      <c r="X2" s="121" t="s">
        <v>103</v>
      </c>
      <c r="Y2" s="121" t="s">
        <v>102</v>
      </c>
      <c r="Z2" s="121" t="s">
        <v>83</v>
      </c>
      <c r="AA2" s="121" t="s">
        <v>112</v>
      </c>
      <c r="AB2" s="121" t="s">
        <v>119</v>
      </c>
      <c r="AC2" s="121" t="s">
        <v>113</v>
      </c>
      <c r="AD2" s="121" t="s">
        <v>87</v>
      </c>
      <c r="AE2" s="122" t="s">
        <v>89</v>
      </c>
    </row>
    <row r="3" spans="1:31" ht="14" x14ac:dyDescent="0.3">
      <c r="A3" s="73">
        <v>43469</v>
      </c>
      <c r="B3" s="73"/>
      <c r="C3" s="74"/>
      <c r="D3" s="74">
        <v>0.54</v>
      </c>
      <c r="E3" s="242">
        <f>696.15/1.05</f>
        <v>663</v>
      </c>
      <c r="F3" s="78"/>
      <c r="G3" s="78"/>
      <c r="H3" s="248">
        <f>E3+G3</f>
        <v>663</v>
      </c>
      <c r="I3" s="176"/>
      <c r="J3" s="161"/>
      <c r="K3" s="177"/>
      <c r="L3" s="169"/>
      <c r="M3" s="74"/>
      <c r="N3" s="176"/>
      <c r="O3" s="117"/>
      <c r="P3" s="117"/>
      <c r="Q3" s="117"/>
      <c r="R3" s="118"/>
      <c r="S3" s="118"/>
      <c r="T3" s="118"/>
      <c r="U3" s="118"/>
      <c r="V3" s="118"/>
      <c r="W3" s="119"/>
      <c r="X3" s="117"/>
      <c r="Y3" s="117"/>
      <c r="Z3" s="117">
        <f>X3+Y3</f>
        <v>0</v>
      </c>
      <c r="AA3" s="117"/>
      <c r="AB3" s="117"/>
      <c r="AC3" s="117"/>
      <c r="AD3" s="117">
        <f>M3+O3+Q3+W3</f>
        <v>0</v>
      </c>
      <c r="AE3" s="174">
        <f>N3+P3+R3+T3+V3+Z3+AB3</f>
        <v>0</v>
      </c>
    </row>
    <row r="4" spans="1:31" ht="18.75" customHeight="1" x14ac:dyDescent="0.3">
      <c r="A4" s="19">
        <f>A3+7</f>
        <v>43476</v>
      </c>
      <c r="B4" s="19"/>
      <c r="C4" s="24"/>
      <c r="D4" s="24">
        <v>0.83199999999999996</v>
      </c>
      <c r="E4" s="243">
        <f>974.61/1.05</f>
        <v>928.19999999999993</v>
      </c>
      <c r="F4" s="16"/>
      <c r="G4" s="16"/>
      <c r="H4" s="248">
        <f t="shared" ref="H4:H67" si="0">E4+G4</f>
        <v>928.19999999999993</v>
      </c>
      <c r="I4" s="35"/>
      <c r="J4" s="162"/>
      <c r="K4" s="178"/>
      <c r="L4" s="170"/>
      <c r="M4" s="24">
        <v>0.19</v>
      </c>
      <c r="N4" s="35"/>
      <c r="O4" s="115"/>
      <c r="P4" s="115"/>
      <c r="Q4" s="115"/>
      <c r="R4" s="115"/>
      <c r="S4" s="115"/>
      <c r="T4" s="115"/>
      <c r="U4" s="115"/>
      <c r="V4" s="115"/>
      <c r="W4" s="115"/>
      <c r="X4" s="114"/>
      <c r="Y4" s="115"/>
      <c r="Z4" s="117">
        <f t="shared" ref="Z4:Z66" si="1">X4+Y4</f>
        <v>0</v>
      </c>
      <c r="AA4" s="115"/>
      <c r="AB4" s="115"/>
      <c r="AC4" s="115"/>
      <c r="AD4" s="117">
        <f>M4+O4+Q4+W4</f>
        <v>0.19</v>
      </c>
      <c r="AE4" s="174">
        <f>N4+P4+R4+T4+V4+Z4+AB4</f>
        <v>0</v>
      </c>
    </row>
    <row r="5" spans="1:31" ht="18.75" customHeight="1" x14ac:dyDescent="0.3">
      <c r="A5" s="19">
        <f>A4+7</f>
        <v>43483</v>
      </c>
      <c r="B5" s="19"/>
      <c r="C5" s="24"/>
      <c r="D5" s="24"/>
      <c r="E5" s="243"/>
      <c r="F5" s="16"/>
      <c r="G5" s="16"/>
      <c r="H5" s="248">
        <f t="shared" si="0"/>
        <v>0</v>
      </c>
      <c r="I5" s="35"/>
      <c r="J5" s="162"/>
      <c r="K5" s="178"/>
      <c r="L5" s="170"/>
      <c r="M5" s="24"/>
      <c r="N5" s="35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7">
        <f t="shared" si="1"/>
        <v>0</v>
      </c>
      <c r="AA5" s="114"/>
      <c r="AB5" s="114"/>
      <c r="AC5" s="114"/>
      <c r="AD5" s="117">
        <f>M5+O5+Q5+W5</f>
        <v>0</v>
      </c>
      <c r="AE5" s="174">
        <f>N5+P5+R5+T5+V5+Z5+AB5</f>
        <v>0</v>
      </c>
    </row>
    <row r="6" spans="1:31" ht="18.75" customHeight="1" x14ac:dyDescent="0.3">
      <c r="A6" s="19">
        <f>A5+7</f>
        <v>43490</v>
      </c>
      <c r="B6" s="19"/>
      <c r="C6" s="24"/>
      <c r="D6" s="24">
        <v>0.45300000000000001</v>
      </c>
      <c r="E6" s="243">
        <f>(696.15+835.38)/1.05</f>
        <v>1458.6</v>
      </c>
      <c r="F6" s="35"/>
      <c r="G6" s="35"/>
      <c r="H6" s="248">
        <f t="shared" si="0"/>
        <v>1458.6</v>
      </c>
      <c r="I6" s="35"/>
      <c r="J6" s="162"/>
      <c r="K6" s="178"/>
      <c r="L6" s="170"/>
      <c r="M6" s="24">
        <v>0.54400000000000004</v>
      </c>
      <c r="N6" s="35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7">
        <f t="shared" si="1"/>
        <v>0</v>
      </c>
      <c r="AA6" s="114"/>
      <c r="AB6" s="114"/>
      <c r="AC6" s="114"/>
      <c r="AD6" s="117">
        <f>M6+O6+Q6+W6</f>
        <v>0.54400000000000004</v>
      </c>
      <c r="AE6" s="174">
        <f>N6+P6+R6+T6+V6+Z6+AB6</f>
        <v>0</v>
      </c>
    </row>
    <row r="7" spans="1:31" ht="18.75" customHeight="1" x14ac:dyDescent="0.3">
      <c r="A7" s="27" t="s">
        <v>54</v>
      </c>
      <c r="B7" s="28">
        <f>SUBTOTAL(109,B3:B6)</f>
        <v>0</v>
      </c>
      <c r="C7" s="28">
        <f>SUBTOTAL(109,C3:C6)</f>
        <v>0</v>
      </c>
      <c r="D7" s="28">
        <f>SUBTOTAL(109,D3:D6)</f>
        <v>1.825</v>
      </c>
      <c r="E7" s="244">
        <f>SUBTOTAL(109,E3:E6)</f>
        <v>3049.7999999999997</v>
      </c>
      <c r="F7" s="39">
        <f>SUBTOTAL(109,F3:F6)</f>
        <v>0</v>
      </c>
      <c r="G7" s="39">
        <f>D7*$B$69</f>
        <v>228.125</v>
      </c>
      <c r="H7" s="249">
        <f t="shared" si="0"/>
        <v>3277.9249999999997</v>
      </c>
      <c r="I7" s="39">
        <f>SUM(E7:F7)/D7</f>
        <v>1671.1232876712327</v>
      </c>
      <c r="J7" s="40">
        <f>$B$69</f>
        <v>125</v>
      </c>
      <c r="K7" s="111">
        <f>H7/D7</f>
        <v>1796.1232876712327</v>
      </c>
      <c r="L7" s="126">
        <f t="shared" ref="L7:S7" si="2">SUBTOTAL(109,L3:L6)</f>
        <v>0</v>
      </c>
      <c r="M7" s="28">
        <f t="shared" si="2"/>
        <v>0.73399999999999999</v>
      </c>
      <c r="N7" s="39">
        <f t="shared" si="2"/>
        <v>0</v>
      </c>
      <c r="O7" s="14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 t="shared" ref="T7:AD7" si="3">SUBTOTAL(109,T3:T6)</f>
        <v>0</v>
      </c>
      <c r="U7" s="28">
        <f t="shared" si="3"/>
        <v>0</v>
      </c>
      <c r="V7" s="28">
        <f t="shared" si="3"/>
        <v>0</v>
      </c>
      <c r="W7" s="28">
        <f t="shared" si="3"/>
        <v>0</v>
      </c>
      <c r="X7" s="28">
        <f t="shared" si="3"/>
        <v>0</v>
      </c>
      <c r="Y7" s="28">
        <f t="shared" si="3"/>
        <v>0</v>
      </c>
      <c r="Z7" s="123">
        <f t="shared" si="1"/>
        <v>0</v>
      </c>
      <c r="AA7" s="28">
        <f t="shared" si="3"/>
        <v>0</v>
      </c>
      <c r="AB7" s="28">
        <f t="shared" si="3"/>
        <v>0</v>
      </c>
      <c r="AC7" s="28">
        <f t="shared" si="3"/>
        <v>0</v>
      </c>
      <c r="AD7" s="187">
        <f t="shared" si="3"/>
        <v>0.73399999999999999</v>
      </c>
      <c r="AE7" s="150">
        <f>SUBTOTAL(109,AE3:AE6)</f>
        <v>0</v>
      </c>
    </row>
    <row r="8" spans="1:31" ht="18.75" customHeight="1" x14ac:dyDescent="0.3">
      <c r="A8" s="19">
        <f>A6+7</f>
        <v>43497</v>
      </c>
      <c r="B8" s="19"/>
      <c r="C8" s="24"/>
      <c r="D8" s="24">
        <v>0.81</v>
      </c>
      <c r="E8" s="243">
        <f>696.15/1.05</f>
        <v>663</v>
      </c>
      <c r="F8" s="35"/>
      <c r="G8" s="35"/>
      <c r="H8" s="248">
        <f t="shared" si="0"/>
        <v>663</v>
      </c>
      <c r="I8" s="35"/>
      <c r="J8" s="162"/>
      <c r="K8" s="224">
        <f t="shared" ref="K8:K67" si="4">H8/D8</f>
        <v>818.51851851851848</v>
      </c>
      <c r="L8" s="170"/>
      <c r="M8" s="24"/>
      <c r="N8" s="35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7">
        <f t="shared" si="1"/>
        <v>0</v>
      </c>
      <c r="AA8" s="114"/>
      <c r="AB8" s="114"/>
      <c r="AC8" s="114"/>
      <c r="AD8" s="117">
        <f>M8+O8+Q8+W8</f>
        <v>0</v>
      </c>
      <c r="AE8" s="174">
        <f>N8+P8+R8+T8+V8+Z8+AB8</f>
        <v>0</v>
      </c>
    </row>
    <row r="9" spans="1:31" ht="18.75" customHeight="1" x14ac:dyDescent="0.3">
      <c r="A9" s="19">
        <f>A8+7</f>
        <v>43504</v>
      </c>
      <c r="B9" s="19"/>
      <c r="C9" s="24"/>
      <c r="D9" s="24">
        <v>0.79</v>
      </c>
      <c r="E9" s="243">
        <f>556.92/1.05</f>
        <v>530.4</v>
      </c>
      <c r="F9" s="35"/>
      <c r="G9" s="35"/>
      <c r="H9" s="248">
        <f t="shared" si="0"/>
        <v>530.4</v>
      </c>
      <c r="I9" s="35"/>
      <c r="J9" s="162"/>
      <c r="K9" s="224">
        <f t="shared" si="4"/>
        <v>671.39240506329111</v>
      </c>
      <c r="L9" s="170"/>
      <c r="M9" s="24"/>
      <c r="N9" s="35"/>
      <c r="O9" s="116"/>
      <c r="P9" s="115"/>
      <c r="Q9" s="115"/>
      <c r="R9" s="114"/>
      <c r="S9" s="114"/>
      <c r="T9" s="114"/>
      <c r="U9" s="114"/>
      <c r="V9" s="114"/>
      <c r="W9" s="115"/>
      <c r="X9" s="115"/>
      <c r="Y9" s="115"/>
      <c r="Z9" s="117">
        <f t="shared" si="1"/>
        <v>0</v>
      </c>
      <c r="AA9" s="115"/>
      <c r="AB9" s="115"/>
      <c r="AC9" s="115"/>
      <c r="AD9" s="117">
        <f>M9+O9+Q9+W9</f>
        <v>0</v>
      </c>
      <c r="AE9" s="174">
        <f>N9+P9+R9+T9+V9+Z9+AB9</f>
        <v>0</v>
      </c>
    </row>
    <row r="10" spans="1:31" ht="18.75" customHeight="1" x14ac:dyDescent="0.3">
      <c r="A10" s="19">
        <f>A9+7</f>
        <v>43511</v>
      </c>
      <c r="B10" s="19"/>
      <c r="C10" s="24"/>
      <c r="D10" s="24">
        <v>0.51</v>
      </c>
      <c r="E10" s="243">
        <f>626.54/1.05</f>
        <v>596.70476190476188</v>
      </c>
      <c r="F10" s="35"/>
      <c r="G10" s="35"/>
      <c r="H10" s="248">
        <f t="shared" si="0"/>
        <v>596.70476190476188</v>
      </c>
      <c r="I10" s="35"/>
      <c r="J10" s="162"/>
      <c r="K10" s="224">
        <f t="shared" si="4"/>
        <v>1170.0093370681604</v>
      </c>
      <c r="L10" s="170"/>
      <c r="M10" s="24">
        <v>0.64700000000000002</v>
      </c>
      <c r="N10" s="35"/>
      <c r="O10" s="114"/>
      <c r="P10" s="114"/>
      <c r="Q10" s="114"/>
      <c r="R10" s="115"/>
      <c r="S10" s="115"/>
      <c r="T10" s="115"/>
      <c r="U10" s="115"/>
      <c r="V10" s="115"/>
      <c r="W10" s="114"/>
      <c r="X10" s="114"/>
      <c r="Y10" s="114"/>
      <c r="Z10" s="117">
        <f t="shared" si="1"/>
        <v>0</v>
      </c>
      <c r="AA10" s="114"/>
      <c r="AB10" s="114"/>
      <c r="AC10" s="114"/>
      <c r="AD10" s="117">
        <f>M10+O10+Q10+W10</f>
        <v>0.64700000000000002</v>
      </c>
      <c r="AE10" s="174">
        <f>N10+P10+R10+T10+V10+Z10+AB10</f>
        <v>0</v>
      </c>
    </row>
    <row r="11" spans="1:31" ht="18.75" customHeight="1" x14ac:dyDescent="0.3">
      <c r="A11" s="19">
        <f>A10+7</f>
        <v>43518</v>
      </c>
      <c r="B11" s="19"/>
      <c r="C11" s="24"/>
      <c r="D11" s="24">
        <v>0.36</v>
      </c>
      <c r="E11" s="243">
        <f>487.31/1.05</f>
        <v>464.10476190476192</v>
      </c>
      <c r="F11" s="35"/>
      <c r="G11" s="35"/>
      <c r="H11" s="248">
        <f t="shared" si="0"/>
        <v>464.10476190476192</v>
      </c>
      <c r="I11" s="35"/>
      <c r="J11" s="162"/>
      <c r="K11" s="224">
        <f t="shared" si="4"/>
        <v>1289.1798941798943</v>
      </c>
      <c r="L11" s="170"/>
      <c r="M11" s="24"/>
      <c r="N11" s="35">
        <v>-219.86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7">
        <f t="shared" si="1"/>
        <v>0</v>
      </c>
      <c r="AA11" s="114"/>
      <c r="AB11" s="114"/>
      <c r="AC11" s="114"/>
      <c r="AD11" s="117">
        <f>M11+O11+Q11+W11</f>
        <v>0</v>
      </c>
      <c r="AE11" s="174">
        <f>N11+P11+R11+T11+V11+Z11+AB11</f>
        <v>-219.86</v>
      </c>
    </row>
    <row r="12" spans="1:31" ht="18.75" customHeight="1" x14ac:dyDescent="0.3">
      <c r="A12" s="27" t="s">
        <v>55</v>
      </c>
      <c r="B12" s="28">
        <f>SUBTOTAL(109,B8:B11)</f>
        <v>0</v>
      </c>
      <c r="C12" s="28">
        <f>SUBTOTAL(109,C8:C11)</f>
        <v>0</v>
      </c>
      <c r="D12" s="28">
        <f>SUBTOTAL(109,D8:D11)</f>
        <v>2.4700000000000002</v>
      </c>
      <c r="E12" s="245">
        <f>SUBTOTAL(109,E8:E11)</f>
        <v>2254.2095238095239</v>
      </c>
      <c r="F12" s="39">
        <f>SUBTOTAL(109,F8:F11)</f>
        <v>0</v>
      </c>
      <c r="G12" s="39">
        <f>(D12*$B$69)+((D12*$B$69)*0.05)</f>
        <v>324.1875</v>
      </c>
      <c r="H12" s="249">
        <f t="shared" si="0"/>
        <v>2578.3970238095239</v>
      </c>
      <c r="I12" s="39">
        <f>SUM(E12:F12)/D12</f>
        <v>912.63543474069786</v>
      </c>
      <c r="J12" s="40">
        <f>$B$69</f>
        <v>125</v>
      </c>
      <c r="K12" s="111">
        <f t="shared" si="4"/>
        <v>1043.885434740698</v>
      </c>
      <c r="L12" s="126">
        <f>SUBTOTAL(109,L8:L11)</f>
        <v>0</v>
      </c>
      <c r="M12" s="28">
        <f>SUBTOTAL(109,M8:M11)</f>
        <v>0.64700000000000002</v>
      </c>
      <c r="N12" s="39">
        <v>-219.86</v>
      </c>
      <c r="O12" s="148">
        <f>SUBTOTAL(109,O8:O11)</f>
        <v>0</v>
      </c>
      <c r="P12" s="28">
        <f>SUBTOTAL(109,P8:P11)</f>
        <v>0</v>
      </c>
      <c r="Q12" s="28">
        <f>SUBTOTAL(109,Q8:Q11)</f>
        <v>0</v>
      </c>
      <c r="R12" s="28">
        <f>SUBTOTAL(109,R8:R11)</f>
        <v>0</v>
      </c>
      <c r="S12" s="28">
        <f>SUBTOTAL(109,S8:S11)</f>
        <v>0</v>
      </c>
      <c r="T12" s="28">
        <f t="shared" ref="T12:AD12" si="5">SUBTOTAL(109,T8:T11)</f>
        <v>0</v>
      </c>
      <c r="U12" s="28">
        <f t="shared" si="5"/>
        <v>0</v>
      </c>
      <c r="V12" s="28">
        <f t="shared" si="5"/>
        <v>0</v>
      </c>
      <c r="W12" s="28">
        <f t="shared" si="5"/>
        <v>0</v>
      </c>
      <c r="X12" s="28">
        <f t="shared" si="5"/>
        <v>0</v>
      </c>
      <c r="Y12" s="28">
        <f t="shared" si="5"/>
        <v>0</v>
      </c>
      <c r="Z12" s="123">
        <f t="shared" si="1"/>
        <v>0</v>
      </c>
      <c r="AA12" s="28">
        <f t="shared" si="5"/>
        <v>0</v>
      </c>
      <c r="AB12" s="28">
        <f t="shared" si="5"/>
        <v>0</v>
      </c>
      <c r="AC12" s="28">
        <f t="shared" si="5"/>
        <v>0</v>
      </c>
      <c r="AD12" s="187">
        <f t="shared" si="5"/>
        <v>0.64700000000000002</v>
      </c>
      <c r="AE12" s="150">
        <f>SUBTOTAL(109,AE8:AE11)</f>
        <v>-219.86</v>
      </c>
    </row>
    <row r="13" spans="1:31" ht="18.75" customHeight="1" x14ac:dyDescent="0.3">
      <c r="A13" s="19">
        <f>A11+7</f>
        <v>43525</v>
      </c>
      <c r="B13" s="19"/>
      <c r="C13" s="24"/>
      <c r="D13" s="24">
        <v>0.43</v>
      </c>
      <c r="E13" s="243">
        <f>556.92/1.05</f>
        <v>530.4</v>
      </c>
      <c r="F13" s="35"/>
      <c r="G13" s="223">
        <f>(D13*$B$69)+((D13*$B$69)*0.05)</f>
        <v>56.4375</v>
      </c>
      <c r="H13" s="248">
        <f t="shared" si="0"/>
        <v>586.83749999999998</v>
      </c>
      <c r="I13" s="35"/>
      <c r="J13" s="162"/>
      <c r="K13" s="225">
        <f t="shared" si="4"/>
        <v>1364.7383720930231</v>
      </c>
      <c r="L13" s="170"/>
      <c r="M13" s="24"/>
      <c r="N13" s="35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7">
        <f t="shared" si="1"/>
        <v>0</v>
      </c>
      <c r="AA13" s="114"/>
      <c r="AB13" s="114"/>
      <c r="AC13" s="114"/>
      <c r="AD13" s="117">
        <f>M13+O13+Q13+W13</f>
        <v>0</v>
      </c>
      <c r="AE13" s="174">
        <f>N13+P13+R13+T13+V13+Z13+AB13</f>
        <v>0</v>
      </c>
    </row>
    <row r="14" spans="1:31" ht="18.75" customHeight="1" x14ac:dyDescent="0.3">
      <c r="A14" s="19">
        <f>A13+7</f>
        <v>43532</v>
      </c>
      <c r="B14" s="19"/>
      <c r="C14" s="24"/>
      <c r="D14" s="24">
        <v>0.47</v>
      </c>
      <c r="E14" s="243">
        <f>556.92/1.05</f>
        <v>530.4</v>
      </c>
      <c r="F14" s="35"/>
      <c r="G14" s="223">
        <f t="shared" ref="G14:G34" si="6">(D14*$B$69)+((D14*$B$69)*0.05)</f>
        <v>61.6875</v>
      </c>
      <c r="H14" s="248">
        <f t="shared" si="0"/>
        <v>592.08749999999998</v>
      </c>
      <c r="I14" s="35"/>
      <c r="J14" s="162"/>
      <c r="K14" s="225">
        <f t="shared" si="4"/>
        <v>1259.7606382978724</v>
      </c>
      <c r="L14" s="170"/>
      <c r="M14" s="24"/>
      <c r="N14" s="35"/>
      <c r="O14" s="115"/>
      <c r="P14" s="115"/>
      <c r="Q14" s="115"/>
      <c r="R14" s="114"/>
      <c r="S14" s="114"/>
      <c r="T14" s="114"/>
      <c r="U14" s="114"/>
      <c r="V14" s="114"/>
      <c r="W14" s="115"/>
      <c r="X14" s="115"/>
      <c r="Y14" s="115"/>
      <c r="Z14" s="117">
        <f t="shared" si="1"/>
        <v>0</v>
      </c>
      <c r="AA14" s="115"/>
      <c r="AB14" s="115"/>
      <c r="AC14" s="115"/>
      <c r="AD14" s="117">
        <f>M14+O14+Q14+W14</f>
        <v>0</v>
      </c>
      <c r="AE14" s="174">
        <f>N14+P14+R14+T14+V14+Z14+AB14</f>
        <v>0</v>
      </c>
    </row>
    <row r="15" spans="1:31" ht="18.75" customHeight="1" x14ac:dyDescent="0.3">
      <c r="A15" s="19">
        <f>A14+7</f>
        <v>43539</v>
      </c>
      <c r="B15" s="19"/>
      <c r="C15" s="24"/>
      <c r="D15" s="24">
        <v>0.47</v>
      </c>
      <c r="E15" s="243">
        <f>417.69/1.05</f>
        <v>397.79999999999995</v>
      </c>
      <c r="F15" s="35"/>
      <c r="G15" s="223">
        <f t="shared" si="6"/>
        <v>61.6875</v>
      </c>
      <c r="H15" s="248">
        <f t="shared" si="0"/>
        <v>459.48749999999995</v>
      </c>
      <c r="I15" s="35"/>
      <c r="J15" s="162"/>
      <c r="K15" s="225">
        <f t="shared" si="4"/>
        <v>977.63297872340422</v>
      </c>
      <c r="L15" s="170"/>
      <c r="M15" s="24"/>
      <c r="N15" s="35"/>
      <c r="O15" s="114"/>
      <c r="P15" s="114"/>
      <c r="Q15" s="114"/>
      <c r="R15" s="115"/>
      <c r="S15" s="115"/>
      <c r="T15" s="115"/>
      <c r="U15" s="115"/>
      <c r="V15" s="115"/>
      <c r="W15" s="114"/>
      <c r="X15" s="114"/>
      <c r="Y15" s="114"/>
      <c r="Z15" s="117">
        <f t="shared" si="1"/>
        <v>0</v>
      </c>
      <c r="AA15" s="114"/>
      <c r="AB15" s="114"/>
      <c r="AC15" s="114"/>
      <c r="AD15" s="117">
        <f>M15+O15+Q15+W15</f>
        <v>0</v>
      </c>
      <c r="AE15" s="174">
        <f>N15+P15+R15+T15+V15+Z15+AB15</f>
        <v>0</v>
      </c>
    </row>
    <row r="16" spans="1:31" ht="18.75" customHeight="1" x14ac:dyDescent="0.3">
      <c r="A16" s="19">
        <f>A15+7</f>
        <v>43546</v>
      </c>
      <c r="B16" s="19"/>
      <c r="C16" s="24"/>
      <c r="D16" s="24">
        <v>0.44</v>
      </c>
      <c r="E16" s="243"/>
      <c r="F16" s="35"/>
      <c r="G16" s="223">
        <f t="shared" si="6"/>
        <v>57.75</v>
      </c>
      <c r="H16" s="248">
        <f t="shared" si="0"/>
        <v>57.75</v>
      </c>
      <c r="I16" s="35"/>
      <c r="J16" s="162"/>
      <c r="K16" s="225">
        <f t="shared" si="4"/>
        <v>131.25</v>
      </c>
      <c r="L16" s="170"/>
      <c r="M16" s="24">
        <v>1.22</v>
      </c>
      <c r="N16" s="35">
        <v>-76.56</v>
      </c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7">
        <f t="shared" si="1"/>
        <v>0</v>
      </c>
      <c r="AA16" s="114"/>
      <c r="AB16" s="114"/>
      <c r="AC16" s="114"/>
      <c r="AD16" s="117">
        <f>M16+O16+Q16+W16</f>
        <v>1.22</v>
      </c>
      <c r="AE16" s="174">
        <f>N16+P16+R16+T16+V16+Z16+AB16</f>
        <v>-76.56</v>
      </c>
    </row>
    <row r="17" spans="1:37" ht="18.75" customHeight="1" x14ac:dyDescent="0.3">
      <c r="A17" s="19">
        <f>A16+7</f>
        <v>43553</v>
      </c>
      <c r="B17" s="19"/>
      <c r="C17" s="24"/>
      <c r="D17" s="114">
        <v>0.5</v>
      </c>
      <c r="E17" s="243">
        <f>487.31/1.05</f>
        <v>464.10476190476192</v>
      </c>
      <c r="F17" s="35"/>
      <c r="G17" s="223">
        <f t="shared" si="6"/>
        <v>65.625</v>
      </c>
      <c r="H17" s="248">
        <f t="shared" si="0"/>
        <v>529.72976190476197</v>
      </c>
      <c r="I17" s="35"/>
      <c r="J17" s="162"/>
      <c r="K17" s="225">
        <f t="shared" si="4"/>
        <v>1059.4595238095239</v>
      </c>
      <c r="L17" s="125"/>
      <c r="M17" s="172"/>
      <c r="N17" s="178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7">
        <f t="shared" si="1"/>
        <v>0</v>
      </c>
      <c r="AA17" s="114"/>
      <c r="AB17" s="114"/>
      <c r="AC17" s="114"/>
      <c r="AD17" s="117">
        <f>M17+O17+Q17+W17</f>
        <v>0</v>
      </c>
      <c r="AE17" s="174">
        <f>N17+P17+R17+T17+V17+Z17+AB17</f>
        <v>0</v>
      </c>
    </row>
    <row r="18" spans="1:37" ht="18.75" customHeight="1" x14ac:dyDescent="0.3">
      <c r="A18" s="27" t="s">
        <v>56</v>
      </c>
      <c r="B18" s="28">
        <f>SUBTOTAL(109,B13:B17)</f>
        <v>0</v>
      </c>
      <c r="C18" s="28">
        <f>SUBTOTAL(109,C13:C17)</f>
        <v>0</v>
      </c>
      <c r="D18" s="28">
        <f>SUBTOTAL(109,D13:D17)</f>
        <v>2.3099999999999996</v>
      </c>
      <c r="E18" s="244">
        <f>SUBTOTAL(109,E13:E17)</f>
        <v>1922.7047619047619</v>
      </c>
      <c r="F18" s="39">
        <f>SUBTOTAL(109,F13:F17)</f>
        <v>0</v>
      </c>
      <c r="G18" s="39">
        <f t="shared" si="6"/>
        <v>303.18749999999994</v>
      </c>
      <c r="H18" s="249">
        <f t="shared" si="0"/>
        <v>2225.8922619047617</v>
      </c>
      <c r="I18" s="39">
        <f>SUM(E18:F18)/D18</f>
        <v>832.33972376829536</v>
      </c>
      <c r="J18" s="40">
        <f>$B$69</f>
        <v>125</v>
      </c>
      <c r="K18" s="111">
        <f t="shared" si="4"/>
        <v>963.58972376829524</v>
      </c>
      <c r="L18" s="126">
        <f>SUBTOTAL(109,L13:L17)</f>
        <v>0</v>
      </c>
      <c r="M18" s="28">
        <f>SUBTOTAL(109,M13:M17)</f>
        <v>1.22</v>
      </c>
      <c r="N18" s="39">
        <f>SUBTOTAL(109,N13:N17)</f>
        <v>-76.56</v>
      </c>
      <c r="O18" s="28">
        <f t="shared" ref="O18:AA18" si="7">SUBTOTAL(109,O13:O17)</f>
        <v>0</v>
      </c>
      <c r="P18" s="28">
        <f t="shared" si="7"/>
        <v>0</v>
      </c>
      <c r="Q18" s="28">
        <f t="shared" si="7"/>
        <v>0</v>
      </c>
      <c r="R18" s="28">
        <f t="shared" si="7"/>
        <v>0</v>
      </c>
      <c r="S18" s="28">
        <f t="shared" si="7"/>
        <v>0</v>
      </c>
      <c r="T18" s="28">
        <f t="shared" si="7"/>
        <v>0</v>
      </c>
      <c r="U18" s="28">
        <f t="shared" si="7"/>
        <v>0</v>
      </c>
      <c r="V18" s="28">
        <f t="shared" si="7"/>
        <v>0</v>
      </c>
      <c r="W18" s="28">
        <f t="shared" si="7"/>
        <v>0</v>
      </c>
      <c r="X18" s="28">
        <f t="shared" si="7"/>
        <v>0</v>
      </c>
      <c r="Y18" s="28">
        <f t="shared" si="7"/>
        <v>0</v>
      </c>
      <c r="Z18" s="123">
        <f t="shared" si="1"/>
        <v>0</v>
      </c>
      <c r="AA18" s="28">
        <f t="shared" si="7"/>
        <v>0</v>
      </c>
      <c r="AB18" s="28">
        <f>SUBTOTAL(109,AB13:AB17)</f>
        <v>0</v>
      </c>
      <c r="AC18" s="28">
        <f>SUBTOTAL(109,AC13:AC17)</f>
        <v>0</v>
      </c>
      <c r="AD18" s="187">
        <f>SUBTOTAL(109,AD13:AD17)</f>
        <v>1.22</v>
      </c>
      <c r="AE18" s="150">
        <f>SUBTOTAL(109,AE13:AE17)</f>
        <v>-76.56</v>
      </c>
    </row>
    <row r="19" spans="1:37" ht="18.75" customHeight="1" x14ac:dyDescent="0.3">
      <c r="A19" s="19">
        <f>A17+7</f>
        <v>43560</v>
      </c>
      <c r="B19" s="19"/>
      <c r="C19" s="24"/>
      <c r="D19" s="114">
        <v>0.63</v>
      </c>
      <c r="E19" s="243">
        <f>729.3/1.05</f>
        <v>694.57142857142856</v>
      </c>
      <c r="F19" s="35"/>
      <c r="G19" s="223">
        <f t="shared" si="6"/>
        <v>82.6875</v>
      </c>
      <c r="H19" s="248">
        <f t="shared" si="0"/>
        <v>777.25892857142856</v>
      </c>
      <c r="I19" s="35"/>
      <c r="J19" s="162"/>
      <c r="K19" s="224">
        <f t="shared" si="4"/>
        <v>1233.7443310657595</v>
      </c>
      <c r="L19" s="125"/>
      <c r="M19" s="172">
        <v>0.67600000000000005</v>
      </c>
      <c r="N19" s="178">
        <v>-117.12</v>
      </c>
      <c r="O19" s="114"/>
      <c r="P19" s="114"/>
      <c r="Q19" s="114"/>
      <c r="R19" s="115"/>
      <c r="S19" s="115"/>
      <c r="T19" s="115"/>
      <c r="U19" s="115"/>
      <c r="V19" s="115"/>
      <c r="W19" s="114"/>
      <c r="X19" s="114"/>
      <c r="Y19" s="114"/>
      <c r="Z19" s="117">
        <f t="shared" si="1"/>
        <v>0</v>
      </c>
      <c r="AA19" s="114"/>
      <c r="AB19" s="114"/>
      <c r="AC19" s="114"/>
      <c r="AD19" s="117">
        <f>M19+O19+Q19+W19</f>
        <v>0.67600000000000005</v>
      </c>
      <c r="AE19" s="174">
        <f>N19+P19+R19+T19+V19+Z19+AB19</f>
        <v>-117.12</v>
      </c>
    </row>
    <row r="20" spans="1:37" ht="18.75" customHeight="1" x14ac:dyDescent="0.3">
      <c r="A20" s="19">
        <f>A19+7</f>
        <v>43567</v>
      </c>
      <c r="B20" s="19"/>
      <c r="C20" s="24"/>
      <c r="D20" s="114">
        <v>0.45</v>
      </c>
      <c r="E20" s="243">
        <f>417.69/1.05</f>
        <v>397.79999999999995</v>
      </c>
      <c r="F20" s="35"/>
      <c r="G20" s="223">
        <f t="shared" si="6"/>
        <v>59.0625</v>
      </c>
      <c r="H20" s="248">
        <f t="shared" si="0"/>
        <v>456.86249999999995</v>
      </c>
      <c r="I20" s="35"/>
      <c r="J20" s="162"/>
      <c r="K20" s="224">
        <f t="shared" si="4"/>
        <v>1015.2499999999999</v>
      </c>
      <c r="L20" s="125"/>
      <c r="M20" s="172"/>
      <c r="N20" s="178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7">
        <f t="shared" si="1"/>
        <v>0</v>
      </c>
      <c r="AA20" s="114"/>
      <c r="AB20" s="114"/>
      <c r="AC20" s="114"/>
      <c r="AD20" s="117">
        <f>M20+O20+Q20+W20</f>
        <v>0</v>
      </c>
      <c r="AE20" s="174">
        <f>N20+P20+R20+T20+V20+Z20+AB20</f>
        <v>0</v>
      </c>
    </row>
    <row r="21" spans="1:37" ht="18.75" customHeight="1" x14ac:dyDescent="0.3">
      <c r="A21" s="19">
        <f>A20+7</f>
        <v>43574</v>
      </c>
      <c r="B21" s="19"/>
      <c r="C21" s="24"/>
      <c r="D21" s="167"/>
      <c r="E21" s="246"/>
      <c r="F21" s="168"/>
      <c r="G21" s="223">
        <f t="shared" si="6"/>
        <v>0</v>
      </c>
      <c r="H21" s="248">
        <f t="shared" si="0"/>
        <v>0</v>
      </c>
      <c r="I21" s="35"/>
      <c r="J21" s="162"/>
      <c r="K21" s="224" t="e">
        <f t="shared" si="4"/>
        <v>#DIV/0!</v>
      </c>
      <c r="L21" s="171"/>
      <c r="M21" s="24"/>
      <c r="N21" s="35">
        <v>-95.26</v>
      </c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7">
        <f t="shared" si="1"/>
        <v>0</v>
      </c>
      <c r="AA21" s="114"/>
      <c r="AB21" s="114"/>
      <c r="AC21" s="114"/>
      <c r="AD21" s="117">
        <f>M21+O21+Q21+W21</f>
        <v>0</v>
      </c>
      <c r="AE21" s="174">
        <f>N21+P21+R21+T21+V21+Z21+AB21</f>
        <v>-95.26</v>
      </c>
    </row>
    <row r="22" spans="1:37" ht="18.75" customHeight="1" x14ac:dyDescent="0.3">
      <c r="A22" s="19">
        <f>A21+7</f>
        <v>43581</v>
      </c>
      <c r="B22" s="19"/>
      <c r="C22" s="24"/>
      <c r="D22" s="114">
        <v>0.7</v>
      </c>
      <c r="E22" s="243">
        <f>905/1.05</f>
        <v>861.90476190476181</v>
      </c>
      <c r="F22" s="35"/>
      <c r="G22" s="223">
        <f t="shared" si="6"/>
        <v>91.875</v>
      </c>
      <c r="H22" s="248">
        <f t="shared" si="0"/>
        <v>953.77976190476181</v>
      </c>
      <c r="I22" s="35"/>
      <c r="J22" s="162"/>
      <c r="K22" s="224">
        <f t="shared" si="4"/>
        <v>1362.5425170068027</v>
      </c>
      <c r="L22" s="125"/>
      <c r="M22" s="172">
        <v>0.69</v>
      </c>
      <c r="N22" s="178">
        <v>-76.56</v>
      </c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7">
        <f t="shared" si="1"/>
        <v>0</v>
      </c>
      <c r="AA22" s="114"/>
      <c r="AB22" s="114"/>
      <c r="AC22" s="114"/>
      <c r="AD22" s="117">
        <f>M22+O22+Q22+W22</f>
        <v>0.69</v>
      </c>
      <c r="AE22" s="174">
        <f>N22+P22+R22+T22+V22+Z22+AB22</f>
        <v>-76.56</v>
      </c>
    </row>
    <row r="23" spans="1:37" ht="18.75" customHeight="1" x14ac:dyDescent="0.3">
      <c r="A23" s="27" t="s">
        <v>57</v>
      </c>
      <c r="B23" s="28">
        <f>SUBTOTAL(109,B19:B22)</f>
        <v>0</v>
      </c>
      <c r="C23" s="28">
        <f>SUBTOTAL(109,C19:C22)</f>
        <v>0</v>
      </c>
      <c r="D23" s="28">
        <f>SUBTOTAL(109,D19:D22)</f>
        <v>1.78</v>
      </c>
      <c r="E23" s="244">
        <f>SUBTOTAL(109,E19:E22)</f>
        <v>1954.2761904761905</v>
      </c>
      <c r="F23" s="39">
        <f>SUBTOTAL(109,F19:F22)</f>
        <v>0</v>
      </c>
      <c r="G23" s="39">
        <f t="shared" si="6"/>
        <v>233.625</v>
      </c>
      <c r="H23" s="252">
        <f t="shared" si="0"/>
        <v>2187.9011904761905</v>
      </c>
      <c r="I23" s="39">
        <f>SUM(E23:F23)/D23</f>
        <v>1097.9079721776352</v>
      </c>
      <c r="J23" s="82">
        <f>$B$69</f>
        <v>125</v>
      </c>
      <c r="K23" s="111">
        <f t="shared" si="4"/>
        <v>1229.1579721776352</v>
      </c>
      <c r="L23" s="126">
        <f t="shared" ref="L23:S23" si="8">SUBTOTAL(109,L19:L22)</f>
        <v>0</v>
      </c>
      <c r="M23" s="28">
        <f t="shared" si="8"/>
        <v>1.3660000000000001</v>
      </c>
      <c r="N23" s="39">
        <f t="shared" si="8"/>
        <v>-288.94</v>
      </c>
      <c r="O23" s="148">
        <f t="shared" si="8"/>
        <v>0</v>
      </c>
      <c r="P23" s="28">
        <f t="shared" si="8"/>
        <v>0</v>
      </c>
      <c r="Q23" s="28">
        <f t="shared" si="8"/>
        <v>0</v>
      </c>
      <c r="R23" s="28">
        <f t="shared" si="8"/>
        <v>0</v>
      </c>
      <c r="S23" s="28">
        <f t="shared" si="8"/>
        <v>0</v>
      </c>
      <c r="T23" s="28">
        <f t="shared" ref="T23:AD23" si="9">SUBTOTAL(109,T19:T22)</f>
        <v>0</v>
      </c>
      <c r="U23" s="28">
        <f t="shared" si="9"/>
        <v>0</v>
      </c>
      <c r="V23" s="28">
        <f t="shared" si="9"/>
        <v>0</v>
      </c>
      <c r="W23" s="28">
        <f t="shared" si="9"/>
        <v>0</v>
      </c>
      <c r="X23" s="28">
        <f t="shared" si="9"/>
        <v>0</v>
      </c>
      <c r="Y23" s="28">
        <f t="shared" si="9"/>
        <v>0</v>
      </c>
      <c r="Z23" s="228">
        <f t="shared" si="1"/>
        <v>0</v>
      </c>
      <c r="AA23" s="28">
        <f t="shared" si="9"/>
        <v>0</v>
      </c>
      <c r="AB23" s="28">
        <f t="shared" si="9"/>
        <v>0</v>
      </c>
      <c r="AC23" s="28">
        <f t="shared" si="9"/>
        <v>0</v>
      </c>
      <c r="AD23" s="148">
        <f t="shared" si="9"/>
        <v>1.3660000000000001</v>
      </c>
      <c r="AE23" s="229">
        <f>SUBTOTAL(109,AE19:AE22)</f>
        <v>-288.94</v>
      </c>
    </row>
    <row r="24" spans="1:37" s="217" customFormat="1" ht="18.75" customHeight="1" x14ac:dyDescent="0.35">
      <c r="A24" s="251">
        <f>A22+7</f>
        <v>43588</v>
      </c>
      <c r="B24" s="254"/>
      <c r="C24" s="254"/>
      <c r="D24" s="254"/>
      <c r="E24" s="254"/>
      <c r="F24" s="254"/>
      <c r="G24" s="254">
        <f t="shared" si="6"/>
        <v>0</v>
      </c>
      <c r="H24" s="254">
        <f t="shared" si="0"/>
        <v>0</v>
      </c>
      <c r="I24" s="254"/>
      <c r="J24" s="254"/>
      <c r="K24" s="224" t="e">
        <f t="shared" si="4"/>
        <v>#DIV/0!</v>
      </c>
      <c r="L24" s="231"/>
      <c r="M24" s="231"/>
      <c r="N24" s="232"/>
      <c r="O24" s="231"/>
      <c r="P24" s="231"/>
      <c r="Q24" s="231"/>
      <c r="R24" s="233"/>
      <c r="S24" s="233"/>
      <c r="T24" s="233"/>
      <c r="U24" s="233"/>
      <c r="V24" s="233"/>
      <c r="W24" s="231"/>
      <c r="X24" s="231"/>
      <c r="Y24" s="231"/>
      <c r="Z24" s="231">
        <f t="shared" si="1"/>
        <v>0</v>
      </c>
      <c r="AA24" s="231"/>
      <c r="AB24" s="231"/>
      <c r="AC24" s="231"/>
      <c r="AD24" s="231">
        <f>M24+O24+Q24+W24</f>
        <v>0</v>
      </c>
      <c r="AE24" s="234">
        <f>N24+P24+R24+T24+V24+Z24+AB24</f>
        <v>0</v>
      </c>
      <c r="AF24" s="227"/>
      <c r="AG24" s="226"/>
      <c r="AH24" s="226"/>
      <c r="AI24" s="226"/>
      <c r="AJ24" s="226"/>
      <c r="AK24" s="226"/>
    </row>
    <row r="25" spans="1:37" s="217" customFormat="1" ht="18.75" customHeight="1" x14ac:dyDescent="0.35">
      <c r="A25" s="251">
        <f>A24+7</f>
        <v>43595</v>
      </c>
      <c r="B25" s="254"/>
      <c r="C25" s="254"/>
      <c r="D25" s="254"/>
      <c r="E25" s="254"/>
      <c r="F25" s="254"/>
      <c r="G25" s="254">
        <f t="shared" si="6"/>
        <v>0</v>
      </c>
      <c r="H25" s="254">
        <f t="shared" si="0"/>
        <v>0</v>
      </c>
      <c r="I25" s="254"/>
      <c r="J25" s="254"/>
      <c r="K25" s="224" t="e">
        <f t="shared" si="4"/>
        <v>#DIV/0!</v>
      </c>
      <c r="L25" s="231"/>
      <c r="M25" s="231"/>
      <c r="N25" s="232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>
        <f t="shared" si="1"/>
        <v>0</v>
      </c>
      <c r="AA25" s="231"/>
      <c r="AB25" s="231"/>
      <c r="AC25" s="231"/>
      <c r="AD25" s="231">
        <f>M25+O25+Q25+W25</f>
        <v>0</v>
      </c>
      <c r="AE25" s="234">
        <f>N25+P25+R25+T25+V25+Z25+AB25</f>
        <v>0</v>
      </c>
      <c r="AF25" s="227"/>
      <c r="AG25" s="226"/>
      <c r="AH25" s="226"/>
      <c r="AI25" s="226"/>
      <c r="AJ25" s="226"/>
      <c r="AK25" s="226"/>
    </row>
    <row r="26" spans="1:37" ht="18.75" customHeight="1" x14ac:dyDescent="0.3">
      <c r="A26" s="19">
        <f>A25+7</f>
        <v>43602</v>
      </c>
      <c r="B26" s="73"/>
      <c r="C26" s="74"/>
      <c r="D26" s="74">
        <v>1.32</v>
      </c>
      <c r="E26" s="242">
        <f>1392.3/1.05</f>
        <v>1326</v>
      </c>
      <c r="F26" s="176"/>
      <c r="G26" s="253">
        <f t="shared" si="6"/>
        <v>173.25</v>
      </c>
      <c r="H26" s="248">
        <f t="shared" si="0"/>
        <v>1499.25</v>
      </c>
      <c r="I26" s="176"/>
      <c r="J26" s="161"/>
      <c r="K26" s="224">
        <f t="shared" si="4"/>
        <v>1135.7954545454545</v>
      </c>
      <c r="L26" s="230"/>
      <c r="M26" s="74">
        <v>0.56999999999999995</v>
      </c>
      <c r="N26" s="176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>
        <f t="shared" si="1"/>
        <v>0</v>
      </c>
      <c r="AA26" s="117"/>
      <c r="AB26" s="117"/>
      <c r="AC26" s="117"/>
      <c r="AD26" s="117">
        <f>M26+O26+Q26+W26</f>
        <v>0.56999999999999995</v>
      </c>
      <c r="AE26" s="174">
        <f>N26+P26+R26+T26+V26+Z26+AB26</f>
        <v>0</v>
      </c>
    </row>
    <row r="27" spans="1:37" ht="18.75" customHeight="1" x14ac:dyDescent="0.3">
      <c r="A27" s="19">
        <f>A26+7</f>
        <v>43609</v>
      </c>
      <c r="B27" s="19"/>
      <c r="C27" s="24"/>
      <c r="D27" s="24"/>
      <c r="E27" s="243"/>
      <c r="F27" s="35"/>
      <c r="G27" s="223">
        <f t="shared" si="6"/>
        <v>0</v>
      </c>
      <c r="H27" s="248">
        <f t="shared" si="0"/>
        <v>0</v>
      </c>
      <c r="I27" s="35"/>
      <c r="J27" s="162"/>
      <c r="K27" s="224" t="e">
        <f t="shared" si="4"/>
        <v>#DIV/0!</v>
      </c>
      <c r="L27" s="125"/>
      <c r="M27" s="24"/>
      <c r="N27" s="35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7">
        <f t="shared" si="1"/>
        <v>0</v>
      </c>
      <c r="AA27" s="114"/>
      <c r="AB27" s="114"/>
      <c r="AC27" s="114"/>
      <c r="AD27" s="117">
        <f>M27+O27+Q27+W27</f>
        <v>0</v>
      </c>
      <c r="AE27" s="174">
        <f>N27+P27+R27+T27+V27+Z27+AB27</f>
        <v>0</v>
      </c>
    </row>
    <row r="28" spans="1:37" ht="18.75" customHeight="1" x14ac:dyDescent="0.3">
      <c r="A28" s="19">
        <f>A27+7</f>
        <v>43616</v>
      </c>
      <c r="B28" s="19"/>
      <c r="C28" s="24"/>
      <c r="D28" s="24">
        <v>0.91</v>
      </c>
      <c r="E28" s="243">
        <f>974.61/1.05</f>
        <v>928.19999999999993</v>
      </c>
      <c r="F28" s="35"/>
      <c r="G28" s="223">
        <f t="shared" si="6"/>
        <v>119.4375</v>
      </c>
      <c r="H28" s="248">
        <f t="shared" si="0"/>
        <v>1047.6374999999998</v>
      </c>
      <c r="I28" s="35"/>
      <c r="J28" s="162"/>
      <c r="K28" s="224">
        <f t="shared" si="4"/>
        <v>1151.2499999999998</v>
      </c>
      <c r="L28" s="170"/>
      <c r="M28" s="24">
        <v>0.56999999999999995</v>
      </c>
      <c r="N28" s="35">
        <v>-172.71</v>
      </c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7">
        <f t="shared" si="1"/>
        <v>0</v>
      </c>
      <c r="AA28" s="114"/>
      <c r="AB28" s="114"/>
      <c r="AC28" s="114"/>
      <c r="AD28" s="117">
        <f>M28+O28+Q28+W28</f>
        <v>0.56999999999999995</v>
      </c>
      <c r="AE28" s="174">
        <f>N28+P28+R28+T28+V28+Z28+AB28</f>
        <v>-172.71</v>
      </c>
    </row>
    <row r="29" spans="1:37" ht="18.75" customHeight="1" x14ac:dyDescent="0.3">
      <c r="A29" s="27" t="s">
        <v>58</v>
      </c>
      <c r="B29" s="28">
        <f>SUBTOTAL(109,B24:B28)</f>
        <v>0</v>
      </c>
      <c r="C29" s="28">
        <f>SUBTOTAL(109,C24:C28)</f>
        <v>0</v>
      </c>
      <c r="D29" s="28">
        <f>SUBTOTAL(109,D24:D28)</f>
        <v>2.23</v>
      </c>
      <c r="E29" s="244">
        <f>SUBTOTAL(109,E24:E28)</f>
        <v>2254.1999999999998</v>
      </c>
      <c r="F29" s="39">
        <f>SUBTOTAL(109,F24:F28)</f>
        <v>0</v>
      </c>
      <c r="G29" s="39">
        <f t="shared" si="6"/>
        <v>292.6875</v>
      </c>
      <c r="H29" s="249">
        <f t="shared" si="0"/>
        <v>2546.8874999999998</v>
      </c>
      <c r="I29" s="39">
        <f>SUM(E29:F29)/D29</f>
        <v>1010.8520179372197</v>
      </c>
      <c r="J29" s="40">
        <f>$B$69</f>
        <v>125</v>
      </c>
      <c r="K29" s="111">
        <f t="shared" si="4"/>
        <v>1142.1020179372197</v>
      </c>
      <c r="L29" s="126">
        <f t="shared" ref="L29:Y29" si="10">SUBTOTAL(109,L24:L28)</f>
        <v>0</v>
      </c>
      <c r="M29" s="28">
        <f t="shared" si="10"/>
        <v>1.1399999999999999</v>
      </c>
      <c r="N29" s="39">
        <f t="shared" si="10"/>
        <v>-172.71</v>
      </c>
      <c r="O29" s="28">
        <f t="shared" si="10"/>
        <v>0</v>
      </c>
      <c r="P29" s="28">
        <f t="shared" si="10"/>
        <v>0</v>
      </c>
      <c r="Q29" s="28">
        <f t="shared" si="10"/>
        <v>0</v>
      </c>
      <c r="R29" s="28">
        <f t="shared" si="10"/>
        <v>0</v>
      </c>
      <c r="S29" s="28">
        <f t="shared" si="10"/>
        <v>0</v>
      </c>
      <c r="T29" s="28">
        <f t="shared" si="10"/>
        <v>0</v>
      </c>
      <c r="U29" s="28">
        <f t="shared" si="10"/>
        <v>0</v>
      </c>
      <c r="V29" s="28">
        <f t="shared" si="10"/>
        <v>0</v>
      </c>
      <c r="W29" s="28">
        <f t="shared" si="10"/>
        <v>0</v>
      </c>
      <c r="X29" s="28">
        <f t="shared" si="10"/>
        <v>0</v>
      </c>
      <c r="Y29" s="28">
        <f t="shared" si="10"/>
        <v>0</v>
      </c>
      <c r="Z29" s="123">
        <f>X29+Y29</f>
        <v>0</v>
      </c>
      <c r="AA29" s="28">
        <f>SUBTOTAL(109,AA24:AA28)</f>
        <v>0</v>
      </c>
      <c r="AB29" s="28">
        <f>SUBTOTAL(109,AB24:AB28)</f>
        <v>0</v>
      </c>
      <c r="AC29" s="28">
        <f>SUBTOTAL(109,AC24:AC28)</f>
        <v>0</v>
      </c>
      <c r="AD29" s="187">
        <f>SUBTOTAL(109,AD24:AD28)</f>
        <v>1.1399999999999999</v>
      </c>
      <c r="AE29" s="150">
        <f>SUBTOTAL(109,AE24:AE28)</f>
        <v>-172.71</v>
      </c>
    </row>
    <row r="30" spans="1:37" ht="18.75" customHeight="1" x14ac:dyDescent="0.3">
      <c r="A30" s="19">
        <f>A28+7</f>
        <v>43623</v>
      </c>
      <c r="B30" s="19"/>
      <c r="C30" s="24"/>
      <c r="D30" s="24">
        <v>0.55000000000000004</v>
      </c>
      <c r="E30" s="243">
        <f>626.54/1.05</f>
        <v>596.70476190476188</v>
      </c>
      <c r="F30" s="35"/>
      <c r="G30" s="223">
        <f t="shared" si="6"/>
        <v>72.1875</v>
      </c>
      <c r="H30" s="248">
        <f t="shared" si="0"/>
        <v>668.89226190476188</v>
      </c>
      <c r="I30" s="35"/>
      <c r="J30" s="162"/>
      <c r="K30" s="224">
        <f t="shared" si="4"/>
        <v>1216.1677489177487</v>
      </c>
      <c r="L30" s="170"/>
      <c r="M30" s="24"/>
      <c r="N30" s="35">
        <v>-60.05</v>
      </c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7">
        <f t="shared" si="1"/>
        <v>0</v>
      </c>
      <c r="AA30" s="114"/>
      <c r="AB30" s="114"/>
      <c r="AC30" s="114"/>
      <c r="AD30" s="117">
        <f>M30+O30+Q30+W30</f>
        <v>0</v>
      </c>
      <c r="AE30" s="174">
        <f>N30+P30+R30+T30+V30+Z30+AB30</f>
        <v>-60.05</v>
      </c>
    </row>
    <row r="31" spans="1:37" ht="18.75" customHeight="1" x14ac:dyDescent="0.3">
      <c r="A31" s="19">
        <f>A30+7</f>
        <v>43630</v>
      </c>
      <c r="B31" s="19"/>
      <c r="C31" s="24"/>
      <c r="D31" s="24">
        <v>0.99</v>
      </c>
      <c r="E31" s="243">
        <f>1113.84/1.05</f>
        <v>1060.8</v>
      </c>
      <c r="F31" s="35"/>
      <c r="G31" s="223">
        <f t="shared" si="6"/>
        <v>129.9375</v>
      </c>
      <c r="H31" s="248">
        <f t="shared" si="0"/>
        <v>1190.7375</v>
      </c>
      <c r="I31" s="35"/>
      <c r="J31" s="162"/>
      <c r="K31" s="224">
        <f t="shared" si="4"/>
        <v>1202.7651515151515</v>
      </c>
      <c r="L31" s="170"/>
      <c r="M31" s="24">
        <v>0.59799999999999998</v>
      </c>
      <c r="N31" s="35">
        <v>-53.96</v>
      </c>
      <c r="O31" s="115"/>
      <c r="P31" s="115"/>
      <c r="Q31" s="115"/>
      <c r="R31" s="114"/>
      <c r="S31" s="114"/>
      <c r="T31" s="114"/>
      <c r="U31" s="114"/>
      <c r="V31" s="114"/>
      <c r="W31" s="115"/>
      <c r="X31" s="115"/>
      <c r="Y31" s="115"/>
      <c r="Z31" s="117">
        <f t="shared" si="1"/>
        <v>0</v>
      </c>
      <c r="AA31" s="115"/>
      <c r="AB31" s="115"/>
      <c r="AC31" s="115"/>
      <c r="AD31" s="117">
        <f>M31+O31+Q31+W31</f>
        <v>0.59799999999999998</v>
      </c>
      <c r="AE31" s="174">
        <f>N31+P31+R31+T31+V31+Z31+AB31</f>
        <v>-53.96</v>
      </c>
    </row>
    <row r="32" spans="1:37" ht="18.75" customHeight="1" x14ac:dyDescent="0.3">
      <c r="A32" s="19">
        <f>A31+7</f>
        <v>43637</v>
      </c>
      <c r="B32" s="19"/>
      <c r="C32" s="24"/>
      <c r="D32" s="24">
        <v>0.45</v>
      </c>
      <c r="E32" s="243">
        <f>487.31/1.05</f>
        <v>464.10476190476192</v>
      </c>
      <c r="F32" s="35"/>
      <c r="G32" s="223">
        <f t="shared" si="6"/>
        <v>59.0625</v>
      </c>
      <c r="H32" s="248">
        <f t="shared" si="0"/>
        <v>523.16726190476197</v>
      </c>
      <c r="I32" s="35"/>
      <c r="J32" s="162"/>
      <c r="K32" s="224">
        <f t="shared" si="4"/>
        <v>1162.5939153439156</v>
      </c>
      <c r="L32" s="170"/>
      <c r="M32" s="24"/>
      <c r="N32" s="35"/>
      <c r="O32" s="114"/>
      <c r="P32" s="114"/>
      <c r="Q32" s="114"/>
      <c r="R32" s="115"/>
      <c r="S32" s="115"/>
      <c r="T32" s="115"/>
      <c r="U32" s="115"/>
      <c r="V32" s="115"/>
      <c r="W32" s="114"/>
      <c r="X32" s="114"/>
      <c r="Y32" s="114"/>
      <c r="Z32" s="117">
        <f t="shared" si="1"/>
        <v>0</v>
      </c>
      <c r="AA32" s="114"/>
      <c r="AB32" s="114"/>
      <c r="AC32" s="114"/>
      <c r="AD32" s="117">
        <f>M32+O32+Q32+W32</f>
        <v>0</v>
      </c>
      <c r="AE32" s="174">
        <f>N32+P32+R32+T32+V32+Z32+AB32</f>
        <v>0</v>
      </c>
    </row>
    <row r="33" spans="1:31" ht="18.75" customHeight="1" x14ac:dyDescent="0.3">
      <c r="A33" s="19">
        <f>A32+7</f>
        <v>43644</v>
      </c>
      <c r="B33" s="19"/>
      <c r="C33" s="24"/>
      <c r="D33" s="24">
        <v>0.67</v>
      </c>
      <c r="E33" s="243">
        <f>905/1.05</f>
        <v>861.90476190476181</v>
      </c>
      <c r="F33" s="35"/>
      <c r="G33" s="223">
        <f t="shared" si="6"/>
        <v>87.9375</v>
      </c>
      <c r="H33" s="248">
        <f t="shared" si="0"/>
        <v>949.84226190476181</v>
      </c>
      <c r="I33" s="35"/>
      <c r="J33" s="162"/>
      <c r="K33" s="224">
        <f t="shared" si="4"/>
        <v>1417.6750177683011</v>
      </c>
      <c r="L33" s="170"/>
      <c r="M33" s="24">
        <v>1.18</v>
      </c>
      <c r="N33" s="35">
        <v>-132.33000000000001</v>
      </c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7">
        <f t="shared" si="1"/>
        <v>0</v>
      </c>
      <c r="AA33" s="114"/>
      <c r="AB33" s="114"/>
      <c r="AC33" s="114"/>
      <c r="AD33" s="117">
        <f>M33+O33+Q33+W33</f>
        <v>1.18</v>
      </c>
      <c r="AE33" s="174">
        <f>N33+P33+R33+T33+V33+Z33+AB33</f>
        <v>-132.33000000000001</v>
      </c>
    </row>
    <row r="34" spans="1:31" ht="18.75" customHeight="1" x14ac:dyDescent="0.3">
      <c r="A34" s="27" t="s">
        <v>59</v>
      </c>
      <c r="B34" s="28">
        <f>SUBTOTAL(109,B30:B33)</f>
        <v>0</v>
      </c>
      <c r="C34" s="28">
        <f>SUBTOTAL(109,C30:C33)</f>
        <v>0</v>
      </c>
      <c r="D34" s="28">
        <f>SUBTOTAL(109,D30:D33)</f>
        <v>2.66</v>
      </c>
      <c r="E34" s="244">
        <f>SUBTOTAL(109,E30:E33)</f>
        <v>2983.5142857142855</v>
      </c>
      <c r="F34" s="39">
        <f>SUBTOTAL(109,F30:F33)</f>
        <v>0</v>
      </c>
      <c r="G34" s="39">
        <f t="shared" si="6"/>
        <v>349.125</v>
      </c>
      <c r="H34" s="249">
        <f t="shared" si="0"/>
        <v>3332.6392857142855</v>
      </c>
      <c r="I34" s="39">
        <f>SUM(E34:F34)/D34</f>
        <v>1121.6219119226637</v>
      </c>
      <c r="J34" s="40">
        <f>$B$69</f>
        <v>125</v>
      </c>
      <c r="K34" s="111">
        <f t="shared" si="4"/>
        <v>1252.8719119226637</v>
      </c>
      <c r="L34" s="126">
        <f t="shared" ref="L34:S34" si="11">SUBTOTAL(109,L30:L33)</f>
        <v>0</v>
      </c>
      <c r="M34" s="28">
        <f t="shared" si="11"/>
        <v>1.778</v>
      </c>
      <c r="N34" s="39">
        <f t="shared" si="11"/>
        <v>-246.34</v>
      </c>
      <c r="O34" s="148">
        <f t="shared" si="11"/>
        <v>0</v>
      </c>
      <c r="P34" s="28">
        <f t="shared" si="11"/>
        <v>0</v>
      </c>
      <c r="Q34" s="28">
        <f t="shared" si="11"/>
        <v>0</v>
      </c>
      <c r="R34" s="28">
        <f t="shared" si="11"/>
        <v>0</v>
      </c>
      <c r="S34" s="28">
        <f t="shared" si="11"/>
        <v>0</v>
      </c>
      <c r="T34" s="28">
        <f t="shared" ref="T34:AD34" si="12">SUBTOTAL(109,T30:T33)</f>
        <v>0</v>
      </c>
      <c r="U34" s="28">
        <f t="shared" si="12"/>
        <v>0</v>
      </c>
      <c r="V34" s="28">
        <f t="shared" si="12"/>
        <v>0</v>
      </c>
      <c r="W34" s="28">
        <f t="shared" si="12"/>
        <v>0</v>
      </c>
      <c r="X34" s="28">
        <f t="shared" si="12"/>
        <v>0</v>
      </c>
      <c r="Y34" s="28">
        <f t="shared" si="12"/>
        <v>0</v>
      </c>
      <c r="Z34" s="123">
        <f t="shared" si="1"/>
        <v>0</v>
      </c>
      <c r="AA34" s="28">
        <f t="shared" si="12"/>
        <v>0</v>
      </c>
      <c r="AB34" s="28">
        <f t="shared" si="12"/>
        <v>0</v>
      </c>
      <c r="AC34" s="28">
        <f t="shared" si="12"/>
        <v>0</v>
      </c>
      <c r="AD34" s="187">
        <f t="shared" si="12"/>
        <v>1.778</v>
      </c>
      <c r="AE34" s="150">
        <f>SUBTOTAL(109,AE30:AE33)</f>
        <v>-246.34</v>
      </c>
    </row>
    <row r="35" spans="1:31" ht="18.75" customHeight="1" x14ac:dyDescent="0.3">
      <c r="A35" s="19">
        <f>A33+7</f>
        <v>43651</v>
      </c>
      <c r="B35" s="19"/>
      <c r="C35" s="24"/>
      <c r="D35" s="24">
        <v>1.0900000000000001</v>
      </c>
      <c r="E35" s="243"/>
      <c r="F35" s="35"/>
      <c r="G35" s="223">
        <f>(D35*$B$70)</f>
        <v>381.5</v>
      </c>
      <c r="H35" s="248">
        <f t="shared" si="0"/>
        <v>381.5</v>
      </c>
      <c r="I35" s="35"/>
      <c r="J35" s="162"/>
      <c r="K35" s="224">
        <f t="shared" si="4"/>
        <v>350</v>
      </c>
      <c r="L35" s="170"/>
      <c r="M35" s="24"/>
      <c r="N35" s="35">
        <v>-138.68</v>
      </c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7">
        <f t="shared" si="1"/>
        <v>0</v>
      </c>
      <c r="AA35" s="114"/>
      <c r="AB35" s="114"/>
      <c r="AC35" s="114"/>
      <c r="AD35" s="117">
        <f>M35+O35+Q35+W35</f>
        <v>0</v>
      </c>
      <c r="AE35" s="174">
        <f>N35+P35+R35+T35+V35+Z35+AB35</f>
        <v>-138.68</v>
      </c>
    </row>
    <row r="36" spans="1:31" ht="18.75" customHeight="1" x14ac:dyDescent="0.3">
      <c r="A36" s="19">
        <f>A35+7</f>
        <v>43658</v>
      </c>
      <c r="B36" s="19"/>
      <c r="C36" s="24"/>
      <c r="D36" s="24">
        <v>0.81</v>
      </c>
      <c r="E36" s="243">
        <f>835.38/1.05</f>
        <v>795.59999999999991</v>
      </c>
      <c r="F36" s="35"/>
      <c r="G36" s="223">
        <f t="shared" ref="G36:G67" si="13">(D36*$B$70)</f>
        <v>283.5</v>
      </c>
      <c r="H36" s="248">
        <f t="shared" si="0"/>
        <v>1079.0999999999999</v>
      </c>
      <c r="I36" s="35"/>
      <c r="J36" s="162"/>
      <c r="K36" s="224">
        <f t="shared" si="4"/>
        <v>1332.2222222222219</v>
      </c>
      <c r="L36" s="170"/>
      <c r="M36" s="24"/>
      <c r="N36" s="35"/>
      <c r="O36" s="115"/>
      <c r="P36" s="115"/>
      <c r="Q36" s="115"/>
      <c r="R36" s="114"/>
      <c r="S36" s="114"/>
      <c r="T36" s="114"/>
      <c r="U36" s="114"/>
      <c r="V36" s="114"/>
      <c r="W36" s="115"/>
      <c r="X36" s="115"/>
      <c r="Y36" s="115"/>
      <c r="Z36" s="117">
        <f t="shared" si="1"/>
        <v>0</v>
      </c>
      <c r="AA36" s="115"/>
      <c r="AB36" s="115"/>
      <c r="AC36" s="115"/>
      <c r="AD36" s="117">
        <f>M36+O36+Q36+W36</f>
        <v>0</v>
      </c>
      <c r="AE36" s="174">
        <f>N36+P36+R36+T36+V36+Z36+AB36</f>
        <v>0</v>
      </c>
    </row>
    <row r="37" spans="1:31" ht="18.75" customHeight="1" x14ac:dyDescent="0.3">
      <c r="A37" s="19">
        <f>A36+7</f>
        <v>43665</v>
      </c>
      <c r="B37" s="19"/>
      <c r="C37" s="24"/>
      <c r="D37" s="24">
        <v>0.56999999999999995</v>
      </c>
      <c r="E37" s="243">
        <f>696.15/1.05</f>
        <v>663</v>
      </c>
      <c r="F37" s="35"/>
      <c r="G37" s="223">
        <f t="shared" si="13"/>
        <v>199.49999999999997</v>
      </c>
      <c r="H37" s="248">
        <f t="shared" si="0"/>
        <v>862.5</v>
      </c>
      <c r="I37" s="35"/>
      <c r="J37" s="162"/>
      <c r="K37" s="224">
        <f t="shared" si="4"/>
        <v>1513.1578947368423</v>
      </c>
      <c r="L37" s="170"/>
      <c r="M37" s="24"/>
      <c r="N37" s="35"/>
      <c r="O37" s="114"/>
      <c r="P37" s="114"/>
      <c r="Q37" s="114"/>
      <c r="R37" s="115"/>
      <c r="S37" s="115"/>
      <c r="T37" s="115"/>
      <c r="U37" s="115"/>
      <c r="V37" s="115"/>
      <c r="W37" s="114"/>
      <c r="X37" s="114"/>
      <c r="Y37" s="114"/>
      <c r="Z37" s="117">
        <f t="shared" si="1"/>
        <v>0</v>
      </c>
      <c r="AA37" s="114"/>
      <c r="AB37" s="114"/>
      <c r="AC37" s="114"/>
      <c r="AD37" s="117">
        <f>M37+O37+Q37+W37</f>
        <v>0</v>
      </c>
      <c r="AE37" s="174">
        <f>N37+P37+R37+T37+V37+Z37+AB37</f>
        <v>0</v>
      </c>
    </row>
    <row r="38" spans="1:31" ht="18.75" customHeight="1" x14ac:dyDescent="0.3">
      <c r="A38" s="19">
        <f>A37+7</f>
        <v>43672</v>
      </c>
      <c r="B38" s="19"/>
      <c r="C38" s="24"/>
      <c r="D38" s="24">
        <v>0.54</v>
      </c>
      <c r="E38" s="243">
        <f>556.92/1.05</f>
        <v>530.4</v>
      </c>
      <c r="F38" s="35"/>
      <c r="G38" s="223">
        <f t="shared" si="13"/>
        <v>189</v>
      </c>
      <c r="H38" s="248">
        <f t="shared" si="0"/>
        <v>719.4</v>
      </c>
      <c r="I38" s="35"/>
      <c r="J38" s="162"/>
      <c r="K38" s="224">
        <f t="shared" si="4"/>
        <v>1332.2222222222222</v>
      </c>
      <c r="L38" s="170"/>
      <c r="M38" s="24">
        <f>1.08+0.043</f>
        <v>1.123</v>
      </c>
      <c r="N38" s="35">
        <v>-76.56</v>
      </c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7">
        <f t="shared" si="1"/>
        <v>0</v>
      </c>
      <c r="AA38" s="114"/>
      <c r="AB38" s="114"/>
      <c r="AC38" s="114"/>
      <c r="AD38" s="117">
        <f>M38+O38+Q38+W38</f>
        <v>1.123</v>
      </c>
      <c r="AE38" s="174">
        <f>N38+P38+R38+T38+V38+Z38+AB38</f>
        <v>-76.56</v>
      </c>
    </row>
    <row r="39" spans="1:31" ht="18.75" customHeight="1" x14ac:dyDescent="0.3">
      <c r="A39" s="27" t="s">
        <v>64</v>
      </c>
      <c r="B39" s="28">
        <f>SUBTOTAL(109,B35:B38)</f>
        <v>0</v>
      </c>
      <c r="C39" s="28">
        <f>SUBTOTAL(109,C35:C38)</f>
        <v>0</v>
      </c>
      <c r="D39" s="28">
        <f>SUBTOTAL(109,D35:D38)</f>
        <v>3.0100000000000002</v>
      </c>
      <c r="E39" s="244">
        <f>SUBTOTAL(109,E35:E38)</f>
        <v>1989</v>
      </c>
      <c r="F39" s="39">
        <f>SUBTOTAL(109,F35:F38)</f>
        <v>0</v>
      </c>
      <c r="G39" s="223">
        <f t="shared" si="13"/>
        <v>1053.5</v>
      </c>
      <c r="H39" s="249">
        <f t="shared" si="0"/>
        <v>3042.5</v>
      </c>
      <c r="I39" s="39">
        <f>SUM(E39:F39)/D39</f>
        <v>660.79734219269096</v>
      </c>
      <c r="J39" s="40">
        <f>$B$70</f>
        <v>350</v>
      </c>
      <c r="K39" s="111">
        <f t="shared" si="4"/>
        <v>1010.797342192691</v>
      </c>
      <c r="L39" s="126">
        <f t="shared" ref="L39:S39" si="14">SUBTOTAL(109,L35:L38)</f>
        <v>0</v>
      </c>
      <c r="M39" s="28">
        <f t="shared" si="14"/>
        <v>1.123</v>
      </c>
      <c r="N39" s="39">
        <f>SUBTOTAL(109,N35:N38)</f>
        <v>-215.24</v>
      </c>
      <c r="O39" s="148">
        <f t="shared" si="14"/>
        <v>0</v>
      </c>
      <c r="P39" s="28">
        <f t="shared" si="14"/>
        <v>0</v>
      </c>
      <c r="Q39" s="28">
        <f t="shared" si="14"/>
        <v>0</v>
      </c>
      <c r="R39" s="28">
        <f t="shared" si="14"/>
        <v>0</v>
      </c>
      <c r="S39" s="28">
        <f t="shared" si="14"/>
        <v>0</v>
      </c>
      <c r="T39" s="28">
        <f t="shared" ref="T39:AD39" si="15">SUBTOTAL(109,T35:T38)</f>
        <v>0</v>
      </c>
      <c r="U39" s="28">
        <f t="shared" si="15"/>
        <v>0</v>
      </c>
      <c r="V39" s="28">
        <f t="shared" si="15"/>
        <v>0</v>
      </c>
      <c r="W39" s="28">
        <f t="shared" si="15"/>
        <v>0</v>
      </c>
      <c r="X39" s="28">
        <f t="shared" si="15"/>
        <v>0</v>
      </c>
      <c r="Y39" s="28">
        <f t="shared" si="15"/>
        <v>0</v>
      </c>
      <c r="Z39" s="123">
        <f t="shared" si="1"/>
        <v>0</v>
      </c>
      <c r="AA39" s="28">
        <f t="shared" si="15"/>
        <v>0</v>
      </c>
      <c r="AB39" s="28">
        <f t="shared" si="15"/>
        <v>0</v>
      </c>
      <c r="AC39" s="28">
        <f t="shared" si="15"/>
        <v>0</v>
      </c>
      <c r="AD39" s="187">
        <f t="shared" si="15"/>
        <v>1.123</v>
      </c>
      <c r="AE39" s="150">
        <f>SUBTOTAL(109,AE35:AE38)</f>
        <v>-215.24</v>
      </c>
    </row>
    <row r="40" spans="1:31" ht="18.75" customHeight="1" x14ac:dyDescent="0.3">
      <c r="A40" s="19">
        <f>A38+7</f>
        <v>43679</v>
      </c>
      <c r="B40" s="19"/>
      <c r="C40" s="24"/>
      <c r="D40" s="24"/>
      <c r="E40" s="243"/>
      <c r="F40" s="35"/>
      <c r="G40" s="223">
        <f t="shared" si="13"/>
        <v>0</v>
      </c>
      <c r="H40" s="248">
        <f t="shared" si="0"/>
        <v>0</v>
      </c>
      <c r="I40" s="35"/>
      <c r="J40" s="162"/>
      <c r="K40" s="224" t="e">
        <f t="shared" si="4"/>
        <v>#DIV/0!</v>
      </c>
      <c r="L40" s="170"/>
      <c r="M40" s="24"/>
      <c r="N40" s="35"/>
      <c r="O40" s="115"/>
      <c r="P40" s="115"/>
      <c r="Q40" s="115"/>
      <c r="R40" s="114"/>
      <c r="S40" s="114"/>
      <c r="T40" s="114"/>
      <c r="U40" s="114"/>
      <c r="V40" s="114"/>
      <c r="W40" s="115"/>
      <c r="X40" s="115"/>
      <c r="Y40" s="115"/>
      <c r="Z40" s="117">
        <f t="shared" si="1"/>
        <v>0</v>
      </c>
      <c r="AA40" s="115"/>
      <c r="AB40" s="115"/>
      <c r="AC40" s="115"/>
      <c r="AD40" s="117">
        <f>M40+O40+Q40+W40</f>
        <v>0</v>
      </c>
      <c r="AE40" s="174">
        <f>N40+P40+R40+T40+V40+Z40+AB40</f>
        <v>0</v>
      </c>
    </row>
    <row r="41" spans="1:31" ht="18.75" customHeight="1" x14ac:dyDescent="0.3">
      <c r="A41" s="19">
        <f>A40+7</f>
        <v>43686</v>
      </c>
      <c r="B41" s="19"/>
      <c r="C41" s="24"/>
      <c r="D41" s="24">
        <v>1.41</v>
      </c>
      <c r="E41" s="243"/>
      <c r="F41" s="35">
        <v>0</v>
      </c>
      <c r="G41" s="223">
        <f t="shared" si="13"/>
        <v>493.5</v>
      </c>
      <c r="H41" s="248">
        <f t="shared" si="0"/>
        <v>493.5</v>
      </c>
      <c r="I41" s="35"/>
      <c r="J41" s="162"/>
      <c r="K41" s="224">
        <f t="shared" si="4"/>
        <v>350</v>
      </c>
      <c r="L41" s="170"/>
      <c r="M41" s="24"/>
      <c r="N41" s="35"/>
      <c r="O41" s="114"/>
      <c r="P41" s="114"/>
      <c r="Q41" s="114"/>
      <c r="R41" s="115"/>
      <c r="S41" s="115"/>
      <c r="T41" s="115"/>
      <c r="U41" s="115"/>
      <c r="V41" s="115"/>
      <c r="W41" s="114"/>
      <c r="X41" s="114"/>
      <c r="Y41" s="114"/>
      <c r="Z41" s="117">
        <f t="shared" si="1"/>
        <v>0</v>
      </c>
      <c r="AA41" s="114"/>
      <c r="AB41" s="114"/>
      <c r="AC41" s="114"/>
      <c r="AD41" s="117">
        <f>M41+O41+Q41+W41</f>
        <v>0</v>
      </c>
      <c r="AE41" s="174">
        <f>N41+P41+R41+T41+V41+Z41+AB41</f>
        <v>0</v>
      </c>
    </row>
    <row r="42" spans="1:31" ht="18.75" customHeight="1" x14ac:dyDescent="0.3">
      <c r="A42" s="19">
        <f>A41+7</f>
        <v>43693</v>
      </c>
      <c r="B42" s="19"/>
      <c r="C42" s="24"/>
      <c r="D42" s="24"/>
      <c r="E42" s="243"/>
      <c r="F42" s="35"/>
      <c r="G42" s="223">
        <f t="shared" si="13"/>
        <v>0</v>
      </c>
      <c r="H42" s="248">
        <f t="shared" si="0"/>
        <v>0</v>
      </c>
      <c r="I42" s="35"/>
      <c r="J42" s="162"/>
      <c r="K42" s="224" t="e">
        <f t="shared" si="4"/>
        <v>#DIV/0!</v>
      </c>
      <c r="L42" s="170"/>
      <c r="M42" s="24"/>
      <c r="N42" s="35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7">
        <f t="shared" si="1"/>
        <v>0</v>
      </c>
      <c r="AA42" s="114"/>
      <c r="AB42" s="114"/>
      <c r="AC42" s="114"/>
      <c r="AD42" s="117">
        <f>M42+O42+Q42+W42</f>
        <v>0</v>
      </c>
      <c r="AE42" s="174">
        <f>N42+P42+R42+T42+V42+Z42+AB42</f>
        <v>0</v>
      </c>
    </row>
    <row r="43" spans="1:31" ht="18.75" customHeight="1" x14ac:dyDescent="0.3">
      <c r="A43" s="19">
        <f>A42+7</f>
        <v>43700</v>
      </c>
      <c r="B43" s="19"/>
      <c r="C43" s="24"/>
      <c r="D43" s="24">
        <v>0.83</v>
      </c>
      <c r="E43" s="243">
        <f>905/1.05</f>
        <v>861.90476190476181</v>
      </c>
      <c r="F43" s="35"/>
      <c r="G43" s="223">
        <f t="shared" si="13"/>
        <v>290.5</v>
      </c>
      <c r="H43" s="248">
        <f t="shared" si="0"/>
        <v>1152.4047619047619</v>
      </c>
      <c r="I43" s="35"/>
      <c r="J43" s="162"/>
      <c r="K43" s="224">
        <f t="shared" si="4"/>
        <v>1388.439472174412</v>
      </c>
      <c r="L43" s="170"/>
      <c r="M43" s="24">
        <v>0.81399999999999995</v>
      </c>
      <c r="N43" s="35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7">
        <f t="shared" si="1"/>
        <v>0</v>
      </c>
      <c r="AA43" s="114"/>
      <c r="AB43" s="114"/>
      <c r="AC43" s="114"/>
      <c r="AD43" s="117">
        <f>M43+O43+Q43+W43</f>
        <v>0.81399999999999995</v>
      </c>
      <c r="AE43" s="174">
        <f>N43+P43+R43+T43+V43+Z43+AB43</f>
        <v>0</v>
      </c>
    </row>
    <row r="44" spans="1:31" ht="18.75" customHeight="1" x14ac:dyDescent="0.3">
      <c r="A44" s="19">
        <f>A43+7</f>
        <v>43707</v>
      </c>
      <c r="B44" s="19"/>
      <c r="C44" s="24"/>
      <c r="D44" s="24"/>
      <c r="E44" s="243"/>
      <c r="F44" s="35"/>
      <c r="G44" s="223">
        <f t="shared" si="13"/>
        <v>0</v>
      </c>
      <c r="H44" s="248">
        <f t="shared" si="0"/>
        <v>0</v>
      </c>
      <c r="I44" s="35"/>
      <c r="J44" s="162"/>
      <c r="K44" s="224" t="e">
        <f t="shared" si="4"/>
        <v>#DIV/0!</v>
      </c>
      <c r="L44" s="170"/>
      <c r="M44" s="24"/>
      <c r="N44" s="55">
        <v>-76.56</v>
      </c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7">
        <f t="shared" si="1"/>
        <v>0</v>
      </c>
      <c r="AA44" s="114"/>
      <c r="AB44" s="114"/>
      <c r="AC44" s="114"/>
      <c r="AD44" s="117">
        <f>M44+O44+Q44+W44</f>
        <v>0</v>
      </c>
      <c r="AE44" s="174">
        <f>N35+P44+R44+T44+V44+Z44+AB44</f>
        <v>-138.68</v>
      </c>
    </row>
    <row r="45" spans="1:31" ht="18.75" customHeight="1" x14ac:dyDescent="0.3">
      <c r="A45" s="27" t="s">
        <v>65</v>
      </c>
      <c r="B45" s="28">
        <f>SUBTOTAL(109,B40:B44)</f>
        <v>0</v>
      </c>
      <c r="C45" s="28">
        <f>SUBTOTAL(109,C40:C44)</f>
        <v>0</v>
      </c>
      <c r="D45" s="28">
        <f>SUBTOTAL(109,D40:D44)</f>
        <v>2.2399999999999998</v>
      </c>
      <c r="E45" s="244">
        <f>SUBTOTAL(109,E40:E44)</f>
        <v>861.90476190476181</v>
      </c>
      <c r="F45" s="39">
        <f>SUBTOTAL(109,F40:F44)</f>
        <v>0</v>
      </c>
      <c r="G45" s="223">
        <f t="shared" si="13"/>
        <v>783.99999999999989</v>
      </c>
      <c r="H45" s="249">
        <f t="shared" si="0"/>
        <v>1645.9047619047617</v>
      </c>
      <c r="I45" s="39">
        <f>SUM(E45:F45)/D45</f>
        <v>384.77891156462584</v>
      </c>
      <c r="J45" s="40">
        <f>$B$70</f>
        <v>350</v>
      </c>
      <c r="K45" s="111">
        <f t="shared" si="4"/>
        <v>734.77891156462579</v>
      </c>
      <c r="L45" s="126">
        <f t="shared" ref="L45:Y45" si="16">SUBTOTAL(109,L40:L44)</f>
        <v>0</v>
      </c>
      <c r="M45" s="28">
        <f t="shared" si="16"/>
        <v>0.81399999999999995</v>
      </c>
      <c r="N45" s="39">
        <f t="shared" si="16"/>
        <v>-76.56</v>
      </c>
      <c r="O45" s="28">
        <f t="shared" si="16"/>
        <v>0</v>
      </c>
      <c r="P45" s="28">
        <f t="shared" si="16"/>
        <v>0</v>
      </c>
      <c r="Q45" s="28">
        <f t="shared" si="16"/>
        <v>0</v>
      </c>
      <c r="R45" s="28">
        <f t="shared" si="16"/>
        <v>0</v>
      </c>
      <c r="S45" s="28">
        <f t="shared" si="16"/>
        <v>0</v>
      </c>
      <c r="T45" s="28">
        <f t="shared" si="16"/>
        <v>0</v>
      </c>
      <c r="U45" s="28">
        <f t="shared" si="16"/>
        <v>0</v>
      </c>
      <c r="V45" s="28">
        <f t="shared" si="16"/>
        <v>0</v>
      </c>
      <c r="W45" s="28">
        <f t="shared" si="16"/>
        <v>0</v>
      </c>
      <c r="X45" s="28">
        <f t="shared" si="16"/>
        <v>0</v>
      </c>
      <c r="Y45" s="28">
        <f t="shared" si="16"/>
        <v>0</v>
      </c>
      <c r="Z45" s="123">
        <f>X45+Y45</f>
        <v>0</v>
      </c>
      <c r="AA45" s="28">
        <f>SUBTOTAL(109,AA40:AA44)</f>
        <v>0</v>
      </c>
      <c r="AB45" s="28">
        <f>SUBTOTAL(109,AB40:AB44)</f>
        <v>0</v>
      </c>
      <c r="AC45" s="28">
        <f>SUBTOTAL(109,AC40:AC44)</f>
        <v>0</v>
      </c>
      <c r="AD45" s="187">
        <f>SUBTOTAL(109,AD40:AD44)</f>
        <v>0.81399999999999995</v>
      </c>
      <c r="AE45" s="150">
        <f>SUBTOTAL(109,AE40:AE44)</f>
        <v>-138.68</v>
      </c>
    </row>
    <row r="46" spans="1:31" ht="18.75" customHeight="1" x14ac:dyDescent="0.3">
      <c r="A46" s="19">
        <f>A44+7</f>
        <v>43714</v>
      </c>
      <c r="B46" s="19"/>
      <c r="C46" s="24"/>
      <c r="D46" s="24">
        <f>0.72+1.08</f>
        <v>1.8</v>
      </c>
      <c r="E46" s="243"/>
      <c r="F46" s="35"/>
      <c r="G46" s="223">
        <f t="shared" si="13"/>
        <v>630</v>
      </c>
      <c r="H46" s="248">
        <f t="shared" si="0"/>
        <v>630</v>
      </c>
      <c r="I46" s="35"/>
      <c r="J46" s="162"/>
      <c r="K46" s="224">
        <f t="shared" si="4"/>
        <v>350</v>
      </c>
      <c r="L46" s="170"/>
      <c r="M46" s="24"/>
      <c r="N46" s="35"/>
      <c r="O46" s="115"/>
      <c r="P46" s="115"/>
      <c r="Q46" s="115"/>
      <c r="R46" s="114"/>
      <c r="S46" s="114"/>
      <c r="T46" s="114"/>
      <c r="U46" s="114"/>
      <c r="V46" s="114"/>
      <c r="W46" s="115"/>
      <c r="X46" s="115"/>
      <c r="Y46" s="115"/>
      <c r="Z46" s="117">
        <f t="shared" si="1"/>
        <v>0</v>
      </c>
      <c r="AA46" s="115"/>
      <c r="AB46" s="115"/>
      <c r="AC46" s="115"/>
      <c r="AD46" s="117">
        <f>M46+O46+Q46+W46</f>
        <v>0</v>
      </c>
      <c r="AE46" s="174">
        <f>N46+P46+R46+T46+V46+Z46+AB46</f>
        <v>0</v>
      </c>
    </row>
    <row r="47" spans="1:31" ht="18.75" customHeight="1" x14ac:dyDescent="0.3">
      <c r="A47" s="19">
        <f>A46+7</f>
        <v>43721</v>
      </c>
      <c r="B47" s="19"/>
      <c r="C47" s="24"/>
      <c r="D47" s="24">
        <v>0.41</v>
      </c>
      <c r="E47" s="243"/>
      <c r="F47" s="35"/>
      <c r="G47" s="223">
        <f t="shared" si="13"/>
        <v>143.5</v>
      </c>
      <c r="H47" s="248">
        <f t="shared" si="0"/>
        <v>143.5</v>
      </c>
      <c r="I47" s="35"/>
      <c r="J47" s="162"/>
      <c r="K47" s="224">
        <f t="shared" si="4"/>
        <v>350</v>
      </c>
      <c r="L47" s="170"/>
      <c r="M47" s="24"/>
      <c r="N47" s="35">
        <v>-111.29</v>
      </c>
      <c r="O47" s="114"/>
      <c r="P47" s="114"/>
      <c r="Q47" s="114"/>
      <c r="R47" s="115"/>
      <c r="S47" s="115"/>
      <c r="T47" s="115"/>
      <c r="U47" s="115"/>
      <c r="V47" s="115"/>
      <c r="W47" s="114"/>
      <c r="X47" s="114"/>
      <c r="Y47" s="114"/>
      <c r="Z47" s="117">
        <f t="shared" si="1"/>
        <v>0</v>
      </c>
      <c r="AA47" s="114"/>
      <c r="AB47" s="114"/>
      <c r="AC47" s="114"/>
      <c r="AD47" s="117">
        <f>M47+O47+Q47+W47</f>
        <v>0</v>
      </c>
      <c r="AE47" s="174">
        <f>N47+P47+R47+T47+V47+Z47+AB47</f>
        <v>-111.29</v>
      </c>
    </row>
    <row r="48" spans="1:31" ht="18.75" customHeight="1" x14ac:dyDescent="0.3">
      <c r="A48" s="19">
        <f>A47+7</f>
        <v>43728</v>
      </c>
      <c r="B48" s="19"/>
      <c r="C48" s="24"/>
      <c r="D48" s="24"/>
      <c r="E48" s="243"/>
      <c r="F48" s="35"/>
      <c r="G48" s="223">
        <f t="shared" si="13"/>
        <v>0</v>
      </c>
      <c r="H48" s="248">
        <f t="shared" si="0"/>
        <v>0</v>
      </c>
      <c r="I48" s="35"/>
      <c r="J48" s="162"/>
      <c r="K48" s="224" t="e">
        <f t="shared" si="4"/>
        <v>#DIV/0!</v>
      </c>
      <c r="L48" s="170"/>
      <c r="M48" s="24"/>
      <c r="N48" s="35">
        <v>-108.56</v>
      </c>
      <c r="O48" s="114"/>
      <c r="P48" s="114"/>
      <c r="Q48" s="114"/>
      <c r="R48" s="115"/>
      <c r="S48" s="115"/>
      <c r="T48" s="115"/>
      <c r="U48" s="115"/>
      <c r="V48" s="115"/>
      <c r="W48" s="114"/>
      <c r="X48" s="114"/>
      <c r="Y48" s="114"/>
      <c r="Z48" s="117">
        <f t="shared" si="1"/>
        <v>0</v>
      </c>
      <c r="AA48" s="114"/>
      <c r="AB48" s="114"/>
      <c r="AC48" s="114"/>
      <c r="AD48" s="117">
        <f>M48+O48+Q48+W48</f>
        <v>0</v>
      </c>
      <c r="AE48" s="174">
        <f>N48+P48+R48+T48+V48+Z48+AB48</f>
        <v>-108.56</v>
      </c>
    </row>
    <row r="49" spans="1:31" ht="18.75" customHeight="1" x14ac:dyDescent="0.3">
      <c r="A49" s="19">
        <f>A48+7</f>
        <v>43735</v>
      </c>
      <c r="B49" s="19"/>
      <c r="C49" s="24"/>
      <c r="D49" s="24">
        <v>0.53</v>
      </c>
      <c r="E49" s="243">
        <f>2227.69/1.05</f>
        <v>2121.6095238095236</v>
      </c>
      <c r="F49" s="35"/>
      <c r="G49" s="223">
        <f t="shared" si="13"/>
        <v>185.5</v>
      </c>
      <c r="H49" s="248">
        <f t="shared" si="0"/>
        <v>2307.1095238095236</v>
      </c>
      <c r="I49" s="35"/>
      <c r="J49" s="162"/>
      <c r="K49" s="224">
        <f t="shared" si="4"/>
        <v>4353.0368373764595</v>
      </c>
      <c r="L49" s="170"/>
      <c r="M49" s="24">
        <v>0.97499999999999998</v>
      </c>
      <c r="N49" s="35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7">
        <f t="shared" si="1"/>
        <v>0</v>
      </c>
      <c r="AA49" s="114"/>
      <c r="AB49" s="114"/>
      <c r="AC49" s="114"/>
      <c r="AD49" s="117">
        <f>M49+O49+Q49+W49</f>
        <v>0.97499999999999998</v>
      </c>
      <c r="AE49" s="174">
        <f>N49+P49+R49+T49+V49+Z49+AB49</f>
        <v>0</v>
      </c>
    </row>
    <row r="50" spans="1:31" ht="18.75" customHeight="1" x14ac:dyDescent="0.3">
      <c r="A50" s="68" t="s">
        <v>66</v>
      </c>
      <c r="B50" s="28">
        <f>SUBTOTAL(109,B46:B49)</f>
        <v>0</v>
      </c>
      <c r="C50" s="28">
        <f>SUBTOTAL(109,C46:C49)</f>
        <v>0</v>
      </c>
      <c r="D50" s="28">
        <f>SUBTOTAL(109,D46:D49)</f>
        <v>2.74</v>
      </c>
      <c r="E50" s="244">
        <f>SUBTOTAL(109,E46:E49)</f>
        <v>2121.6095238095236</v>
      </c>
      <c r="F50" s="39">
        <f>SUBTOTAL(109,F46:F49)</f>
        <v>0</v>
      </c>
      <c r="G50" s="223">
        <f t="shared" si="13"/>
        <v>959.00000000000011</v>
      </c>
      <c r="H50" s="249">
        <f t="shared" si="0"/>
        <v>3080.6095238095236</v>
      </c>
      <c r="I50" s="39">
        <f>SUM(E50:F50)/D50</f>
        <v>774.31004518595751</v>
      </c>
      <c r="J50" s="40">
        <f>$B$70</f>
        <v>350</v>
      </c>
      <c r="K50" s="111">
        <f t="shared" si="4"/>
        <v>1124.3100451859575</v>
      </c>
      <c r="L50" s="126">
        <f t="shared" ref="L50:S50" si="17">SUBTOTAL(109,L46:L49)</f>
        <v>0</v>
      </c>
      <c r="M50" s="28">
        <f t="shared" si="17"/>
        <v>0.97499999999999998</v>
      </c>
      <c r="N50" s="39">
        <f t="shared" si="17"/>
        <v>-219.85000000000002</v>
      </c>
      <c r="O50" s="148">
        <f t="shared" si="17"/>
        <v>0</v>
      </c>
      <c r="P50" s="28">
        <f t="shared" si="17"/>
        <v>0</v>
      </c>
      <c r="Q50" s="28">
        <f t="shared" si="17"/>
        <v>0</v>
      </c>
      <c r="R50" s="28">
        <f t="shared" si="17"/>
        <v>0</v>
      </c>
      <c r="S50" s="28">
        <f t="shared" si="17"/>
        <v>0</v>
      </c>
      <c r="T50" s="28">
        <f t="shared" ref="T50:AD50" si="18">SUBTOTAL(109,T46:T49)</f>
        <v>0</v>
      </c>
      <c r="U50" s="28">
        <f t="shared" si="18"/>
        <v>0</v>
      </c>
      <c r="V50" s="28">
        <f t="shared" si="18"/>
        <v>0</v>
      </c>
      <c r="W50" s="28">
        <f t="shared" si="18"/>
        <v>0</v>
      </c>
      <c r="X50" s="28">
        <f t="shared" si="18"/>
        <v>0</v>
      </c>
      <c r="Y50" s="28">
        <f t="shared" si="18"/>
        <v>0</v>
      </c>
      <c r="Z50" s="123">
        <f t="shared" si="1"/>
        <v>0</v>
      </c>
      <c r="AA50" s="28">
        <f t="shared" si="18"/>
        <v>0</v>
      </c>
      <c r="AB50" s="28">
        <f t="shared" si="18"/>
        <v>0</v>
      </c>
      <c r="AC50" s="28">
        <f t="shared" si="18"/>
        <v>0</v>
      </c>
      <c r="AD50" s="187">
        <f t="shared" si="18"/>
        <v>0.97499999999999998</v>
      </c>
      <c r="AE50" s="150">
        <f>SUBTOTAL(109,AE46:AE49)</f>
        <v>-219.85000000000002</v>
      </c>
    </row>
    <row r="51" spans="1:31" ht="18.75" customHeight="1" x14ac:dyDescent="0.3">
      <c r="A51" s="19">
        <f>A49+7</f>
        <v>43742</v>
      </c>
      <c r="B51" s="19"/>
      <c r="C51" s="24"/>
      <c r="D51" s="24">
        <v>1</v>
      </c>
      <c r="E51" s="243">
        <f>1044.23/1.05</f>
        <v>994.50476190476184</v>
      </c>
      <c r="F51" s="35"/>
      <c r="G51" s="223">
        <f t="shared" si="13"/>
        <v>350</v>
      </c>
      <c r="H51" s="248">
        <f t="shared" si="0"/>
        <v>1344.5047619047618</v>
      </c>
      <c r="I51" s="35"/>
      <c r="J51" s="162"/>
      <c r="K51" s="224">
        <f t="shared" si="4"/>
        <v>1344.5047619047618</v>
      </c>
      <c r="L51" s="170"/>
      <c r="M51" s="24"/>
      <c r="N51" s="35"/>
      <c r="O51" s="115"/>
      <c r="P51" s="115"/>
      <c r="Q51" s="115"/>
      <c r="R51" s="114"/>
      <c r="S51" s="114"/>
      <c r="T51" s="114"/>
      <c r="U51" s="114"/>
      <c r="V51" s="114"/>
      <c r="W51" s="115"/>
      <c r="X51" s="115"/>
      <c r="Y51" s="115"/>
      <c r="Z51" s="117">
        <f t="shared" si="1"/>
        <v>0</v>
      </c>
      <c r="AA51" s="115"/>
      <c r="AB51" s="115"/>
      <c r="AC51" s="115"/>
      <c r="AD51" s="117">
        <f>M51+O51+Q51+W51</f>
        <v>0</v>
      </c>
      <c r="AE51" s="174">
        <f>N51+P51+R51+T51+V51+Z51+AB51</f>
        <v>0</v>
      </c>
    </row>
    <row r="52" spans="1:31" ht="18.75" customHeight="1" x14ac:dyDescent="0.3">
      <c r="A52" s="19">
        <f>A51+7</f>
        <v>43749</v>
      </c>
      <c r="B52" s="19"/>
      <c r="C52" s="24"/>
      <c r="D52" s="24"/>
      <c r="E52" s="243"/>
      <c r="F52" s="35"/>
      <c r="G52" s="223">
        <f t="shared" si="13"/>
        <v>0</v>
      </c>
      <c r="H52" s="248">
        <f t="shared" si="0"/>
        <v>0</v>
      </c>
      <c r="I52" s="35"/>
      <c r="J52" s="162"/>
      <c r="K52" s="224" t="e">
        <f t="shared" si="4"/>
        <v>#DIV/0!</v>
      </c>
      <c r="L52" s="170"/>
      <c r="M52" s="24">
        <v>0.27</v>
      </c>
      <c r="N52" s="35"/>
      <c r="O52" s="114"/>
      <c r="P52" s="114"/>
      <c r="Q52" s="114"/>
      <c r="R52" s="115"/>
      <c r="S52" s="115"/>
      <c r="T52" s="115"/>
      <c r="U52" s="115"/>
      <c r="V52" s="115"/>
      <c r="W52" s="114"/>
      <c r="X52" s="114"/>
      <c r="Y52" s="114"/>
      <c r="Z52" s="117">
        <f t="shared" si="1"/>
        <v>0</v>
      </c>
      <c r="AA52" s="114"/>
      <c r="AB52" s="114"/>
      <c r="AC52" s="114"/>
      <c r="AD52" s="117">
        <f>M52+O52+Q52+W52</f>
        <v>0.27</v>
      </c>
      <c r="AE52" s="174">
        <f>N52+P52+R52+T52+V52+Z52+AB52</f>
        <v>0</v>
      </c>
    </row>
    <row r="53" spans="1:31" ht="18.75" customHeight="1" x14ac:dyDescent="0.3">
      <c r="A53" s="19">
        <f>A52+7</f>
        <v>43756</v>
      </c>
      <c r="B53" s="19"/>
      <c r="C53" s="24"/>
      <c r="D53" s="24">
        <v>0.65</v>
      </c>
      <c r="E53" s="243">
        <v>663</v>
      </c>
      <c r="F53" s="35"/>
      <c r="G53" s="223">
        <f t="shared" si="13"/>
        <v>227.5</v>
      </c>
      <c r="H53" s="248">
        <f t="shared" si="0"/>
        <v>890.5</v>
      </c>
      <c r="I53" s="35"/>
      <c r="J53" s="162"/>
      <c r="K53" s="224">
        <f t="shared" si="4"/>
        <v>1370</v>
      </c>
      <c r="L53" s="170"/>
      <c r="M53" s="24">
        <v>0.77100000000000002</v>
      </c>
      <c r="N53" s="35"/>
      <c r="O53" s="114"/>
      <c r="P53" s="114"/>
      <c r="Q53" s="114">
        <v>2.0499999999999998</v>
      </c>
      <c r="R53" s="114">
        <v>-471.4</v>
      </c>
      <c r="S53" s="114"/>
      <c r="T53" s="114"/>
      <c r="U53" s="114"/>
      <c r="V53" s="114"/>
      <c r="W53" s="114"/>
      <c r="X53" s="114"/>
      <c r="Y53" s="114"/>
      <c r="Z53" s="117">
        <f t="shared" si="1"/>
        <v>0</v>
      </c>
      <c r="AA53" s="114"/>
      <c r="AB53" s="114"/>
      <c r="AC53" s="114"/>
      <c r="AD53" s="117">
        <f>M53+O53+Q53+W53</f>
        <v>2.8209999999999997</v>
      </c>
      <c r="AE53" s="174">
        <f>N53+P53+R53+T53+V53+Z53+AB53</f>
        <v>-471.4</v>
      </c>
    </row>
    <row r="54" spans="1:31" ht="18.75" customHeight="1" x14ac:dyDescent="0.3">
      <c r="A54" s="19">
        <f>A53+7</f>
        <v>43763</v>
      </c>
      <c r="B54" s="19"/>
      <c r="C54" s="24"/>
      <c r="D54" s="24">
        <v>0.59</v>
      </c>
      <c r="E54" s="243">
        <f>90.95/1.05</f>
        <v>86.61904761904762</v>
      </c>
      <c r="F54" s="35"/>
      <c r="G54" s="223">
        <f t="shared" si="13"/>
        <v>206.5</v>
      </c>
      <c r="H54" s="248">
        <f t="shared" si="0"/>
        <v>293.11904761904759</v>
      </c>
      <c r="I54" s="35"/>
      <c r="J54" s="162"/>
      <c r="K54" s="224">
        <f t="shared" si="4"/>
        <v>496.81194511702984</v>
      </c>
      <c r="L54" s="170"/>
      <c r="M54" s="24">
        <v>0.22</v>
      </c>
      <c r="N54" s="35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7">
        <f t="shared" si="1"/>
        <v>0</v>
      </c>
      <c r="AA54" s="114"/>
      <c r="AB54" s="114"/>
      <c r="AC54" s="114"/>
      <c r="AD54" s="117">
        <f>M54+O54+Q54+W54</f>
        <v>0.22</v>
      </c>
      <c r="AE54" s="174">
        <f>N54+P54+R54+T54+V54+Z54+AB54</f>
        <v>0</v>
      </c>
    </row>
    <row r="55" spans="1:31" ht="18.75" customHeight="1" x14ac:dyDescent="0.3">
      <c r="A55" s="27" t="s">
        <v>51</v>
      </c>
      <c r="B55" s="28">
        <f>SUBTOTAL(109,B51:B54)</f>
        <v>0</v>
      </c>
      <c r="C55" s="28">
        <f>SUBTOTAL(109,C51:C54)</f>
        <v>0</v>
      </c>
      <c r="D55" s="28">
        <f>SUBTOTAL(109,D51:D54)</f>
        <v>2.2399999999999998</v>
      </c>
      <c r="E55" s="244">
        <f>SUBTOTAL(109,E51:E54)</f>
        <v>1744.1238095238095</v>
      </c>
      <c r="F55" s="39">
        <f>SUBTOTAL(109,F51:F54)</f>
        <v>0</v>
      </c>
      <c r="G55" s="223">
        <f t="shared" si="13"/>
        <v>783.99999999999989</v>
      </c>
      <c r="H55" s="249">
        <f t="shared" si="0"/>
        <v>2528.1238095238095</v>
      </c>
      <c r="I55" s="39">
        <f>SUM(E55:F55)/D55</f>
        <v>778.62670068027217</v>
      </c>
      <c r="J55" s="40">
        <f>$B$69</f>
        <v>125</v>
      </c>
      <c r="K55" s="111">
        <f t="shared" si="4"/>
        <v>1128.6267006802723</v>
      </c>
      <c r="L55" s="126">
        <f t="shared" ref="L55:S55" si="19">SUBTOTAL(109,L51:L54)</f>
        <v>0</v>
      </c>
      <c r="M55" s="28">
        <f t="shared" si="19"/>
        <v>1.2609999999999999</v>
      </c>
      <c r="N55" s="39">
        <f t="shared" si="19"/>
        <v>0</v>
      </c>
      <c r="O55" s="148">
        <f t="shared" si="19"/>
        <v>0</v>
      </c>
      <c r="P55" s="28">
        <f t="shared" si="19"/>
        <v>0</v>
      </c>
      <c r="Q55" s="28">
        <f t="shared" si="19"/>
        <v>2.0499999999999998</v>
      </c>
      <c r="R55" s="28">
        <f t="shared" si="19"/>
        <v>-471.4</v>
      </c>
      <c r="S55" s="28">
        <f t="shared" si="19"/>
        <v>0</v>
      </c>
      <c r="T55" s="28">
        <f t="shared" ref="T55:AD55" si="20">SUBTOTAL(109,T51:T54)</f>
        <v>0</v>
      </c>
      <c r="U55" s="28">
        <f t="shared" si="20"/>
        <v>0</v>
      </c>
      <c r="V55" s="28">
        <f t="shared" si="20"/>
        <v>0</v>
      </c>
      <c r="W55" s="28">
        <f t="shared" si="20"/>
        <v>0</v>
      </c>
      <c r="X55" s="28">
        <f t="shared" si="20"/>
        <v>0</v>
      </c>
      <c r="Y55" s="28">
        <f t="shared" si="20"/>
        <v>0</v>
      </c>
      <c r="Z55" s="123">
        <f t="shared" si="1"/>
        <v>0</v>
      </c>
      <c r="AA55" s="28">
        <f t="shared" si="20"/>
        <v>0</v>
      </c>
      <c r="AB55" s="28">
        <f t="shared" si="20"/>
        <v>0</v>
      </c>
      <c r="AC55" s="28">
        <f t="shared" si="20"/>
        <v>0</v>
      </c>
      <c r="AD55" s="187">
        <f t="shared" si="20"/>
        <v>3.3109999999999999</v>
      </c>
      <c r="AE55" s="150">
        <f>SUBTOTAL(109,AE51:AE54)</f>
        <v>-471.4</v>
      </c>
    </row>
    <row r="56" spans="1:31" ht="18.75" customHeight="1" x14ac:dyDescent="0.3">
      <c r="A56" s="19">
        <f>A54+7</f>
        <v>43770</v>
      </c>
      <c r="B56" s="19"/>
      <c r="C56" s="24"/>
      <c r="D56" s="24">
        <v>0.55000000000000004</v>
      </c>
      <c r="E56" s="243">
        <f>487.31/1.05</f>
        <v>464.10476190476192</v>
      </c>
      <c r="F56" s="35"/>
      <c r="G56" s="223">
        <f t="shared" si="13"/>
        <v>192.50000000000003</v>
      </c>
      <c r="H56" s="248">
        <f t="shared" si="0"/>
        <v>656.60476190476197</v>
      </c>
      <c r="I56" s="35"/>
      <c r="J56" s="162"/>
      <c r="K56" s="224">
        <f t="shared" si="4"/>
        <v>1193.8268398268399</v>
      </c>
      <c r="L56" s="170"/>
      <c r="M56" s="24"/>
      <c r="N56" s="35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7">
        <f t="shared" si="1"/>
        <v>0</v>
      </c>
      <c r="AA56" s="114"/>
      <c r="AB56" s="114"/>
      <c r="AC56" s="114"/>
      <c r="AD56" s="117">
        <f>M56+O56+Q56+W56</f>
        <v>0</v>
      </c>
      <c r="AE56" s="174">
        <f>N56+P56+R56+T56+V56+Z56+AB56</f>
        <v>0</v>
      </c>
    </row>
    <row r="57" spans="1:31" ht="18.75" customHeight="1" x14ac:dyDescent="0.3">
      <c r="A57" s="19">
        <f>A56+7</f>
        <v>43777</v>
      </c>
      <c r="B57" s="19"/>
      <c r="C57" s="24"/>
      <c r="D57" s="24">
        <v>0.68</v>
      </c>
      <c r="E57" s="243">
        <f>90.95/1.05</f>
        <v>86.61904761904762</v>
      </c>
      <c r="F57" s="35"/>
      <c r="G57" s="223">
        <f t="shared" si="13"/>
        <v>238.00000000000003</v>
      </c>
      <c r="H57" s="248">
        <f t="shared" si="0"/>
        <v>324.61904761904765</v>
      </c>
      <c r="I57" s="35"/>
      <c r="J57" s="162"/>
      <c r="K57" s="224">
        <f t="shared" si="4"/>
        <v>477.38095238095241</v>
      </c>
      <c r="L57" s="170"/>
      <c r="M57" s="24">
        <v>0.215</v>
      </c>
      <c r="N57" s="35"/>
      <c r="O57" s="115"/>
      <c r="P57" s="115"/>
      <c r="Q57" s="115"/>
      <c r="R57" s="114"/>
      <c r="S57" s="114"/>
      <c r="T57" s="114"/>
      <c r="U57" s="114"/>
      <c r="V57" s="114"/>
      <c r="W57" s="115"/>
      <c r="X57" s="115"/>
      <c r="Y57" s="115"/>
      <c r="Z57" s="117">
        <f t="shared" si="1"/>
        <v>0</v>
      </c>
      <c r="AA57" s="115"/>
      <c r="AB57" s="115"/>
      <c r="AC57" s="115"/>
      <c r="AD57" s="117">
        <f>M57+O57+Q57+W57</f>
        <v>0.215</v>
      </c>
      <c r="AE57" s="174">
        <f>N57+P57+R57+T57+V57+Z57+AB57</f>
        <v>0</v>
      </c>
    </row>
    <row r="58" spans="1:31" ht="18.75" customHeight="1" x14ac:dyDescent="0.3">
      <c r="A58" s="19">
        <f>A57+7</f>
        <v>43784</v>
      </c>
      <c r="B58" s="19"/>
      <c r="C58" s="24"/>
      <c r="D58" s="24"/>
      <c r="E58" s="243">
        <f>723.98/1.05</f>
        <v>689.50476190476195</v>
      </c>
      <c r="F58" s="35"/>
      <c r="G58" s="223">
        <f t="shared" si="13"/>
        <v>0</v>
      </c>
      <c r="H58" s="248">
        <f t="shared" si="0"/>
        <v>689.50476190476195</v>
      </c>
      <c r="I58" s="35"/>
      <c r="J58" s="162"/>
      <c r="K58" s="224" t="e">
        <f t="shared" si="4"/>
        <v>#DIV/0!</v>
      </c>
      <c r="L58" s="170"/>
      <c r="M58" s="24"/>
      <c r="N58" s="35"/>
      <c r="O58" s="114"/>
      <c r="P58" s="114"/>
      <c r="Q58" s="114"/>
      <c r="R58" s="115"/>
      <c r="S58" s="115"/>
      <c r="T58" s="115"/>
      <c r="U58" s="115"/>
      <c r="V58" s="115"/>
      <c r="W58" s="114"/>
      <c r="X58" s="114"/>
      <c r="Y58" s="114"/>
      <c r="Z58" s="117">
        <f t="shared" si="1"/>
        <v>0</v>
      </c>
      <c r="AA58" s="114"/>
      <c r="AB58" s="114"/>
      <c r="AC58" s="114"/>
      <c r="AD58" s="117">
        <f>M58+O58+Q58+W58</f>
        <v>0</v>
      </c>
      <c r="AE58" s="174">
        <f>N58+P58+R58+T58+V58+Z58+AB58</f>
        <v>0</v>
      </c>
    </row>
    <row r="59" spans="1:31" ht="18.75" customHeight="1" x14ac:dyDescent="0.3">
      <c r="A59" s="19">
        <f>A58+7</f>
        <v>43791</v>
      </c>
      <c r="B59" s="19"/>
      <c r="C59" s="24"/>
      <c r="D59" s="24"/>
      <c r="E59" s="243">
        <f>91.61/1.05</f>
        <v>87.24761904761904</v>
      </c>
      <c r="F59" s="35"/>
      <c r="G59" s="223">
        <f t="shared" si="13"/>
        <v>0</v>
      </c>
      <c r="H59" s="248">
        <f t="shared" si="0"/>
        <v>87.24761904761904</v>
      </c>
      <c r="I59" s="35"/>
      <c r="J59" s="162"/>
      <c r="K59" s="224" t="e">
        <f t="shared" si="4"/>
        <v>#DIV/0!</v>
      </c>
      <c r="L59" s="170"/>
      <c r="M59" s="24"/>
      <c r="N59" s="35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7">
        <f t="shared" si="1"/>
        <v>0</v>
      </c>
      <c r="AA59" s="114"/>
      <c r="AB59" s="114"/>
      <c r="AC59" s="114"/>
      <c r="AD59" s="117">
        <f>M59+O59+Q59+W59</f>
        <v>0</v>
      </c>
      <c r="AE59" s="174">
        <f>N59+P59+R59+T59+V59+Z59+AB59</f>
        <v>0</v>
      </c>
    </row>
    <row r="60" spans="1:31" ht="18.75" customHeight="1" x14ac:dyDescent="0.3">
      <c r="A60" s="19">
        <f>A59+7</f>
        <v>43798</v>
      </c>
      <c r="B60" s="19"/>
      <c r="C60" s="24"/>
      <c r="D60" s="24">
        <v>0.63</v>
      </c>
      <c r="E60" s="243"/>
      <c r="F60" s="35"/>
      <c r="G60" s="223">
        <f t="shared" si="13"/>
        <v>220.5</v>
      </c>
      <c r="H60" s="248">
        <f t="shared" si="0"/>
        <v>220.5</v>
      </c>
      <c r="I60" s="35"/>
      <c r="J60" s="162"/>
      <c r="K60" s="224">
        <f t="shared" si="4"/>
        <v>350</v>
      </c>
      <c r="L60" s="170"/>
      <c r="M60" s="24"/>
      <c r="N60" s="35">
        <v>-76.56</v>
      </c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7">
        <f t="shared" si="1"/>
        <v>0</v>
      </c>
      <c r="AA60" s="114"/>
      <c r="AB60" s="114"/>
      <c r="AC60" s="114"/>
      <c r="AD60" s="117">
        <f>M60+O60+Q60+W60</f>
        <v>0</v>
      </c>
      <c r="AE60" s="174">
        <f>N60+P60+R60+T60+V60+Z60+AB60</f>
        <v>-76.56</v>
      </c>
    </row>
    <row r="61" spans="1:31" ht="18.75" customHeight="1" x14ac:dyDescent="0.3">
      <c r="A61" s="27" t="s">
        <v>11</v>
      </c>
      <c r="B61" s="28">
        <f>SUBTOTAL(109,B56:B60)</f>
        <v>0</v>
      </c>
      <c r="C61" s="28">
        <f>SUBTOTAL(109,C56:C60)</f>
        <v>0</v>
      </c>
      <c r="D61" s="28">
        <f>SUBTOTAL(109,D56:D60)</f>
        <v>1.8599999999999999</v>
      </c>
      <c r="E61" s="244">
        <f>SUBTOTAL(109,E56:E60)</f>
        <v>1327.4761904761906</v>
      </c>
      <c r="F61" s="39">
        <f>SUBTOTAL(109,F56:F60)</f>
        <v>0</v>
      </c>
      <c r="G61" s="223">
        <f t="shared" si="13"/>
        <v>651</v>
      </c>
      <c r="H61" s="249">
        <f t="shared" si="0"/>
        <v>1978.4761904761906</v>
      </c>
      <c r="I61" s="39">
        <f>SUM(E61:F61)/D61</f>
        <v>713.69687660010254</v>
      </c>
      <c r="J61" s="40">
        <f>$B$70</f>
        <v>350</v>
      </c>
      <c r="K61" s="111">
        <f t="shared" si="4"/>
        <v>1063.6968766001025</v>
      </c>
      <c r="L61" s="126">
        <f t="shared" ref="L61:Y61" si="21">SUBTOTAL(109,L56:L60)</f>
        <v>0</v>
      </c>
      <c r="M61" s="28">
        <f t="shared" si="21"/>
        <v>0.215</v>
      </c>
      <c r="N61" s="39">
        <f t="shared" si="21"/>
        <v>-76.56</v>
      </c>
      <c r="O61" s="28">
        <f t="shared" si="21"/>
        <v>0</v>
      </c>
      <c r="P61" s="28">
        <f t="shared" si="21"/>
        <v>0</v>
      </c>
      <c r="Q61" s="28">
        <f t="shared" si="21"/>
        <v>0</v>
      </c>
      <c r="R61" s="28">
        <f t="shared" si="21"/>
        <v>0</v>
      </c>
      <c r="S61" s="28">
        <f t="shared" si="21"/>
        <v>0</v>
      </c>
      <c r="T61" s="28">
        <f t="shared" si="21"/>
        <v>0</v>
      </c>
      <c r="U61" s="28">
        <f t="shared" si="21"/>
        <v>0</v>
      </c>
      <c r="V61" s="28">
        <f t="shared" si="21"/>
        <v>0</v>
      </c>
      <c r="W61" s="28">
        <f t="shared" si="21"/>
        <v>0</v>
      </c>
      <c r="X61" s="28">
        <f t="shared" si="21"/>
        <v>0</v>
      </c>
      <c r="Y61" s="28">
        <f t="shared" si="21"/>
        <v>0</v>
      </c>
      <c r="Z61" s="123">
        <f>X61+Y61</f>
        <v>0</v>
      </c>
      <c r="AA61" s="28">
        <f>SUBTOTAL(109,AA56:AA60)</f>
        <v>0</v>
      </c>
      <c r="AB61" s="28">
        <f>SUBTOTAL(109,AB56:AB60)</f>
        <v>0</v>
      </c>
      <c r="AC61" s="28">
        <f>SUBTOTAL(109,AC56:AC60)</f>
        <v>0</v>
      </c>
      <c r="AD61" s="187">
        <f>SUBTOTAL(109,AD56:AD60)</f>
        <v>0.215</v>
      </c>
      <c r="AE61" s="150">
        <f>SUBTOTAL(109,AE56:AE60)</f>
        <v>-76.56</v>
      </c>
    </row>
    <row r="62" spans="1:31" ht="18.75" customHeight="1" x14ac:dyDescent="0.3">
      <c r="A62" s="19">
        <f>A60+7</f>
        <v>43805</v>
      </c>
      <c r="B62" s="19"/>
      <c r="C62" s="24"/>
      <c r="D62" s="24">
        <v>0.48</v>
      </c>
      <c r="E62" s="243">
        <f>434.39/1.05</f>
        <v>413.70476190476188</v>
      </c>
      <c r="F62" s="35"/>
      <c r="G62" s="223">
        <f t="shared" si="13"/>
        <v>168</v>
      </c>
      <c r="H62" s="248">
        <f t="shared" si="0"/>
        <v>581.70476190476188</v>
      </c>
      <c r="I62" s="35"/>
      <c r="J62" s="162"/>
      <c r="K62" s="224">
        <f t="shared" si="4"/>
        <v>1211.8849206349207</v>
      </c>
      <c r="L62" s="170"/>
      <c r="M62" s="24">
        <v>0.25</v>
      </c>
      <c r="N62" s="35">
        <v>-59.18</v>
      </c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7">
        <f t="shared" si="1"/>
        <v>0</v>
      </c>
      <c r="AA62" s="114"/>
      <c r="AB62" s="114"/>
      <c r="AC62" s="114"/>
      <c r="AD62" s="117">
        <f>M62+O62+Q62+W62</f>
        <v>0.25</v>
      </c>
      <c r="AE62" s="174">
        <f>N62+P62+R62+T62+V62+Z62+AB62</f>
        <v>-59.18</v>
      </c>
    </row>
    <row r="63" spans="1:31" ht="18.75" customHeight="1" x14ac:dyDescent="0.3">
      <c r="A63" s="19">
        <f>A62+7</f>
        <v>43812</v>
      </c>
      <c r="B63" s="19"/>
      <c r="C63" s="24"/>
      <c r="D63" s="24"/>
      <c r="E63" s="243">
        <f>91.61/1.05</f>
        <v>87.24761904761904</v>
      </c>
      <c r="F63" s="35"/>
      <c r="G63" s="223">
        <f t="shared" si="13"/>
        <v>0</v>
      </c>
      <c r="H63" s="248">
        <f t="shared" si="0"/>
        <v>87.24761904761904</v>
      </c>
      <c r="I63" s="35"/>
      <c r="J63" s="162"/>
      <c r="K63" s="224" t="e">
        <f t="shared" si="4"/>
        <v>#DIV/0!</v>
      </c>
      <c r="L63" s="170"/>
      <c r="M63" s="24">
        <v>0.28000000000000003</v>
      </c>
      <c r="N63" s="35"/>
      <c r="O63" s="115"/>
      <c r="P63" s="115"/>
      <c r="Q63" s="115"/>
      <c r="R63" s="114"/>
      <c r="S63" s="114"/>
      <c r="T63" s="114"/>
      <c r="U63" s="114"/>
      <c r="V63" s="114"/>
      <c r="W63" s="115"/>
      <c r="X63" s="115"/>
      <c r="Y63" s="115"/>
      <c r="Z63" s="117">
        <f t="shared" si="1"/>
        <v>0</v>
      </c>
      <c r="AA63" s="115"/>
      <c r="AB63" s="115"/>
      <c r="AC63" s="115"/>
      <c r="AD63" s="117">
        <f>M63+O63+Q63+W63</f>
        <v>0.28000000000000003</v>
      </c>
      <c r="AE63" s="174">
        <f>N63+P63+R63+T63+V63+Z63+AB63</f>
        <v>0</v>
      </c>
    </row>
    <row r="64" spans="1:31" ht="18.75" customHeight="1" x14ac:dyDescent="0.3">
      <c r="A64" s="19">
        <f>A63+7</f>
        <v>43819</v>
      </c>
      <c r="B64" s="19"/>
      <c r="C64" s="24"/>
      <c r="D64" s="24">
        <v>0.98</v>
      </c>
      <c r="E64" s="243"/>
      <c r="F64" s="35"/>
      <c r="G64" s="223">
        <f t="shared" si="13"/>
        <v>343</v>
      </c>
      <c r="H64" s="248">
        <f t="shared" si="0"/>
        <v>343</v>
      </c>
      <c r="I64" s="35"/>
      <c r="J64" s="162"/>
      <c r="K64" s="224">
        <f t="shared" si="4"/>
        <v>350</v>
      </c>
      <c r="L64" s="170"/>
      <c r="M64" s="24"/>
      <c r="N64" s="35">
        <v>-17.72</v>
      </c>
      <c r="O64" s="114"/>
      <c r="P64" s="114"/>
      <c r="Q64" s="114"/>
      <c r="R64" s="115"/>
      <c r="S64" s="115"/>
      <c r="T64" s="115"/>
      <c r="U64" s="115"/>
      <c r="V64" s="115"/>
      <c r="W64" s="114"/>
      <c r="X64" s="114"/>
      <c r="Y64" s="114"/>
      <c r="Z64" s="117">
        <f t="shared" si="1"/>
        <v>0</v>
      </c>
      <c r="AA64" s="114"/>
      <c r="AB64" s="114"/>
      <c r="AC64" s="114"/>
      <c r="AD64" s="117">
        <f>M64+O64+Q64+W64</f>
        <v>0</v>
      </c>
      <c r="AE64" s="174">
        <f>N64+P64+R64+T64+V64+Z64+AB64</f>
        <v>-17.72</v>
      </c>
    </row>
    <row r="65" spans="1:31" ht="18.75" customHeight="1" x14ac:dyDescent="0.3">
      <c r="A65" s="19">
        <f>A64+7</f>
        <v>43826</v>
      </c>
      <c r="B65" s="19"/>
      <c r="C65" s="24"/>
      <c r="D65" s="24"/>
      <c r="E65" s="243"/>
      <c r="F65" s="35"/>
      <c r="G65" s="223">
        <f t="shared" si="13"/>
        <v>0</v>
      </c>
      <c r="H65" s="248">
        <f t="shared" si="0"/>
        <v>0</v>
      </c>
      <c r="I65" s="35"/>
      <c r="J65" s="162"/>
      <c r="K65" s="224" t="e">
        <f t="shared" si="4"/>
        <v>#DIV/0!</v>
      </c>
      <c r="L65" s="170"/>
      <c r="M65" s="24">
        <v>0.54</v>
      </c>
      <c r="N65" s="35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7">
        <f t="shared" si="1"/>
        <v>0</v>
      </c>
      <c r="AA65" s="114"/>
      <c r="AB65" s="114"/>
      <c r="AC65" s="114"/>
      <c r="AD65" s="117">
        <f>M65+O65+Q65+W65</f>
        <v>0.54</v>
      </c>
      <c r="AE65" s="174">
        <f>N65+P65+R65+T65+V65+Z65+AB65</f>
        <v>0</v>
      </c>
    </row>
    <row r="66" spans="1:31" ht="18.75" customHeight="1" thickBot="1" x14ac:dyDescent="0.35">
      <c r="A66" s="27" t="s">
        <v>12</v>
      </c>
      <c r="B66" s="28">
        <f>SUBTOTAL(109,B62:B65)</f>
        <v>0</v>
      </c>
      <c r="C66" s="28">
        <f>SUBTOTAL(109,C62:C65)</f>
        <v>0</v>
      </c>
      <c r="D66" s="28">
        <f>SUBTOTAL(109,D62:D65)</f>
        <v>1.46</v>
      </c>
      <c r="E66" s="244">
        <f>SUBTOTAL(109,E62:E65)</f>
        <v>500.95238095238091</v>
      </c>
      <c r="F66" s="39">
        <f>SUBTOTAL(109,F62:F65)</f>
        <v>0</v>
      </c>
      <c r="G66" s="223">
        <f t="shared" si="13"/>
        <v>511</v>
      </c>
      <c r="H66" s="249">
        <f t="shared" si="0"/>
        <v>1011.952380952381</v>
      </c>
      <c r="I66" s="39">
        <f>SUM(E66:F66)/D66</f>
        <v>343.11806914546639</v>
      </c>
      <c r="J66" s="63">
        <f>$B$70</f>
        <v>350</v>
      </c>
      <c r="K66" s="111">
        <f t="shared" si="4"/>
        <v>693.11806914546639</v>
      </c>
      <c r="L66" s="128">
        <f t="shared" ref="L66:S66" si="22">SUBTOTAL(109,L62:L65)</f>
        <v>0</v>
      </c>
      <c r="M66" s="129">
        <f t="shared" si="22"/>
        <v>1.07</v>
      </c>
      <c r="N66" s="112">
        <f t="shared" si="22"/>
        <v>-76.900000000000006</v>
      </c>
      <c r="O66" s="149">
        <f t="shared" si="22"/>
        <v>0</v>
      </c>
      <c r="P66" s="129">
        <f t="shared" si="22"/>
        <v>0</v>
      </c>
      <c r="Q66" s="129">
        <f t="shared" si="22"/>
        <v>0</v>
      </c>
      <c r="R66" s="129">
        <f t="shared" si="22"/>
        <v>0</v>
      </c>
      <c r="S66" s="129">
        <f t="shared" si="22"/>
        <v>0</v>
      </c>
      <c r="T66" s="129">
        <f t="shared" ref="T66:AD66" si="23">SUBTOTAL(109,T62:T65)</f>
        <v>0</v>
      </c>
      <c r="U66" s="129">
        <f t="shared" si="23"/>
        <v>0</v>
      </c>
      <c r="V66" s="129">
        <f t="shared" si="23"/>
        <v>0</v>
      </c>
      <c r="W66" s="129">
        <f t="shared" si="23"/>
        <v>0</v>
      </c>
      <c r="X66" s="129">
        <f t="shared" si="23"/>
        <v>0</v>
      </c>
      <c r="Y66" s="129">
        <f t="shared" si="23"/>
        <v>0</v>
      </c>
      <c r="Z66" s="130">
        <f t="shared" si="1"/>
        <v>0</v>
      </c>
      <c r="AA66" s="129">
        <f t="shared" si="23"/>
        <v>0</v>
      </c>
      <c r="AB66" s="129">
        <f t="shared" si="23"/>
        <v>0</v>
      </c>
      <c r="AC66" s="129">
        <f t="shared" si="23"/>
        <v>0</v>
      </c>
      <c r="AD66" s="129">
        <f t="shared" si="23"/>
        <v>1.07</v>
      </c>
      <c r="AE66" s="145">
        <f>SUBTOTAL(109,AE62:AE65)</f>
        <v>-76.900000000000006</v>
      </c>
    </row>
    <row r="67" spans="1:31" ht="18.75" customHeight="1" thickBot="1" x14ac:dyDescent="0.35">
      <c r="A67" s="20" t="s">
        <v>79</v>
      </c>
      <c r="B67" s="26">
        <f>SUBTOTAL(109,B3:B65)</f>
        <v>0</v>
      </c>
      <c r="C67" s="26">
        <f>SUBTOTAL(109,C3:C65)</f>
        <v>0</v>
      </c>
      <c r="D67" s="85">
        <f>SUBTOTAL(109,D3:D65)</f>
        <v>26.824999999999999</v>
      </c>
      <c r="E67" s="247">
        <f>SUBTOTAL(109,E3:E65)</f>
        <v>22963.771428571425</v>
      </c>
      <c r="F67" s="42">
        <f>SUBTOTAL(109,F3:F65)</f>
        <v>0</v>
      </c>
      <c r="G67" s="223">
        <f t="shared" si="13"/>
        <v>9388.75</v>
      </c>
      <c r="H67" s="250">
        <f t="shared" si="0"/>
        <v>32352.521428571425</v>
      </c>
      <c r="I67" s="42">
        <f>F67/D67</f>
        <v>0</v>
      </c>
      <c r="J67" s="42">
        <f>$B$70</f>
        <v>350</v>
      </c>
      <c r="K67" s="111">
        <f t="shared" si="4"/>
        <v>1206.0585807482357</v>
      </c>
      <c r="L67" s="83">
        <f t="shared" ref="L67:R67" si="24">SUBTOTAL(109,L3:L65)</f>
        <v>0</v>
      </c>
      <c r="M67" s="85">
        <f t="shared" si="24"/>
        <v>12.343</v>
      </c>
      <c r="N67" s="42">
        <f>SUBTOTAL(109,N3:N65)</f>
        <v>-1889.3799999999999</v>
      </c>
      <c r="O67" s="173">
        <f t="shared" si="24"/>
        <v>0</v>
      </c>
      <c r="P67" s="11">
        <f t="shared" si="24"/>
        <v>0</v>
      </c>
      <c r="Q67" s="11">
        <f t="shared" si="24"/>
        <v>2.0499999999999998</v>
      </c>
      <c r="R67" s="11">
        <f t="shared" si="24"/>
        <v>-471.4</v>
      </c>
      <c r="S67" s="11">
        <f t="shared" ref="S67:Z67" si="25">SUBTOTAL(109,S3:S65)</f>
        <v>0</v>
      </c>
      <c r="T67" s="11">
        <f t="shared" si="25"/>
        <v>0</v>
      </c>
      <c r="U67" s="11">
        <f t="shared" si="25"/>
        <v>0</v>
      </c>
      <c r="V67" s="11">
        <f t="shared" si="25"/>
        <v>0</v>
      </c>
      <c r="W67" s="11">
        <f t="shared" si="25"/>
        <v>0</v>
      </c>
      <c r="X67" s="11">
        <f t="shared" si="25"/>
        <v>0</v>
      </c>
      <c r="Y67" s="11">
        <f t="shared" si="25"/>
        <v>0</v>
      </c>
      <c r="Z67" s="11">
        <f t="shared" si="25"/>
        <v>0</v>
      </c>
      <c r="AA67" s="11">
        <f>SUBTOTAL(109,AA3:AA65)</f>
        <v>0</v>
      </c>
      <c r="AB67" s="11">
        <f>SUBTOTAL(109,AB3:AB65)</f>
        <v>0</v>
      </c>
      <c r="AC67" s="11">
        <f>SUBTOTAL(109,AC3:AC65)</f>
        <v>0</v>
      </c>
      <c r="AD67" s="11">
        <f>SUBTOTAL(109,AD3:AD65)</f>
        <v>14.392999999999997</v>
      </c>
      <c r="AE67" s="188">
        <f>SUBTOTAL(109,AE3:AE65)</f>
        <v>-2203.0399999999995</v>
      </c>
    </row>
    <row r="69" spans="1:31" ht="18.75" customHeight="1" x14ac:dyDescent="0.3">
      <c r="A69" s="95" t="s">
        <v>115</v>
      </c>
      <c r="B69" s="62">
        <v>125</v>
      </c>
      <c r="C69" s="21" t="s">
        <v>14</v>
      </c>
      <c r="D69" s="1"/>
    </row>
    <row r="70" spans="1:31" ht="18.75" customHeight="1" x14ac:dyDescent="0.3">
      <c r="B70" s="55">
        <v>350</v>
      </c>
      <c r="C70" s="55" t="s">
        <v>148</v>
      </c>
    </row>
    <row r="71" spans="1:31" ht="26" x14ac:dyDescent="0.3">
      <c r="A71" s="31" t="s">
        <v>23</v>
      </c>
      <c r="B71" s="32" t="s">
        <v>36</v>
      </c>
      <c r="C71" s="32" t="s">
        <v>98</v>
      </c>
      <c r="D71" s="32" t="s">
        <v>108</v>
      </c>
      <c r="E71" s="32" t="s">
        <v>37</v>
      </c>
      <c r="F71" s="32"/>
      <c r="G71" s="32" t="s">
        <v>116</v>
      </c>
      <c r="H71" s="32" t="s">
        <v>117</v>
      </c>
      <c r="I71" s="32" t="s">
        <v>92</v>
      </c>
      <c r="J71" s="32" t="s">
        <v>93</v>
      </c>
      <c r="K71" s="32" t="s">
        <v>94</v>
      </c>
      <c r="L71" s="32" t="s">
        <v>95</v>
      </c>
      <c r="M71" s="32" t="s">
        <v>96</v>
      </c>
      <c r="N71" s="32"/>
      <c r="O71" s="32"/>
      <c r="P71" s="32"/>
      <c r="Q71" s="32"/>
    </row>
    <row r="72" spans="1:31" ht="18.75" customHeight="1" x14ac:dyDescent="0.3">
      <c r="A72" s="21" t="s">
        <v>27</v>
      </c>
      <c r="B72" s="1">
        <f>D7</f>
        <v>1.825</v>
      </c>
      <c r="C72" s="30">
        <f>H7</f>
        <v>3277.9249999999997</v>
      </c>
      <c r="D72" s="22">
        <f t="shared" ref="D72:D83" si="26">C72/B72</f>
        <v>1796.1232876712327</v>
      </c>
      <c r="E72" s="200">
        <f>M7</f>
        <v>0.73399999999999999</v>
      </c>
      <c r="F72" s="1"/>
      <c r="G72" s="1">
        <f>AD7-E72</f>
        <v>0</v>
      </c>
      <c r="H72" s="1">
        <f>AD7</f>
        <v>0.73399999999999999</v>
      </c>
      <c r="I72" s="22">
        <f>AE7</f>
        <v>0</v>
      </c>
      <c r="J72" s="1">
        <f>I72/H72</f>
        <v>0</v>
      </c>
      <c r="K72" s="1">
        <f>B72+H72</f>
        <v>2.5590000000000002</v>
      </c>
      <c r="L72" s="30">
        <f>C72+I72</f>
        <v>3277.9249999999997</v>
      </c>
      <c r="M72" s="179">
        <f>L72/K72</f>
        <v>1280.9398202422819</v>
      </c>
      <c r="N72" s="179"/>
      <c r="O72" s="1"/>
      <c r="P72" s="30"/>
      <c r="Q72" s="1"/>
    </row>
    <row r="73" spans="1:31" ht="18.75" customHeight="1" x14ac:dyDescent="0.3">
      <c r="A73" s="21" t="s">
        <v>28</v>
      </c>
      <c r="B73" s="1">
        <f>D12</f>
        <v>2.4700000000000002</v>
      </c>
      <c r="C73" s="22">
        <f>H12</f>
        <v>2578.3970238095239</v>
      </c>
      <c r="D73" s="22">
        <f t="shared" si="26"/>
        <v>1043.885434740698</v>
      </c>
      <c r="E73" s="200">
        <f>M12</f>
        <v>0.64700000000000002</v>
      </c>
      <c r="F73" s="1"/>
      <c r="G73" s="1">
        <f>AD12-E73</f>
        <v>0</v>
      </c>
      <c r="H73" s="1">
        <f>AD12</f>
        <v>0.64700000000000002</v>
      </c>
      <c r="I73" s="22">
        <f>AE12</f>
        <v>-219.86</v>
      </c>
      <c r="J73" s="1">
        <f t="shared" ref="J73:J83" si="27">I73/H73</f>
        <v>-339.8145285935085</v>
      </c>
      <c r="K73" s="1">
        <f t="shared" ref="K73:K83" si="28">B73+H73</f>
        <v>3.117</v>
      </c>
      <c r="L73" s="30">
        <f t="shared" ref="L73:L83" si="29">C73+I73</f>
        <v>2358.5370238095238</v>
      </c>
      <c r="M73" s="179">
        <f t="shared" ref="M73:M83" si="30">L73/K73</f>
        <v>756.66892005438683</v>
      </c>
      <c r="N73" s="179"/>
      <c r="O73" s="1"/>
      <c r="P73" s="30"/>
      <c r="Q73" s="1"/>
    </row>
    <row r="74" spans="1:31" ht="18.75" customHeight="1" x14ac:dyDescent="0.3">
      <c r="A74" s="21" t="s">
        <v>29</v>
      </c>
      <c r="B74" s="1">
        <f>D18</f>
        <v>2.3099999999999996</v>
      </c>
      <c r="C74" s="22">
        <f>H18</f>
        <v>2225.8922619047617</v>
      </c>
      <c r="D74" s="22">
        <f t="shared" si="26"/>
        <v>963.58972376829524</v>
      </c>
      <c r="E74" s="200">
        <f>M18</f>
        <v>1.22</v>
      </c>
      <c r="F74" s="1"/>
      <c r="G74" s="1">
        <f>AD18-E74</f>
        <v>0</v>
      </c>
      <c r="H74" s="1">
        <f>AD18</f>
        <v>1.22</v>
      </c>
      <c r="I74" s="22">
        <f>AE18</f>
        <v>-76.56</v>
      </c>
      <c r="J74" s="1">
        <f t="shared" si="27"/>
        <v>-62.754098360655739</v>
      </c>
      <c r="K74" s="1">
        <f t="shared" si="28"/>
        <v>3.5299999999999994</v>
      </c>
      <c r="L74" s="30">
        <f t="shared" si="29"/>
        <v>2149.3322619047617</v>
      </c>
      <c r="M74" s="179">
        <f t="shared" si="30"/>
        <v>608.87599487387024</v>
      </c>
      <c r="N74" s="179"/>
      <c r="O74" s="1"/>
      <c r="P74" s="30"/>
      <c r="Q74" s="1"/>
    </row>
    <row r="75" spans="1:31" ht="18.75" customHeight="1" x14ac:dyDescent="0.3">
      <c r="A75" s="21" t="s">
        <v>30</v>
      </c>
      <c r="B75" s="1">
        <f>D23</f>
        <v>1.78</v>
      </c>
      <c r="C75" s="22">
        <f>H23</f>
        <v>2187.9011904761905</v>
      </c>
      <c r="D75" s="22">
        <f t="shared" si="26"/>
        <v>1229.1579721776352</v>
      </c>
      <c r="E75" s="200">
        <f>M23</f>
        <v>1.3660000000000001</v>
      </c>
      <c r="F75" s="1"/>
      <c r="G75" s="1">
        <f>AD23-E75</f>
        <v>0</v>
      </c>
      <c r="H75" s="1">
        <f>AD23</f>
        <v>1.3660000000000001</v>
      </c>
      <c r="I75" s="22">
        <f>AE23</f>
        <v>-288.94</v>
      </c>
      <c r="J75" s="1">
        <f t="shared" si="27"/>
        <v>-211.52269399707171</v>
      </c>
      <c r="K75" s="1">
        <f t="shared" si="28"/>
        <v>3.1459999999999999</v>
      </c>
      <c r="L75" s="30">
        <f t="shared" si="29"/>
        <v>1898.9611904761905</v>
      </c>
      <c r="M75" s="179">
        <f t="shared" si="30"/>
        <v>603.61131292949472</v>
      </c>
      <c r="N75" s="179"/>
      <c r="O75" s="1"/>
      <c r="P75" s="30"/>
      <c r="Q75" s="1"/>
    </row>
    <row r="76" spans="1:31" ht="18.75" customHeight="1" x14ac:dyDescent="0.3">
      <c r="A76" s="21" t="s">
        <v>31</v>
      </c>
      <c r="B76" s="1">
        <f>D29</f>
        <v>2.23</v>
      </c>
      <c r="C76" s="22">
        <f>H29</f>
        <v>2546.8874999999998</v>
      </c>
      <c r="D76" s="22">
        <f t="shared" si="26"/>
        <v>1142.1020179372197</v>
      </c>
      <c r="E76" s="200">
        <f>M29</f>
        <v>1.1399999999999999</v>
      </c>
      <c r="F76" s="1"/>
      <c r="G76" s="1">
        <f>AD29-E76</f>
        <v>0</v>
      </c>
      <c r="H76" s="1">
        <f>AD29</f>
        <v>1.1399999999999999</v>
      </c>
      <c r="I76" s="22">
        <f>AE29</f>
        <v>-172.71</v>
      </c>
      <c r="J76" s="1">
        <f t="shared" si="27"/>
        <v>-151.50000000000003</v>
      </c>
      <c r="K76" s="1">
        <f t="shared" si="28"/>
        <v>3.37</v>
      </c>
      <c r="L76" s="30">
        <f t="shared" si="29"/>
        <v>2374.1774999999998</v>
      </c>
      <c r="M76" s="179">
        <f t="shared" si="30"/>
        <v>704.503709198813</v>
      </c>
      <c r="N76" s="179"/>
      <c r="O76" s="1"/>
      <c r="P76" s="30"/>
      <c r="Q76" s="1"/>
    </row>
    <row r="77" spans="1:31" ht="18.75" customHeight="1" x14ac:dyDescent="0.3">
      <c r="A77" s="21" t="s">
        <v>32</v>
      </c>
      <c r="B77" s="1">
        <f>D34</f>
        <v>2.66</v>
      </c>
      <c r="C77" s="22">
        <f>H34</f>
        <v>3332.6392857142855</v>
      </c>
      <c r="D77" s="22">
        <f t="shared" si="26"/>
        <v>1252.8719119226637</v>
      </c>
      <c r="E77" s="200">
        <f>M34</f>
        <v>1.778</v>
      </c>
      <c r="F77" s="1"/>
      <c r="G77" s="1">
        <f>AD34-E77</f>
        <v>0</v>
      </c>
      <c r="H77" s="1">
        <f>AD34</f>
        <v>1.778</v>
      </c>
      <c r="I77" s="22">
        <f>AE34</f>
        <v>-246.34</v>
      </c>
      <c r="J77" s="1">
        <f t="shared" si="27"/>
        <v>-138.54893138357704</v>
      </c>
      <c r="K77" s="1">
        <f t="shared" si="28"/>
        <v>4.4380000000000006</v>
      </c>
      <c r="L77" s="30">
        <f t="shared" si="29"/>
        <v>3086.2992857142854</v>
      </c>
      <c r="M77" s="179">
        <f t="shared" si="30"/>
        <v>695.42570656022644</v>
      </c>
      <c r="N77" s="179"/>
      <c r="O77" s="1"/>
      <c r="P77" s="30"/>
      <c r="Q77" s="1"/>
    </row>
    <row r="78" spans="1:31" ht="18.75" customHeight="1" x14ac:dyDescent="0.3">
      <c r="A78" s="21" t="s">
        <v>33</v>
      </c>
      <c r="B78" s="1">
        <f>D39</f>
        <v>3.0100000000000002</v>
      </c>
      <c r="C78" s="22">
        <f>H39</f>
        <v>3042.5</v>
      </c>
      <c r="D78" s="22">
        <f t="shared" si="26"/>
        <v>1010.797342192691</v>
      </c>
      <c r="E78" s="200">
        <f>M39</f>
        <v>1.123</v>
      </c>
      <c r="F78" s="1"/>
      <c r="G78" s="1">
        <f>AD39-E78</f>
        <v>0</v>
      </c>
      <c r="H78" s="1">
        <f>AD39</f>
        <v>1.123</v>
      </c>
      <c r="I78" s="22">
        <f>AE39</f>
        <v>-215.24</v>
      </c>
      <c r="J78" s="1">
        <f t="shared" si="27"/>
        <v>-191.66518254674978</v>
      </c>
      <c r="K78" s="1">
        <f t="shared" si="28"/>
        <v>4.133</v>
      </c>
      <c r="L78" s="30">
        <f t="shared" si="29"/>
        <v>2827.26</v>
      </c>
      <c r="M78" s="179">
        <f t="shared" si="30"/>
        <v>684.06968303895485</v>
      </c>
      <c r="N78" s="179"/>
      <c r="O78" s="1"/>
      <c r="P78" s="30"/>
      <c r="Q78" s="1"/>
    </row>
    <row r="79" spans="1:31" ht="18.75" customHeight="1" x14ac:dyDescent="0.3">
      <c r="A79" s="21" t="s">
        <v>34</v>
      </c>
      <c r="B79" s="1">
        <f>D45</f>
        <v>2.2399999999999998</v>
      </c>
      <c r="C79" s="22">
        <f>H45</f>
        <v>1645.9047619047617</v>
      </c>
      <c r="D79" s="22">
        <f t="shared" si="26"/>
        <v>734.77891156462579</v>
      </c>
      <c r="E79" s="200">
        <f>M45</f>
        <v>0.81399999999999995</v>
      </c>
      <c r="F79" s="1"/>
      <c r="G79" s="1">
        <f>AD45-E79</f>
        <v>0</v>
      </c>
      <c r="H79" s="1">
        <f>AD45</f>
        <v>0.81399999999999995</v>
      </c>
      <c r="I79" s="22">
        <f>AE45</f>
        <v>-138.68</v>
      </c>
      <c r="J79" s="1">
        <f t="shared" si="27"/>
        <v>-170.36855036855039</v>
      </c>
      <c r="K79" s="1">
        <f t="shared" si="28"/>
        <v>3.0539999999999998</v>
      </c>
      <c r="L79" s="30">
        <f t="shared" si="29"/>
        <v>1507.2247619047616</v>
      </c>
      <c r="M79" s="179">
        <f t="shared" si="30"/>
        <v>493.52480743443408</v>
      </c>
      <c r="N79" s="179"/>
      <c r="O79" s="1"/>
      <c r="P79" s="30"/>
      <c r="Q79" s="1"/>
    </row>
    <row r="80" spans="1:31" ht="18.75" customHeight="1" x14ac:dyDescent="0.3">
      <c r="A80" s="21" t="s">
        <v>35</v>
      </c>
      <c r="B80" s="1">
        <f>D50</f>
        <v>2.74</v>
      </c>
      <c r="C80" s="22">
        <f>H50</f>
        <v>3080.6095238095236</v>
      </c>
      <c r="D80" s="22">
        <f t="shared" si="26"/>
        <v>1124.3100451859575</v>
      </c>
      <c r="E80" s="200">
        <f>M50</f>
        <v>0.97499999999999998</v>
      </c>
      <c r="F80" s="1"/>
      <c r="G80" s="1">
        <f>AD50-E80</f>
        <v>0</v>
      </c>
      <c r="H80" s="1">
        <f>AD50</f>
        <v>0.97499999999999998</v>
      </c>
      <c r="I80" s="22">
        <f>AE50</f>
        <v>-219.85000000000002</v>
      </c>
      <c r="J80" s="1">
        <f t="shared" si="27"/>
        <v>-225.4871794871795</v>
      </c>
      <c r="K80" s="1">
        <f t="shared" si="28"/>
        <v>3.7150000000000003</v>
      </c>
      <c r="L80" s="30">
        <f t="shared" si="29"/>
        <v>2860.7595238095237</v>
      </c>
      <c r="M80" s="179">
        <f t="shared" si="30"/>
        <v>770.05639941036975</v>
      </c>
      <c r="N80" s="179"/>
      <c r="O80" s="1"/>
      <c r="P80" s="30"/>
      <c r="Q80" s="1"/>
    </row>
    <row r="81" spans="1:17" ht="18.75" customHeight="1" x14ac:dyDescent="0.3">
      <c r="A81" s="21" t="s">
        <v>24</v>
      </c>
      <c r="B81" s="1">
        <f>D55</f>
        <v>2.2399999999999998</v>
      </c>
      <c r="C81" s="22">
        <f>H55</f>
        <v>2528.1238095238095</v>
      </c>
      <c r="D81" s="22">
        <f t="shared" si="26"/>
        <v>1128.6267006802723</v>
      </c>
      <c r="E81" s="200">
        <f>M55</f>
        <v>1.2609999999999999</v>
      </c>
      <c r="F81" s="1"/>
      <c r="G81" s="1">
        <f>AD55-E81</f>
        <v>2.0499999999999998</v>
      </c>
      <c r="H81" s="1">
        <f>AD55</f>
        <v>3.3109999999999999</v>
      </c>
      <c r="I81" s="22">
        <f>AE55</f>
        <v>-471.4</v>
      </c>
      <c r="J81" s="1">
        <f t="shared" si="27"/>
        <v>-142.37390516460283</v>
      </c>
      <c r="K81" s="1">
        <f t="shared" si="28"/>
        <v>5.5510000000000002</v>
      </c>
      <c r="L81" s="30">
        <f t="shared" si="29"/>
        <v>2056.7238095238095</v>
      </c>
      <c r="M81" s="179">
        <f t="shared" si="30"/>
        <v>370.51410728225716</v>
      </c>
      <c r="N81" s="179"/>
      <c r="O81" s="1"/>
      <c r="P81" s="30"/>
      <c r="Q81" s="1"/>
    </row>
    <row r="82" spans="1:17" ht="18.75" customHeight="1" x14ac:dyDescent="0.3">
      <c r="A82" s="21" t="s">
        <v>25</v>
      </c>
      <c r="B82" s="1">
        <f>D61</f>
        <v>1.8599999999999999</v>
      </c>
      <c r="C82" s="22">
        <f>H61</f>
        <v>1978.4761904761906</v>
      </c>
      <c r="D82" s="22">
        <f t="shared" si="26"/>
        <v>1063.6968766001025</v>
      </c>
      <c r="E82" s="200">
        <f>M61</f>
        <v>0.215</v>
      </c>
      <c r="F82" s="1"/>
      <c r="G82" s="1">
        <f>AD61-E82</f>
        <v>0</v>
      </c>
      <c r="H82" s="1">
        <f>AD61</f>
        <v>0.215</v>
      </c>
      <c r="I82" s="22">
        <f>AE61</f>
        <v>-76.56</v>
      </c>
      <c r="J82" s="1">
        <f t="shared" si="27"/>
        <v>-356.09302325581399</v>
      </c>
      <c r="K82" s="1">
        <f t="shared" si="28"/>
        <v>2.0749999999999997</v>
      </c>
      <c r="L82" s="30">
        <f t="shared" si="29"/>
        <v>1901.9161904761906</v>
      </c>
      <c r="M82" s="179">
        <f t="shared" si="30"/>
        <v>916.58611589214024</v>
      </c>
      <c r="N82" s="179"/>
      <c r="O82" s="1"/>
      <c r="P82" s="30"/>
      <c r="Q82" s="1"/>
    </row>
    <row r="83" spans="1:17" ht="18.75" customHeight="1" x14ac:dyDescent="0.3">
      <c r="A83" s="21" t="s">
        <v>26</v>
      </c>
      <c r="B83" s="1">
        <f>D66</f>
        <v>1.46</v>
      </c>
      <c r="C83" s="22">
        <f>H66</f>
        <v>1011.952380952381</v>
      </c>
      <c r="D83" s="22">
        <f t="shared" si="26"/>
        <v>693.11806914546639</v>
      </c>
      <c r="E83" s="200">
        <f>M66</f>
        <v>1.07</v>
      </c>
      <c r="F83" s="1"/>
      <c r="G83" s="1">
        <f>AD66-E83</f>
        <v>0</v>
      </c>
      <c r="H83" s="1">
        <f>AD66</f>
        <v>1.07</v>
      </c>
      <c r="I83" s="22">
        <f>AE66</f>
        <v>-76.900000000000006</v>
      </c>
      <c r="J83" s="1">
        <f t="shared" si="27"/>
        <v>-71.869158878504678</v>
      </c>
      <c r="K83" s="1">
        <f t="shared" si="28"/>
        <v>2.5300000000000002</v>
      </c>
      <c r="L83" s="30">
        <f t="shared" si="29"/>
        <v>935.05238095238099</v>
      </c>
      <c r="M83" s="179">
        <f t="shared" si="30"/>
        <v>369.58592132505174</v>
      </c>
      <c r="N83" s="179"/>
      <c r="O83" s="1"/>
      <c r="P83" s="30"/>
      <c r="Q83" s="1"/>
    </row>
    <row r="84" spans="1:17" ht="18.75" customHeight="1" x14ac:dyDescent="0.3">
      <c r="A84" s="1"/>
      <c r="B84" s="1"/>
      <c r="C84" s="22"/>
      <c r="D84" s="22"/>
      <c r="E84" s="201"/>
      <c r="I84" s="1"/>
      <c r="J84" s="1"/>
      <c r="K84" s="1"/>
      <c r="L84" s="1"/>
      <c r="M84" s="1"/>
      <c r="N84" s="1"/>
      <c r="O84" s="17"/>
      <c r="P84" s="17"/>
      <c r="Q84" s="17"/>
    </row>
    <row r="85" spans="1:17" ht="25.5" x14ac:dyDescent="0.3">
      <c r="A85" s="33" t="s">
        <v>72</v>
      </c>
      <c r="B85" s="3">
        <f>AVERAGEIF(B72:B83,"&lt;&gt;0")</f>
        <v>2.2354166666666666</v>
      </c>
      <c r="C85" s="22">
        <f>AVERAGEIF(C72:C83,"&lt;&gt;0")</f>
        <v>2453.1007440476192</v>
      </c>
      <c r="D85" s="22">
        <f>AVERAGEIF(D72:D83,"&lt;&gt;0")</f>
        <v>1098.5881911322383</v>
      </c>
      <c r="E85" s="179">
        <f>AVERAGEIF(E72:E83,"&lt;&gt;0")</f>
        <v>1.0285833333333332</v>
      </c>
      <c r="F85" s="22"/>
      <c r="G85" s="22">
        <f>AVERAGEIF(G72:G83,"&lt;&gt;0")</f>
        <v>2.0499999999999998</v>
      </c>
      <c r="H85" s="22">
        <f>AVERAGEIF(H72:H83,"&lt;&gt;0")</f>
        <v>1.1994166666666666</v>
      </c>
      <c r="I85" s="22">
        <f>AVERAGE(IF(ISNUMBER(I72:I83),I72:I83))</f>
        <v>0</v>
      </c>
      <c r="J85" s="22">
        <f>AVERAGE(IF(ISNUMBER(J72:J83),J72:J83))</f>
        <v>0</v>
      </c>
      <c r="K85" s="1">
        <f>AVERAGE(IF(ISNUMBER(K72:K83),K72:K83))</f>
        <v>0</v>
      </c>
      <c r="L85" s="22">
        <f>AVERAGE(IF(ISNUMBER(L72:L83),L72:L83))</f>
        <v>0</v>
      </c>
      <c r="M85" s="22">
        <f>AVERAGE(IF(ISNUMBER(M72:M83),M72:M83))</f>
        <v>0</v>
      </c>
      <c r="N85" s="22"/>
      <c r="O85" s="3"/>
      <c r="P85" s="3"/>
      <c r="Q85" s="3"/>
    </row>
    <row r="86" spans="1:17" ht="18.75" customHeight="1" x14ac:dyDescent="0.3">
      <c r="A86" s="95" t="s">
        <v>73</v>
      </c>
      <c r="B86" s="17">
        <f>SUM(B72:B83)</f>
        <v>26.824999999999999</v>
      </c>
      <c r="C86" s="97">
        <f>SUM(C72:C83)</f>
        <v>29437.208928571432</v>
      </c>
      <c r="D86" s="97">
        <f>SUM(D72:D83)</f>
        <v>13183.058293586861</v>
      </c>
      <c r="E86" s="202">
        <f>SUM(E72:E83)</f>
        <v>12.342999999999998</v>
      </c>
      <c r="F86" s="97"/>
      <c r="G86" s="97">
        <f>SUM(G72:G83)</f>
        <v>2.0499999999999998</v>
      </c>
      <c r="H86" s="97">
        <f>SUM(H72:H83)</f>
        <v>14.392999999999999</v>
      </c>
      <c r="I86" s="22">
        <f>SUM(I72:I83)</f>
        <v>-2203.0400000000004</v>
      </c>
      <c r="J86" s="1">
        <f>I86/H86</f>
        <v>-153.06329465712503</v>
      </c>
      <c r="K86" s="1">
        <f>SUM(K72:K83)</f>
        <v>41.218000000000004</v>
      </c>
      <c r="L86" s="22">
        <f>SUM(L72:L83)</f>
        <v>27234.168928571427</v>
      </c>
      <c r="M86" s="22">
        <f>L86/K86</f>
        <v>660.73484711949698</v>
      </c>
      <c r="N86" s="22"/>
      <c r="O86" s="17"/>
      <c r="P86" s="17"/>
      <c r="Q86" s="1"/>
    </row>
  </sheetData>
  <mergeCells count="2">
    <mergeCell ref="L1:AE1"/>
    <mergeCell ref="B1:K1"/>
  </mergeCells>
  <pageMargins left="0.25" right="0.25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2B08-A692-4F9F-84B3-1FDE94CFDCF6}">
  <sheetPr>
    <tabColor theme="9" tint="0.39997558519241921"/>
  </sheetPr>
  <dimension ref="A1:W141"/>
  <sheetViews>
    <sheetView workbookViewId="0">
      <pane ySplit="1" topLeftCell="A2" activePane="bottomLeft" state="frozen"/>
      <selection pane="bottomLeft" activeCell="D53" sqref="D53"/>
    </sheetView>
  </sheetViews>
  <sheetFormatPr defaultColWidth="9.1796875" defaultRowHeight="18.75" customHeight="1" x14ac:dyDescent="0.3"/>
  <cols>
    <col min="1" max="1" width="22.453125" style="21" customWidth="1"/>
    <col min="2" max="2" width="16.453125" style="21" bestFit="1" customWidth="1"/>
    <col min="3" max="3" width="16.453125" style="21" customWidth="1"/>
    <col min="4" max="4" width="15.453125" style="69" customWidth="1"/>
    <col min="5" max="6" width="12.54296875" style="1" customWidth="1"/>
    <col min="7" max="7" width="14.453125" style="1" customWidth="1"/>
    <col min="8" max="10" width="12.54296875" style="1" customWidth="1"/>
    <col min="11" max="11" width="12.453125" style="1" bestFit="1" customWidth="1"/>
    <col min="12" max="16384" width="9.1796875" style="55"/>
  </cols>
  <sheetData>
    <row r="1" spans="1:23" ht="67.5" customHeight="1" x14ac:dyDescent="0.3">
      <c r="A1" s="218" t="s">
        <v>0</v>
      </c>
      <c r="B1" s="219" t="s">
        <v>142</v>
      </c>
      <c r="C1" s="219" t="s">
        <v>125</v>
      </c>
      <c r="D1" s="220" t="s">
        <v>124</v>
      </c>
      <c r="E1" s="219" t="s">
        <v>82</v>
      </c>
      <c r="F1" s="219" t="s">
        <v>118</v>
      </c>
      <c r="G1" s="219" t="s">
        <v>103</v>
      </c>
      <c r="H1" s="219" t="s">
        <v>102</v>
      </c>
      <c r="I1" s="221" t="s">
        <v>139</v>
      </c>
      <c r="J1" s="219" t="s">
        <v>85</v>
      </c>
      <c r="K1" s="219" t="s">
        <v>86</v>
      </c>
    </row>
    <row r="2" spans="1:23" ht="18.75" customHeight="1" x14ac:dyDescent="0.35">
      <c r="A2" s="141">
        <v>43469</v>
      </c>
      <c r="B2" s="193">
        <v>3</v>
      </c>
      <c r="C2" s="117">
        <f>B2*$B$68/1000</f>
        <v>1.3846153846153848</v>
      </c>
      <c r="D2" s="146"/>
      <c r="E2" s="139"/>
      <c r="F2" s="119"/>
      <c r="G2" s="161"/>
      <c r="H2" s="161"/>
      <c r="I2" s="151">
        <f>F2+G2+H2</f>
        <v>0</v>
      </c>
      <c r="J2" s="133"/>
      <c r="K2" s="155"/>
      <c r="N2" t="s">
        <v>135</v>
      </c>
    </row>
    <row r="3" spans="1:23" ht="18.75" customHeight="1" x14ac:dyDescent="0.35">
      <c r="A3" s="142">
        <f>A2+7</f>
        <v>43476</v>
      </c>
      <c r="B3" s="167">
        <v>3</v>
      </c>
      <c r="C3" s="114">
        <f>B3*$B$68/1000</f>
        <v>1.3846153846153848</v>
      </c>
      <c r="D3" s="146"/>
      <c r="E3" s="124"/>
      <c r="F3" s="115"/>
      <c r="G3" s="162"/>
      <c r="H3" s="163"/>
      <c r="I3" s="151">
        <f>F3+G3+H3</f>
        <v>0</v>
      </c>
      <c r="J3" s="134"/>
      <c r="K3" s="156"/>
      <c r="N3" s="55">
        <f>0.1*1000</f>
        <v>100</v>
      </c>
      <c r="O3" s="55" t="s">
        <v>126</v>
      </c>
      <c r="P3" s="55" t="s">
        <v>127</v>
      </c>
      <c r="Q3" s="55" t="s">
        <v>130</v>
      </c>
      <c r="W3"/>
    </row>
    <row r="4" spans="1:23" ht="18.75" customHeight="1" x14ac:dyDescent="0.3">
      <c r="A4" s="142">
        <f>A3+7</f>
        <v>43483</v>
      </c>
      <c r="B4" s="167">
        <v>3</v>
      </c>
      <c r="C4" s="114">
        <f>B4*$B$68/1000</f>
        <v>1.3846153846153848</v>
      </c>
      <c r="D4" s="146"/>
      <c r="E4" s="125"/>
      <c r="F4" s="114"/>
      <c r="G4" s="162"/>
      <c r="H4" s="162"/>
      <c r="I4" s="151">
        <f>F4+G4+H4</f>
        <v>0</v>
      </c>
      <c r="J4" s="135"/>
      <c r="K4" s="157"/>
      <c r="N4" s="55">
        <v>1</v>
      </c>
      <c r="O4" s="55" t="s">
        <v>130</v>
      </c>
      <c r="P4" s="195" t="s">
        <v>131</v>
      </c>
      <c r="Q4" s="55">
        <v>1.3</v>
      </c>
      <c r="R4" s="55" t="s">
        <v>132</v>
      </c>
    </row>
    <row r="5" spans="1:23" ht="18.75" customHeight="1" x14ac:dyDescent="0.3">
      <c r="A5" s="142">
        <f>A4+7</f>
        <v>43490</v>
      </c>
      <c r="B5" s="167">
        <v>3</v>
      </c>
      <c r="C5" s="114">
        <f>B5*$B$68/1000</f>
        <v>1.3846153846153848</v>
      </c>
      <c r="D5" s="146">
        <f>575.1/1.05</f>
        <v>547.71428571428567</v>
      </c>
      <c r="E5" s="125"/>
      <c r="F5" s="114"/>
      <c r="G5" s="162">
        <v>-132.30000000000001</v>
      </c>
      <c r="H5" s="162"/>
      <c r="I5" s="151">
        <f>F5+G5+H5</f>
        <v>-132.30000000000001</v>
      </c>
      <c r="J5" s="135"/>
      <c r="K5" s="157"/>
      <c r="N5" s="55">
        <f>N3/Q4</f>
        <v>76.92307692307692</v>
      </c>
      <c r="O5" s="55" t="s">
        <v>128</v>
      </c>
      <c r="P5" s="55" t="s">
        <v>127</v>
      </c>
      <c r="Q5" s="55" t="s">
        <v>132</v>
      </c>
    </row>
    <row r="6" spans="1:23" ht="18.75" customHeight="1" x14ac:dyDescent="0.3">
      <c r="A6" s="143" t="s">
        <v>54</v>
      </c>
      <c r="B6" s="148">
        <f t="shared" ref="B6:K6" si="0">SUBTOTAL(109,B2:B5)</f>
        <v>12</v>
      </c>
      <c r="C6" s="187">
        <f t="shared" si="0"/>
        <v>5.5384615384615392</v>
      </c>
      <c r="D6" s="191">
        <f>SUBTOTAL(109,D2:D5)</f>
        <v>547.71428571428567</v>
      </c>
      <c r="E6" s="126">
        <f t="shared" si="0"/>
        <v>0</v>
      </c>
      <c r="F6" s="28">
        <f t="shared" si="0"/>
        <v>0</v>
      </c>
      <c r="G6" s="39">
        <f t="shared" si="0"/>
        <v>-132.30000000000001</v>
      </c>
      <c r="H6" s="39">
        <f t="shared" si="0"/>
        <v>0</v>
      </c>
      <c r="I6" s="189">
        <f t="shared" si="0"/>
        <v>-132.30000000000001</v>
      </c>
      <c r="J6" s="136">
        <f t="shared" si="0"/>
        <v>0</v>
      </c>
      <c r="K6" s="158">
        <f t="shared" si="0"/>
        <v>0</v>
      </c>
      <c r="N6" s="55">
        <f>N5*6</f>
        <v>461.53846153846155</v>
      </c>
      <c r="O6" s="55" t="s">
        <v>126</v>
      </c>
      <c r="P6" s="55" t="s">
        <v>129</v>
      </c>
      <c r="Q6" s="55" t="s">
        <v>133</v>
      </c>
    </row>
    <row r="7" spans="1:23" ht="18.75" customHeight="1" x14ac:dyDescent="0.3">
      <c r="A7" s="142">
        <f>A5+7</f>
        <v>43497</v>
      </c>
      <c r="B7" s="167">
        <v>3</v>
      </c>
      <c r="C7" s="114">
        <f>B7*$B$68/1000</f>
        <v>1.3846153846153848</v>
      </c>
      <c r="D7" s="146"/>
      <c r="E7" s="125"/>
      <c r="F7" s="114"/>
      <c r="G7" s="162"/>
      <c r="H7" s="162"/>
      <c r="I7" s="151">
        <f>F7+G7+H7</f>
        <v>0</v>
      </c>
      <c r="J7" s="135"/>
      <c r="K7" s="157"/>
    </row>
    <row r="8" spans="1:23" ht="18.75" customHeight="1" x14ac:dyDescent="0.3">
      <c r="A8" s="142">
        <f>A7+7</f>
        <v>43504</v>
      </c>
      <c r="B8" s="167">
        <v>3</v>
      </c>
      <c r="C8" s="114">
        <f>B8*$B$68/1000</f>
        <v>1.3846153846153848</v>
      </c>
      <c r="D8" s="146"/>
      <c r="E8" s="124"/>
      <c r="F8" s="115"/>
      <c r="G8" s="163"/>
      <c r="H8" s="163"/>
      <c r="I8" s="151">
        <f>F8+G8+H8</f>
        <v>0</v>
      </c>
      <c r="J8" s="135"/>
      <c r="K8" s="157"/>
    </row>
    <row r="9" spans="1:23" ht="18.75" customHeight="1" x14ac:dyDescent="0.3">
      <c r="A9" s="142">
        <f>A8+7</f>
        <v>43511</v>
      </c>
      <c r="B9" s="167">
        <v>3</v>
      </c>
      <c r="C9" s="114">
        <f>B9*$B$68/1000</f>
        <v>1.3846153846153848</v>
      </c>
      <c r="D9" s="146"/>
      <c r="E9" s="125"/>
      <c r="F9" s="114"/>
      <c r="G9" s="162"/>
      <c r="H9" s="162"/>
      <c r="I9" s="151">
        <f>F9+G9+H9</f>
        <v>0</v>
      </c>
      <c r="J9" s="134"/>
      <c r="K9" s="156"/>
    </row>
    <row r="10" spans="1:23" ht="18.75" customHeight="1" x14ac:dyDescent="0.3">
      <c r="A10" s="142">
        <f>A9+7</f>
        <v>43518</v>
      </c>
      <c r="B10" s="167">
        <v>3</v>
      </c>
      <c r="C10" s="114">
        <f>B10*$B$68/1000</f>
        <v>1.3846153846153848</v>
      </c>
      <c r="D10" s="146">
        <f>575.1/1.05</f>
        <v>547.71428571428567</v>
      </c>
      <c r="E10" s="125"/>
      <c r="F10" s="114">
        <v>817.88</v>
      </c>
      <c r="G10" s="162">
        <v>-535.5</v>
      </c>
      <c r="H10" s="162"/>
      <c r="I10" s="151">
        <f>F10+G10+H10</f>
        <v>282.38</v>
      </c>
      <c r="J10" s="135"/>
      <c r="K10" s="157"/>
    </row>
    <row r="11" spans="1:23" ht="18.75" customHeight="1" x14ac:dyDescent="0.3">
      <c r="A11" s="143" t="s">
        <v>55</v>
      </c>
      <c r="B11" s="148">
        <f>SUBTOTAL(109,B7:B10)</f>
        <v>12</v>
      </c>
      <c r="C11" s="187">
        <f>SUBTOTAL(109,C7:C10)</f>
        <v>5.5384615384615392</v>
      </c>
      <c r="D11" s="191">
        <f>SUBTOTAL(109,D7:D10)</f>
        <v>547.71428571428567</v>
      </c>
      <c r="E11" s="126">
        <f t="shared" ref="E11:K11" si="1">SUBTOTAL(109,E7:E10)</f>
        <v>0</v>
      </c>
      <c r="F11" s="28">
        <f t="shared" si="1"/>
        <v>817.88</v>
      </c>
      <c r="G11" s="39">
        <f t="shared" si="1"/>
        <v>-535.5</v>
      </c>
      <c r="H11" s="39">
        <f t="shared" si="1"/>
        <v>0</v>
      </c>
      <c r="I11" s="189">
        <f t="shared" si="1"/>
        <v>282.38</v>
      </c>
      <c r="J11" s="136">
        <f t="shared" si="1"/>
        <v>0</v>
      </c>
      <c r="K11" s="158">
        <f t="shared" si="1"/>
        <v>0</v>
      </c>
    </row>
    <row r="12" spans="1:23" ht="18.75" customHeight="1" x14ac:dyDescent="0.3">
      <c r="A12" s="142">
        <f>A10+7</f>
        <v>43525</v>
      </c>
      <c r="B12" s="167">
        <v>3</v>
      </c>
      <c r="C12" s="114">
        <f>B12*$B$68/1000</f>
        <v>1.3846153846153848</v>
      </c>
      <c r="D12" s="146"/>
      <c r="E12" s="125"/>
      <c r="F12" s="114"/>
      <c r="G12" s="162"/>
      <c r="H12" s="162"/>
      <c r="I12" s="151">
        <f>F12+G12+H12</f>
        <v>0</v>
      </c>
      <c r="J12" s="135"/>
      <c r="K12" s="157"/>
    </row>
    <row r="13" spans="1:23" ht="18.75" customHeight="1" x14ac:dyDescent="0.3">
      <c r="A13" s="142">
        <f>A12+7</f>
        <v>43532</v>
      </c>
      <c r="B13" s="167">
        <v>3</v>
      </c>
      <c r="C13" s="114">
        <f>B13*$B$68/1000</f>
        <v>1.3846153846153848</v>
      </c>
      <c r="D13" s="146"/>
      <c r="E13" s="124"/>
      <c r="F13" s="115"/>
      <c r="G13" s="163"/>
      <c r="H13" s="163"/>
      <c r="I13" s="151">
        <f>F13+G13+H13</f>
        <v>0</v>
      </c>
      <c r="J13" s="135"/>
      <c r="K13" s="157"/>
    </row>
    <row r="14" spans="1:23" ht="18.75" customHeight="1" x14ac:dyDescent="0.3">
      <c r="A14" s="142">
        <f>A13+7</f>
        <v>43539</v>
      </c>
      <c r="B14" s="167">
        <v>3</v>
      </c>
      <c r="C14" s="114">
        <f>B14*$B$68/1000</f>
        <v>1.3846153846153848</v>
      </c>
      <c r="D14" s="146"/>
      <c r="E14" s="125"/>
      <c r="F14" s="114"/>
      <c r="G14" s="162"/>
      <c r="H14" s="162"/>
      <c r="I14" s="151">
        <f>F14+G14+H14</f>
        <v>0</v>
      </c>
      <c r="J14" s="134"/>
      <c r="K14" s="156"/>
    </row>
    <row r="15" spans="1:23" ht="18.75" customHeight="1" x14ac:dyDescent="0.3">
      <c r="A15" s="142">
        <f>A14+7</f>
        <v>43546</v>
      </c>
      <c r="B15" s="167">
        <v>3</v>
      </c>
      <c r="C15" s="114">
        <f>B15*$B$68/1000</f>
        <v>1.3846153846153848</v>
      </c>
      <c r="D15" s="146"/>
      <c r="E15" s="125"/>
      <c r="F15" s="114"/>
      <c r="G15" s="162"/>
      <c r="H15" s="162"/>
      <c r="I15" s="151">
        <f>F15+G15+H15</f>
        <v>0</v>
      </c>
      <c r="J15" s="135"/>
      <c r="K15" s="157"/>
    </row>
    <row r="16" spans="1:23" ht="18.75" customHeight="1" x14ac:dyDescent="0.3">
      <c r="A16" s="142">
        <f>A15+7</f>
        <v>43553</v>
      </c>
      <c r="B16" s="167">
        <v>3</v>
      </c>
      <c r="C16" s="114">
        <f>B16*$B$68/1000</f>
        <v>1.3846153846153848</v>
      </c>
      <c r="D16" s="146">
        <f>598.88/1.05</f>
        <v>570.36190476190473</v>
      </c>
      <c r="E16" s="125"/>
      <c r="F16" s="114"/>
      <c r="G16" s="162">
        <v>-97.65</v>
      </c>
      <c r="H16" s="162"/>
      <c r="I16" s="151">
        <f>F16+G16+H16</f>
        <v>-97.65</v>
      </c>
      <c r="J16" s="135"/>
      <c r="K16" s="157"/>
    </row>
    <row r="17" spans="1:11" ht="18.75" customHeight="1" x14ac:dyDescent="0.3">
      <c r="A17" s="143" t="s">
        <v>56</v>
      </c>
      <c r="B17" s="148">
        <f>SUBTOTAL(109,B12:B16)</f>
        <v>15</v>
      </c>
      <c r="C17" s="187">
        <f>SUBTOTAL(109,C12:C16)</f>
        <v>6.9230769230769242</v>
      </c>
      <c r="D17" s="191">
        <f>SUBTOTAL(109,D12:D16)</f>
        <v>570.36190476190473</v>
      </c>
      <c r="E17" s="126">
        <f t="shared" ref="E17:K17" si="2">SUBTOTAL(109,E12:E16)</f>
        <v>0</v>
      </c>
      <c r="F17" s="126">
        <f t="shared" si="2"/>
        <v>0</v>
      </c>
      <c r="G17" s="39">
        <f t="shared" si="2"/>
        <v>-97.65</v>
      </c>
      <c r="H17" s="39">
        <f t="shared" si="2"/>
        <v>0</v>
      </c>
      <c r="I17" s="189">
        <f t="shared" si="2"/>
        <v>-97.65</v>
      </c>
      <c r="J17" s="136">
        <f t="shared" si="2"/>
        <v>0</v>
      </c>
      <c r="K17" s="158">
        <f t="shared" si="2"/>
        <v>0</v>
      </c>
    </row>
    <row r="18" spans="1:11" ht="18.75" customHeight="1" x14ac:dyDescent="0.3">
      <c r="A18" s="142">
        <f>A16+7</f>
        <v>43560</v>
      </c>
      <c r="B18" s="167">
        <v>3</v>
      </c>
      <c r="C18" s="114">
        <f>B18*$B$68/1000</f>
        <v>1.3846153846153848</v>
      </c>
      <c r="D18" s="146"/>
      <c r="E18" s="125"/>
      <c r="F18" s="114"/>
      <c r="G18" s="162"/>
      <c r="H18" s="162"/>
      <c r="I18" s="151">
        <f>F18+G18+H18</f>
        <v>0</v>
      </c>
      <c r="J18" s="134"/>
      <c r="K18" s="156"/>
    </row>
    <row r="19" spans="1:11" ht="18.75" customHeight="1" x14ac:dyDescent="0.3">
      <c r="A19" s="142">
        <f>A18+7</f>
        <v>43567</v>
      </c>
      <c r="B19" s="167">
        <v>3</v>
      </c>
      <c r="C19" s="114">
        <f>B19*$B$68/1000</f>
        <v>1.3846153846153848</v>
      </c>
      <c r="D19" s="146"/>
      <c r="E19" s="125"/>
      <c r="F19" s="114"/>
      <c r="G19" s="162"/>
      <c r="H19" s="162"/>
      <c r="I19" s="151">
        <f>F19+G19+H19</f>
        <v>0</v>
      </c>
      <c r="J19" s="135"/>
      <c r="K19" s="157"/>
    </row>
    <row r="20" spans="1:11" ht="18.75" customHeight="1" x14ac:dyDescent="0.3">
      <c r="A20" s="142">
        <f>A19+7</f>
        <v>43574</v>
      </c>
      <c r="B20" s="167">
        <v>3</v>
      </c>
      <c r="C20" s="114">
        <f>B20*$B$68/1000</f>
        <v>1.3846153846153848</v>
      </c>
      <c r="D20" s="146"/>
      <c r="E20" s="125"/>
      <c r="F20" s="114"/>
      <c r="G20" s="162"/>
      <c r="H20" s="162"/>
      <c r="I20" s="151">
        <f>F20+G20+H20</f>
        <v>0</v>
      </c>
      <c r="J20" s="135"/>
      <c r="K20" s="157"/>
    </row>
    <row r="21" spans="1:11" ht="18.75" customHeight="1" x14ac:dyDescent="0.3">
      <c r="A21" s="142">
        <f>A20+7</f>
        <v>43581</v>
      </c>
      <c r="B21" s="167">
        <v>3</v>
      </c>
      <c r="C21" s="114">
        <f>B21*$B$68/1000</f>
        <v>1.3846153846153848</v>
      </c>
      <c r="D21" s="146">
        <f>647.86/1.05</f>
        <v>617.00952380952378</v>
      </c>
      <c r="E21" s="125"/>
      <c r="F21" s="114">
        <v>771.75</v>
      </c>
      <c r="G21" s="162">
        <v>-919.8</v>
      </c>
      <c r="H21" s="162"/>
      <c r="I21" s="151">
        <f>F21+G21+H21</f>
        <v>-148.04999999999995</v>
      </c>
      <c r="J21" s="135"/>
      <c r="K21" s="157"/>
    </row>
    <row r="22" spans="1:11" ht="18.75" customHeight="1" x14ac:dyDescent="0.3">
      <c r="A22" s="143" t="s">
        <v>57</v>
      </c>
      <c r="B22" s="148">
        <f t="shared" ref="B22:K22" si="3">SUBTOTAL(109,B18:B21)</f>
        <v>12</v>
      </c>
      <c r="C22" s="187">
        <f t="shared" si="3"/>
        <v>5.5384615384615392</v>
      </c>
      <c r="D22" s="191">
        <f>SUBTOTAL(109,D18:D21)</f>
        <v>617.00952380952378</v>
      </c>
      <c r="E22" s="126">
        <f t="shared" si="3"/>
        <v>0</v>
      </c>
      <c r="F22" s="28">
        <f t="shared" si="3"/>
        <v>771.75</v>
      </c>
      <c r="G22" s="39">
        <f t="shared" si="3"/>
        <v>-919.8</v>
      </c>
      <c r="H22" s="39">
        <f t="shared" si="3"/>
        <v>0</v>
      </c>
      <c r="I22" s="189">
        <f t="shared" si="3"/>
        <v>-148.04999999999995</v>
      </c>
      <c r="J22" s="136">
        <f t="shared" si="3"/>
        <v>0</v>
      </c>
      <c r="K22" s="158">
        <f t="shared" si="3"/>
        <v>0</v>
      </c>
    </row>
    <row r="23" spans="1:11" ht="18.75" customHeight="1" x14ac:dyDescent="0.3">
      <c r="A23" s="142">
        <f>A21+7</f>
        <v>43588</v>
      </c>
      <c r="B23" s="167">
        <v>3</v>
      </c>
      <c r="C23" s="114">
        <f>B23*$B$68/1000</f>
        <v>1.3846153846153848</v>
      </c>
      <c r="D23" s="146"/>
      <c r="E23" s="125"/>
      <c r="F23" s="114"/>
      <c r="G23" s="162"/>
      <c r="H23" s="162"/>
      <c r="I23" s="151">
        <f>F23+G23+H23</f>
        <v>0</v>
      </c>
      <c r="J23" s="134"/>
      <c r="K23" s="156"/>
    </row>
    <row r="24" spans="1:11" ht="18.75" customHeight="1" x14ac:dyDescent="0.3">
      <c r="A24" s="142">
        <f>A23+7</f>
        <v>43595</v>
      </c>
      <c r="B24" s="167">
        <v>3</v>
      </c>
      <c r="C24" s="114">
        <f>B24*$B$68/1000</f>
        <v>1.3846153846153848</v>
      </c>
      <c r="D24" s="146"/>
      <c r="E24" s="125"/>
      <c r="F24" s="114"/>
      <c r="G24" s="162"/>
      <c r="H24" s="162"/>
      <c r="I24" s="151">
        <f>F24+G24+H24</f>
        <v>0</v>
      </c>
      <c r="J24" s="135"/>
      <c r="K24" s="157"/>
    </row>
    <row r="25" spans="1:11" ht="18.75" customHeight="1" x14ac:dyDescent="0.3">
      <c r="A25" s="142">
        <f>A24+7</f>
        <v>43602</v>
      </c>
      <c r="B25" s="167">
        <v>3</v>
      </c>
      <c r="C25" s="114">
        <f>B25*$B$68/1000</f>
        <v>1.3846153846153848</v>
      </c>
      <c r="D25" s="146"/>
      <c r="E25" s="125"/>
      <c r="F25" s="114"/>
      <c r="G25" s="162"/>
      <c r="H25" s="162"/>
      <c r="I25" s="151">
        <f>F25+G25+H25</f>
        <v>0</v>
      </c>
      <c r="J25" s="135"/>
      <c r="K25" s="157"/>
    </row>
    <row r="26" spans="1:11" ht="18.75" customHeight="1" x14ac:dyDescent="0.3">
      <c r="A26" s="142">
        <f>A25+7</f>
        <v>43609</v>
      </c>
      <c r="B26" s="167">
        <v>3</v>
      </c>
      <c r="C26" s="114">
        <f>B26*$B$68/1000</f>
        <v>1.3846153846153848</v>
      </c>
      <c r="D26" s="146"/>
      <c r="E26" s="125"/>
      <c r="F26" s="114"/>
      <c r="G26" s="162"/>
      <c r="H26" s="162"/>
      <c r="I26" s="151">
        <f>F26+G26+H26</f>
        <v>0</v>
      </c>
      <c r="J26" s="135"/>
      <c r="K26" s="157"/>
    </row>
    <row r="27" spans="1:11" ht="18.75" customHeight="1" x14ac:dyDescent="0.3">
      <c r="A27" s="142">
        <f>A26+7</f>
        <v>43616</v>
      </c>
      <c r="B27" s="167">
        <v>3</v>
      </c>
      <c r="C27" s="114">
        <f>B27*$B$68/1000</f>
        <v>1.3846153846153848</v>
      </c>
      <c r="D27" s="146">
        <f>647.86/1.05</f>
        <v>617.00952380952378</v>
      </c>
      <c r="E27" s="125"/>
      <c r="F27" s="114"/>
      <c r="G27" s="162">
        <v>-132.30000000000001</v>
      </c>
      <c r="H27" s="162"/>
      <c r="I27" s="151">
        <f>F27+G27+H27</f>
        <v>-132.30000000000001</v>
      </c>
      <c r="J27" s="135"/>
      <c r="K27" s="157"/>
    </row>
    <row r="28" spans="1:11" ht="18.75" customHeight="1" x14ac:dyDescent="0.3">
      <c r="A28" s="143" t="s">
        <v>58</v>
      </c>
      <c r="B28" s="148">
        <f>SUBTOTAL(109,B23:B27)</f>
        <v>15</v>
      </c>
      <c r="C28" s="187">
        <f>SUBTOTAL(109,C23:C27)</f>
        <v>6.9230769230769242</v>
      </c>
      <c r="D28" s="191">
        <f>SUBTOTAL(109,D23:D27)</f>
        <v>617.00952380952378</v>
      </c>
      <c r="E28" s="126">
        <f t="shared" ref="E28:K28" si="4">SUBTOTAL(109,E23:E27)</f>
        <v>0</v>
      </c>
      <c r="F28" s="126">
        <f t="shared" si="4"/>
        <v>0</v>
      </c>
      <c r="G28" s="39">
        <f t="shared" si="4"/>
        <v>-132.30000000000001</v>
      </c>
      <c r="H28" s="39">
        <f t="shared" si="4"/>
        <v>0</v>
      </c>
      <c r="I28" s="189">
        <f t="shared" si="4"/>
        <v>-132.30000000000001</v>
      </c>
      <c r="J28" s="136">
        <f t="shared" si="4"/>
        <v>0</v>
      </c>
      <c r="K28" s="158">
        <f t="shared" si="4"/>
        <v>0</v>
      </c>
    </row>
    <row r="29" spans="1:11" ht="18.75" customHeight="1" x14ac:dyDescent="0.3">
      <c r="A29" s="142">
        <f>A27+7</f>
        <v>43623</v>
      </c>
      <c r="B29" s="167">
        <v>3</v>
      </c>
      <c r="C29" s="114">
        <f>B29*$B$68/1000</f>
        <v>1.3846153846153848</v>
      </c>
      <c r="D29" s="146"/>
      <c r="E29" s="125"/>
      <c r="F29" s="114">
        <v>855.4</v>
      </c>
      <c r="G29" s="162"/>
      <c r="H29" s="162"/>
      <c r="I29" s="151">
        <f>F29+G29+H29</f>
        <v>855.4</v>
      </c>
      <c r="J29" s="135"/>
      <c r="K29" s="157"/>
    </row>
    <row r="30" spans="1:11" ht="18.75" customHeight="1" x14ac:dyDescent="0.3">
      <c r="A30" s="142">
        <f>A29+7</f>
        <v>43630</v>
      </c>
      <c r="B30" s="167">
        <v>3</v>
      </c>
      <c r="C30" s="114">
        <f>B30*$B$68/1000</f>
        <v>1.3846153846153848</v>
      </c>
      <c r="D30" s="146"/>
      <c r="E30" s="124"/>
      <c r="F30" s="115"/>
      <c r="G30" s="163"/>
      <c r="H30" s="163"/>
      <c r="I30" s="151">
        <f>F30+G30+H30</f>
        <v>0</v>
      </c>
      <c r="J30" s="135"/>
      <c r="K30" s="157"/>
    </row>
    <row r="31" spans="1:11" ht="18.75" customHeight="1" x14ac:dyDescent="0.3">
      <c r="A31" s="142">
        <f>A30+7</f>
        <v>43637</v>
      </c>
      <c r="B31" s="167">
        <v>3</v>
      </c>
      <c r="C31" s="114">
        <f>B31*$B$68/1000</f>
        <v>1.3846153846153848</v>
      </c>
      <c r="D31" s="146"/>
      <c r="E31" s="125"/>
      <c r="F31" s="114"/>
      <c r="G31" s="162"/>
      <c r="H31" s="162"/>
      <c r="I31" s="151">
        <f>F31+G31+H31</f>
        <v>0</v>
      </c>
      <c r="J31" s="134"/>
      <c r="K31" s="156"/>
    </row>
    <row r="32" spans="1:11" ht="18.75" customHeight="1" x14ac:dyDescent="0.3">
      <c r="A32" s="142">
        <f>A31+7</f>
        <v>43644</v>
      </c>
      <c r="B32" s="167">
        <v>3</v>
      </c>
      <c r="C32" s="114">
        <f>B32*$B$68/1000</f>
        <v>1.3846153846153848</v>
      </c>
      <c r="D32" s="146">
        <f>647.86/1.05</f>
        <v>617.00952380952378</v>
      </c>
      <c r="E32" s="125"/>
      <c r="F32" s="114"/>
      <c r="G32" s="162"/>
      <c r="H32" s="162"/>
      <c r="I32" s="151">
        <f>F32+G32+H32</f>
        <v>0</v>
      </c>
      <c r="J32" s="135"/>
      <c r="K32" s="157"/>
    </row>
    <row r="33" spans="1:11" ht="18.75" customHeight="1" x14ac:dyDescent="0.3">
      <c r="A33" s="143" t="s">
        <v>59</v>
      </c>
      <c r="B33" s="148">
        <f t="shared" ref="B33:K33" si="5">SUBTOTAL(109,B29:B32)</f>
        <v>12</v>
      </c>
      <c r="C33" s="187">
        <f t="shared" si="5"/>
        <v>5.5384615384615392</v>
      </c>
      <c r="D33" s="191">
        <f>SUBTOTAL(109,D29:D32)</f>
        <v>617.00952380952378</v>
      </c>
      <c r="E33" s="126">
        <f t="shared" si="5"/>
        <v>0</v>
      </c>
      <c r="F33" s="28">
        <f t="shared" si="5"/>
        <v>855.4</v>
      </c>
      <c r="G33" s="39">
        <f t="shared" si="5"/>
        <v>0</v>
      </c>
      <c r="H33" s="39">
        <f t="shared" si="5"/>
        <v>0</v>
      </c>
      <c r="I33" s="158">
        <f t="shared" si="5"/>
        <v>855.4</v>
      </c>
      <c r="J33" s="136">
        <f t="shared" si="5"/>
        <v>0</v>
      </c>
      <c r="K33" s="158">
        <f t="shared" si="5"/>
        <v>0</v>
      </c>
    </row>
    <row r="34" spans="1:11" ht="18.75" customHeight="1" x14ac:dyDescent="0.3">
      <c r="A34" s="142">
        <f>A32+7</f>
        <v>43651</v>
      </c>
      <c r="B34" s="167">
        <v>3</v>
      </c>
      <c r="C34" s="114">
        <f>B34*$B$68/1000</f>
        <v>1.3846153846153848</v>
      </c>
      <c r="D34" s="146"/>
      <c r="E34" s="125"/>
      <c r="F34" s="114"/>
      <c r="G34" s="162"/>
      <c r="H34" s="162"/>
      <c r="I34" s="151">
        <f>F34+G34+H34</f>
        <v>0</v>
      </c>
      <c r="J34" s="135"/>
      <c r="K34" s="157"/>
    </row>
    <row r="35" spans="1:11" ht="18.75" customHeight="1" x14ac:dyDescent="0.3">
      <c r="A35" s="142">
        <f>A34+7</f>
        <v>43658</v>
      </c>
      <c r="B35" s="167">
        <v>3</v>
      </c>
      <c r="C35" s="114">
        <f>B35*$B$68/1000</f>
        <v>1.3846153846153848</v>
      </c>
      <c r="D35" s="146"/>
      <c r="E35" s="124"/>
      <c r="F35" s="115"/>
      <c r="G35" s="163"/>
      <c r="H35" s="163"/>
      <c r="I35" s="151">
        <f>F35+G35+H35</f>
        <v>0</v>
      </c>
      <c r="J35" s="135"/>
      <c r="K35" s="157"/>
    </row>
    <row r="36" spans="1:11" ht="18.75" customHeight="1" x14ac:dyDescent="0.3">
      <c r="A36" s="142">
        <f>A35+7</f>
        <v>43665</v>
      </c>
      <c r="B36" s="167">
        <v>3</v>
      </c>
      <c r="C36" s="114">
        <f>B36*$B$68/1000</f>
        <v>1.3846153846153848</v>
      </c>
      <c r="D36" s="146"/>
      <c r="E36" s="125"/>
      <c r="F36" s="114">
        <v>789.77</v>
      </c>
      <c r="G36" s="162"/>
      <c r="H36" s="162"/>
      <c r="I36" s="151">
        <f>F36+G36+H36</f>
        <v>789.77</v>
      </c>
      <c r="J36" s="134"/>
      <c r="K36" s="156"/>
    </row>
    <row r="37" spans="1:11" ht="18.75" customHeight="1" x14ac:dyDescent="0.3">
      <c r="A37" s="142">
        <f>A36+7</f>
        <v>43672</v>
      </c>
      <c r="B37" s="167">
        <v>3</v>
      </c>
      <c r="C37" s="114">
        <f>B37*$B$68/1000</f>
        <v>1.3846153846153848</v>
      </c>
      <c r="D37" s="146">
        <f>647.86/1.05</f>
        <v>617.00952380952378</v>
      </c>
      <c r="E37" s="125"/>
      <c r="F37" s="114"/>
      <c r="G37" s="162">
        <v>-847.35</v>
      </c>
      <c r="H37" s="162"/>
      <c r="I37" s="151">
        <f>F37+G37+H37</f>
        <v>-847.35</v>
      </c>
      <c r="J37" s="135"/>
      <c r="K37" s="157"/>
    </row>
    <row r="38" spans="1:11" ht="18.75" customHeight="1" x14ac:dyDescent="0.3">
      <c r="A38" s="143" t="s">
        <v>64</v>
      </c>
      <c r="B38" s="148">
        <f t="shared" ref="B38:K38" si="6">SUBTOTAL(109,B34:B37)</f>
        <v>12</v>
      </c>
      <c r="C38" s="187">
        <f t="shared" si="6"/>
        <v>5.5384615384615392</v>
      </c>
      <c r="D38" s="191">
        <f>SUBTOTAL(109,D34:D37)</f>
        <v>617.00952380952378</v>
      </c>
      <c r="E38" s="126">
        <f t="shared" si="6"/>
        <v>0</v>
      </c>
      <c r="F38" s="28">
        <f t="shared" si="6"/>
        <v>789.77</v>
      </c>
      <c r="G38" s="39">
        <f t="shared" si="6"/>
        <v>-847.35</v>
      </c>
      <c r="H38" s="39">
        <f t="shared" si="6"/>
        <v>0</v>
      </c>
      <c r="I38" s="158">
        <f t="shared" si="6"/>
        <v>-57.580000000000041</v>
      </c>
      <c r="J38" s="136">
        <f t="shared" si="6"/>
        <v>0</v>
      </c>
      <c r="K38" s="158">
        <f t="shared" si="6"/>
        <v>0</v>
      </c>
    </row>
    <row r="39" spans="1:11" ht="18.75" customHeight="1" x14ac:dyDescent="0.3">
      <c r="A39" s="142">
        <f>A37+7</f>
        <v>43679</v>
      </c>
      <c r="B39" s="167">
        <v>3</v>
      </c>
      <c r="C39" s="114">
        <f>B39*$B$68/1000</f>
        <v>1.3846153846153848</v>
      </c>
      <c r="D39" s="146"/>
      <c r="E39" s="124"/>
      <c r="F39" s="115"/>
      <c r="G39" s="163"/>
      <c r="H39" s="163"/>
      <c r="I39" s="151">
        <f>F39+G39+H39</f>
        <v>0</v>
      </c>
      <c r="J39" s="135"/>
      <c r="K39" s="157"/>
    </row>
    <row r="40" spans="1:11" ht="18.75" customHeight="1" x14ac:dyDescent="0.3">
      <c r="A40" s="142">
        <f>A39+7</f>
        <v>43686</v>
      </c>
      <c r="B40" s="167">
        <v>3</v>
      </c>
      <c r="C40" s="114">
        <f>B40*$B$68/1000</f>
        <v>1.3846153846153848</v>
      </c>
      <c r="D40" s="146"/>
      <c r="E40" s="125"/>
      <c r="F40" s="114"/>
      <c r="G40" s="162"/>
      <c r="H40" s="162"/>
      <c r="I40" s="151">
        <f>F40+G40+H40</f>
        <v>0</v>
      </c>
      <c r="J40" s="134"/>
      <c r="K40" s="156"/>
    </row>
    <row r="41" spans="1:11" ht="18.75" customHeight="1" x14ac:dyDescent="0.3">
      <c r="A41" s="142">
        <f>A40+7</f>
        <v>43693</v>
      </c>
      <c r="B41" s="167">
        <v>3</v>
      </c>
      <c r="C41" s="114">
        <f>B41*$B$68/1000</f>
        <v>1.3846153846153848</v>
      </c>
      <c r="D41" s="146"/>
      <c r="E41" s="125"/>
      <c r="F41" s="114"/>
      <c r="G41" s="162"/>
      <c r="H41" s="162"/>
      <c r="I41" s="151">
        <f>F41+G41+H41</f>
        <v>0</v>
      </c>
      <c r="J41" s="135"/>
      <c r="K41" s="157"/>
    </row>
    <row r="42" spans="1:11" ht="18.75" customHeight="1" x14ac:dyDescent="0.3">
      <c r="A42" s="142">
        <f>A41+7</f>
        <v>43700</v>
      </c>
      <c r="B42" s="167">
        <v>3</v>
      </c>
      <c r="C42" s="114">
        <f>B42*$B$68/1000</f>
        <v>1.3846153846153848</v>
      </c>
      <c r="D42" s="146"/>
      <c r="E42" s="125"/>
      <c r="F42" s="114"/>
      <c r="G42" s="162"/>
      <c r="H42" s="162"/>
      <c r="I42" s="151">
        <f>F42+G42+H42</f>
        <v>0</v>
      </c>
      <c r="J42" s="135"/>
      <c r="K42" s="157"/>
    </row>
    <row r="43" spans="1:11" ht="18.75" customHeight="1" x14ac:dyDescent="0.3">
      <c r="A43" s="142">
        <f>A42+7</f>
        <v>43707</v>
      </c>
      <c r="B43" s="167">
        <v>3</v>
      </c>
      <c r="C43" s="114">
        <f>B43*$B$68/1000</f>
        <v>1.3846153846153848</v>
      </c>
      <c r="D43" s="146">
        <f>710.22/1.05</f>
        <v>676.4</v>
      </c>
      <c r="E43" s="125"/>
      <c r="F43" s="114"/>
      <c r="G43" s="162"/>
      <c r="H43" s="162"/>
      <c r="I43" s="151">
        <f>F43+G43+H43</f>
        <v>0</v>
      </c>
      <c r="J43" s="135"/>
      <c r="K43" s="157"/>
    </row>
    <row r="44" spans="1:11" ht="18.75" customHeight="1" x14ac:dyDescent="0.3">
      <c r="A44" s="143" t="s">
        <v>65</v>
      </c>
      <c r="B44" s="148">
        <f>SUBTOTAL(109,B39:B43)</f>
        <v>15</v>
      </c>
      <c r="C44" s="187">
        <f>SUBTOTAL(109,C39:C43)</f>
        <v>6.9230769230769242</v>
      </c>
      <c r="D44" s="191">
        <f>SUBTOTAL(109,D39:D43)</f>
        <v>676.4</v>
      </c>
      <c r="E44" s="126">
        <f t="shared" ref="E44:K44" si="7">SUBTOTAL(109,E39:E43)</f>
        <v>0</v>
      </c>
      <c r="F44" s="39">
        <f t="shared" si="7"/>
        <v>0</v>
      </c>
      <c r="G44" s="39">
        <f t="shared" si="7"/>
        <v>0</v>
      </c>
      <c r="H44" s="39">
        <f t="shared" si="7"/>
        <v>0</v>
      </c>
      <c r="I44" s="189">
        <f t="shared" si="7"/>
        <v>0</v>
      </c>
      <c r="J44" s="136">
        <f t="shared" si="7"/>
        <v>0</v>
      </c>
      <c r="K44" s="158">
        <f t="shared" si="7"/>
        <v>0</v>
      </c>
    </row>
    <row r="45" spans="1:11" ht="18.75" customHeight="1" x14ac:dyDescent="0.3">
      <c r="A45" s="142">
        <f>A43+7</f>
        <v>43714</v>
      </c>
      <c r="B45" s="167">
        <v>3</v>
      </c>
      <c r="C45" s="114">
        <f>B45*$B$68/1000</f>
        <v>1.3846153846153848</v>
      </c>
      <c r="D45" s="146"/>
      <c r="E45" s="124"/>
      <c r="F45" s="115"/>
      <c r="G45" s="163"/>
      <c r="H45" s="163"/>
      <c r="I45" s="151">
        <f>F45+G45+H45</f>
        <v>0</v>
      </c>
      <c r="J45" s="135"/>
      <c r="K45" s="157"/>
    </row>
    <row r="46" spans="1:11" ht="18.75" customHeight="1" x14ac:dyDescent="0.3">
      <c r="A46" s="142">
        <f>A45+7</f>
        <v>43721</v>
      </c>
      <c r="B46" s="167">
        <v>3</v>
      </c>
      <c r="C46" s="114">
        <f>B46*$B$68/1000</f>
        <v>1.3846153846153848</v>
      </c>
      <c r="D46" s="146"/>
      <c r="E46" s="125"/>
      <c r="F46" s="114"/>
      <c r="G46" s="162"/>
      <c r="H46" s="162"/>
      <c r="I46" s="151">
        <f>F46+G46+H46</f>
        <v>0</v>
      </c>
      <c r="J46" s="134"/>
      <c r="K46" s="156"/>
    </row>
    <row r="47" spans="1:11" ht="18.75" customHeight="1" x14ac:dyDescent="0.3">
      <c r="A47" s="142">
        <f>A46+7</f>
        <v>43728</v>
      </c>
      <c r="B47" s="167">
        <v>3</v>
      </c>
      <c r="C47" s="114">
        <f>B47*$B$68/1000</f>
        <v>1.3846153846153848</v>
      </c>
      <c r="D47" s="146"/>
      <c r="E47" s="125"/>
      <c r="F47" s="114"/>
      <c r="G47" s="162"/>
      <c r="H47" s="162"/>
      <c r="I47" s="151">
        <f>F47+G47+H47</f>
        <v>0</v>
      </c>
      <c r="J47" s="134"/>
      <c r="K47" s="156"/>
    </row>
    <row r="48" spans="1:11" ht="18.75" customHeight="1" x14ac:dyDescent="0.3">
      <c r="A48" s="142">
        <f>A47+7</f>
        <v>43735</v>
      </c>
      <c r="B48" s="167">
        <v>3</v>
      </c>
      <c r="C48" s="114">
        <f>B48*$B$68/1000</f>
        <v>1.3846153846153848</v>
      </c>
      <c r="D48" s="146">
        <f>710.22/1.05</f>
        <v>676.4</v>
      </c>
      <c r="E48" s="125"/>
      <c r="F48" s="114"/>
      <c r="G48" s="162"/>
      <c r="H48" s="162"/>
      <c r="I48" s="151">
        <f>F48+G48+H48</f>
        <v>0</v>
      </c>
      <c r="J48" s="135"/>
      <c r="K48" s="157"/>
    </row>
    <row r="49" spans="1:11" ht="18.75" customHeight="1" x14ac:dyDescent="0.3">
      <c r="A49" s="144" t="s">
        <v>66</v>
      </c>
      <c r="B49" s="148">
        <f t="shared" ref="B49:K49" si="8">SUBTOTAL(109,B45:B48)</f>
        <v>12</v>
      </c>
      <c r="C49" s="187">
        <f t="shared" si="8"/>
        <v>5.5384615384615392</v>
      </c>
      <c r="D49" s="191">
        <f>SUBTOTAL(109,D45:D48)</f>
        <v>676.4</v>
      </c>
      <c r="E49" s="126">
        <f t="shared" si="8"/>
        <v>0</v>
      </c>
      <c r="F49" s="28">
        <f t="shared" si="8"/>
        <v>0</v>
      </c>
      <c r="G49" s="39">
        <f t="shared" si="8"/>
        <v>0</v>
      </c>
      <c r="H49" s="39">
        <f t="shared" si="8"/>
        <v>0</v>
      </c>
      <c r="I49" s="189">
        <f t="shared" si="8"/>
        <v>0</v>
      </c>
      <c r="J49" s="136">
        <f t="shared" si="8"/>
        <v>0</v>
      </c>
      <c r="K49" s="158">
        <f t="shared" si="8"/>
        <v>0</v>
      </c>
    </row>
    <row r="50" spans="1:11" ht="18.75" customHeight="1" x14ac:dyDescent="0.3">
      <c r="A50" s="142">
        <f>A48+7</f>
        <v>43742</v>
      </c>
      <c r="B50" s="167"/>
      <c r="C50" s="114">
        <f>B50*$B$68/1000</f>
        <v>0</v>
      </c>
      <c r="D50" s="146"/>
      <c r="E50" s="124"/>
      <c r="F50" s="115"/>
      <c r="G50" s="163"/>
      <c r="H50" s="163"/>
      <c r="I50" s="151">
        <f>F50+G50+H50</f>
        <v>0</v>
      </c>
      <c r="J50" s="135"/>
      <c r="K50" s="157"/>
    </row>
    <row r="51" spans="1:11" ht="18.75" customHeight="1" x14ac:dyDescent="0.3">
      <c r="A51" s="142">
        <f>A50+7</f>
        <v>43749</v>
      </c>
      <c r="B51" s="167"/>
      <c r="C51" s="114">
        <f>B51*$B$68/1000</f>
        <v>0</v>
      </c>
      <c r="D51" s="146"/>
      <c r="E51" s="125"/>
      <c r="F51" s="114"/>
      <c r="G51" s="162"/>
      <c r="H51" s="162"/>
      <c r="I51" s="151">
        <f>F51+G51+H51</f>
        <v>0</v>
      </c>
      <c r="J51" s="134"/>
      <c r="K51" s="156"/>
    </row>
    <row r="52" spans="1:11" ht="18.75" customHeight="1" x14ac:dyDescent="0.3">
      <c r="A52" s="142">
        <f>A51+7</f>
        <v>43756</v>
      </c>
      <c r="B52" s="167"/>
      <c r="C52" s="114">
        <f>B52*$B$68/1000</f>
        <v>0</v>
      </c>
      <c r="D52" s="146"/>
      <c r="E52" s="125"/>
      <c r="F52" s="114"/>
      <c r="G52" s="162"/>
      <c r="H52" s="162"/>
      <c r="I52" s="151">
        <f>F52+G52+H52</f>
        <v>0</v>
      </c>
      <c r="J52" s="135"/>
      <c r="K52" s="157"/>
    </row>
    <row r="53" spans="1:11" ht="18.75" customHeight="1" x14ac:dyDescent="0.3">
      <c r="A53" s="142">
        <f>A52+7</f>
        <v>43763</v>
      </c>
      <c r="B53" s="167"/>
      <c r="C53" s="114">
        <f>B53*$B$68/1000</f>
        <v>0</v>
      </c>
      <c r="D53" s="146">
        <f>710.22/1.05</f>
        <v>676.4</v>
      </c>
      <c r="E53" s="125"/>
      <c r="F53" s="114"/>
      <c r="G53" s="162"/>
      <c r="H53" s="162"/>
      <c r="I53" s="151">
        <f>F53+G53+H53</f>
        <v>0</v>
      </c>
      <c r="J53" s="135"/>
      <c r="K53" s="157"/>
    </row>
    <row r="54" spans="1:11" ht="18.75" customHeight="1" x14ac:dyDescent="0.3">
      <c r="A54" s="143" t="s">
        <v>51</v>
      </c>
      <c r="B54" s="148">
        <f t="shared" ref="B54:K54" si="9">SUBTOTAL(109,B50:B53)</f>
        <v>0</v>
      </c>
      <c r="C54" s="187">
        <f t="shared" si="9"/>
        <v>0</v>
      </c>
      <c r="D54" s="191">
        <f>SUBTOTAL(109,D50:D53)</f>
        <v>676.4</v>
      </c>
      <c r="E54" s="126">
        <f t="shared" si="9"/>
        <v>0</v>
      </c>
      <c r="F54" s="28">
        <f t="shared" si="9"/>
        <v>0</v>
      </c>
      <c r="G54" s="39">
        <f t="shared" si="9"/>
        <v>0</v>
      </c>
      <c r="H54" s="39">
        <f t="shared" si="9"/>
        <v>0</v>
      </c>
      <c r="I54" s="189">
        <f t="shared" si="9"/>
        <v>0</v>
      </c>
      <c r="J54" s="136">
        <f t="shared" si="9"/>
        <v>0</v>
      </c>
      <c r="K54" s="158">
        <f t="shared" si="9"/>
        <v>0</v>
      </c>
    </row>
    <row r="55" spans="1:11" ht="18.75" customHeight="1" x14ac:dyDescent="0.3">
      <c r="A55" s="142">
        <f>A53+7</f>
        <v>43770</v>
      </c>
      <c r="B55" s="167"/>
      <c r="C55" s="114">
        <f>B55*$B$68/1000</f>
        <v>0</v>
      </c>
      <c r="D55" s="146"/>
      <c r="E55" s="125"/>
      <c r="F55" s="114"/>
      <c r="G55" s="162"/>
      <c r="H55" s="162"/>
      <c r="I55" s="151">
        <f>F55+G55+H55</f>
        <v>0</v>
      </c>
      <c r="J55" s="135"/>
      <c r="K55" s="157"/>
    </row>
    <row r="56" spans="1:11" ht="18.75" customHeight="1" x14ac:dyDescent="0.3">
      <c r="A56" s="142">
        <f>A55+7</f>
        <v>43777</v>
      </c>
      <c r="B56" s="167"/>
      <c r="C56" s="114">
        <f>B56*$B$68/1000</f>
        <v>0</v>
      </c>
      <c r="D56" s="146"/>
      <c r="E56" s="124"/>
      <c r="F56" s="115"/>
      <c r="G56" s="163"/>
      <c r="H56" s="163"/>
      <c r="I56" s="151">
        <f>F56+G56+H56</f>
        <v>0</v>
      </c>
      <c r="J56" s="135"/>
      <c r="K56" s="157"/>
    </row>
    <row r="57" spans="1:11" ht="18.75" customHeight="1" x14ac:dyDescent="0.3">
      <c r="A57" s="142">
        <f>A56+7</f>
        <v>43784</v>
      </c>
      <c r="B57" s="167"/>
      <c r="C57" s="114">
        <f>B57*$B$68/1000</f>
        <v>0</v>
      </c>
      <c r="D57" s="146"/>
      <c r="E57" s="125"/>
      <c r="F57" s="114"/>
      <c r="G57" s="162"/>
      <c r="H57" s="162"/>
      <c r="I57" s="151">
        <f>F57+G57+H57</f>
        <v>0</v>
      </c>
      <c r="J57" s="134"/>
      <c r="K57" s="156"/>
    </row>
    <row r="58" spans="1:11" ht="18.75" customHeight="1" x14ac:dyDescent="0.3">
      <c r="A58" s="142">
        <f>A57+7</f>
        <v>43791</v>
      </c>
      <c r="B58" s="167"/>
      <c r="C58" s="114">
        <f>B58*$B$68/1000</f>
        <v>0</v>
      </c>
      <c r="D58" s="146"/>
      <c r="E58" s="125"/>
      <c r="F58" s="114"/>
      <c r="G58" s="162"/>
      <c r="H58" s="162"/>
      <c r="I58" s="151">
        <f>F58+G58+H58</f>
        <v>0</v>
      </c>
      <c r="J58" s="135"/>
      <c r="K58" s="157"/>
    </row>
    <row r="59" spans="1:11" ht="18.75" customHeight="1" x14ac:dyDescent="0.3">
      <c r="A59" s="142">
        <f>A58+7</f>
        <v>43798</v>
      </c>
      <c r="B59" s="167"/>
      <c r="C59" s="114">
        <f>B59*$B$68/1000</f>
        <v>0</v>
      </c>
      <c r="D59" s="146"/>
      <c r="E59" s="125"/>
      <c r="F59" s="114"/>
      <c r="G59" s="162"/>
      <c r="H59" s="162"/>
      <c r="I59" s="151">
        <f>F59+G59+H59</f>
        <v>0</v>
      </c>
      <c r="J59" s="135"/>
      <c r="K59" s="157"/>
    </row>
    <row r="60" spans="1:11" ht="18.75" customHeight="1" x14ac:dyDescent="0.3">
      <c r="A60" s="143" t="s">
        <v>11</v>
      </c>
      <c r="B60" s="148">
        <f>SUBTOTAL(109,B55:B59)</f>
        <v>0</v>
      </c>
      <c r="C60" s="187">
        <f>SUBTOTAL(109,C55:C59)</f>
        <v>0</v>
      </c>
      <c r="D60" s="191">
        <f>SUBTOTAL(109,D55:D59)</f>
        <v>0</v>
      </c>
      <c r="E60" s="126">
        <f t="shared" ref="E60:K60" si="10">SUBTOTAL(109,E55:E59)</f>
        <v>0</v>
      </c>
      <c r="F60" s="28">
        <f>SUBTOTAL(109,F56:F59)</f>
        <v>0</v>
      </c>
      <c r="G60" s="39">
        <f t="shared" si="10"/>
        <v>0</v>
      </c>
      <c r="H60" s="39">
        <f t="shared" si="10"/>
        <v>0</v>
      </c>
      <c r="I60" s="189">
        <f>SUBTOTAL(109,I56:I59)</f>
        <v>0</v>
      </c>
      <c r="J60" s="136">
        <f t="shared" si="10"/>
        <v>0</v>
      </c>
      <c r="K60" s="158">
        <f t="shared" si="10"/>
        <v>0</v>
      </c>
    </row>
    <row r="61" spans="1:11" ht="18.75" customHeight="1" x14ac:dyDescent="0.3">
      <c r="A61" s="142">
        <f>A59+7</f>
        <v>43805</v>
      </c>
      <c r="B61" s="167"/>
      <c r="C61" s="114">
        <f>B61*$B$68/1000</f>
        <v>0</v>
      </c>
      <c r="D61" s="146"/>
      <c r="E61" s="125"/>
      <c r="F61" s="114"/>
      <c r="G61" s="162"/>
      <c r="H61" s="162"/>
      <c r="I61" s="151">
        <f>F61+G61+H61</f>
        <v>0</v>
      </c>
      <c r="J61" s="135"/>
      <c r="K61" s="157"/>
    </row>
    <row r="62" spans="1:11" ht="18.75" customHeight="1" x14ac:dyDescent="0.3">
      <c r="A62" s="142">
        <f>A61+7</f>
        <v>43812</v>
      </c>
      <c r="B62" s="167"/>
      <c r="C62" s="114">
        <f>B62*$B$68/1000</f>
        <v>0</v>
      </c>
      <c r="D62" s="146"/>
      <c r="E62" s="124"/>
      <c r="F62" s="115"/>
      <c r="G62" s="163"/>
      <c r="H62" s="163"/>
      <c r="I62" s="151">
        <f>F62+G62+H62</f>
        <v>0</v>
      </c>
      <c r="J62" s="135"/>
      <c r="K62" s="157"/>
    </row>
    <row r="63" spans="1:11" ht="18.75" customHeight="1" x14ac:dyDescent="0.3">
      <c r="A63" s="142">
        <f>A62+7</f>
        <v>43819</v>
      </c>
      <c r="B63" s="167"/>
      <c r="C63" s="114">
        <f>B63*$B$68/1000</f>
        <v>0</v>
      </c>
      <c r="D63" s="146"/>
      <c r="E63" s="125"/>
      <c r="F63" s="114"/>
      <c r="G63" s="162"/>
      <c r="H63" s="162"/>
      <c r="I63" s="151">
        <f>F63+G63+H63</f>
        <v>0</v>
      </c>
      <c r="J63" s="134"/>
      <c r="K63" s="156"/>
    </row>
    <row r="64" spans="1:11" ht="18.75" customHeight="1" x14ac:dyDescent="0.3">
      <c r="A64" s="142">
        <f>A63+7</f>
        <v>43826</v>
      </c>
      <c r="B64" s="167"/>
      <c r="C64" s="114">
        <f>B64*$B$68/1000</f>
        <v>0</v>
      </c>
      <c r="D64" s="146"/>
      <c r="E64" s="125"/>
      <c r="F64" s="114"/>
      <c r="G64" s="162"/>
      <c r="H64" s="162"/>
      <c r="I64" s="151">
        <f>F64+G64+H64</f>
        <v>0</v>
      </c>
      <c r="J64" s="135"/>
      <c r="K64" s="157"/>
    </row>
    <row r="65" spans="1:12" ht="18.75" customHeight="1" thickBot="1" x14ac:dyDescent="0.35">
      <c r="A65" s="143" t="s">
        <v>12</v>
      </c>
      <c r="B65" s="148">
        <f t="shared" ref="B65:K65" si="11">SUBTOTAL(109,B61:B64)</f>
        <v>0</v>
      </c>
      <c r="C65" s="148">
        <f t="shared" si="11"/>
        <v>0</v>
      </c>
      <c r="D65" s="191">
        <f>SUBTOTAL(109,D61:D64)</f>
        <v>0</v>
      </c>
      <c r="E65" s="128">
        <f t="shared" si="11"/>
        <v>0</v>
      </c>
      <c r="F65" s="129">
        <f t="shared" si="11"/>
        <v>0</v>
      </c>
      <c r="G65" s="112">
        <f t="shared" si="11"/>
        <v>0</v>
      </c>
      <c r="H65" s="112">
        <f t="shared" si="11"/>
        <v>0</v>
      </c>
      <c r="I65" s="159">
        <f t="shared" si="11"/>
        <v>0</v>
      </c>
      <c r="J65" s="137">
        <f t="shared" si="11"/>
        <v>0</v>
      </c>
      <c r="K65" s="159">
        <f t="shared" si="11"/>
        <v>0</v>
      </c>
    </row>
    <row r="66" spans="1:12" ht="18.75" customHeight="1" thickBot="1" x14ac:dyDescent="0.35">
      <c r="A66" s="20" t="s">
        <v>79</v>
      </c>
      <c r="B66" s="194">
        <f>SUBTOTAL(109,B2:B64)</f>
        <v>117</v>
      </c>
      <c r="C66" s="194">
        <f>SUBTOTAL(109,C2:C64)</f>
        <v>54.000000000000021</v>
      </c>
      <c r="D66" s="147">
        <f>SUBTOTAL(109,D2:D64)</f>
        <v>6163.0285714285701</v>
      </c>
      <c r="E66" s="140">
        <f>SUBTOTAL(109,E2:E64)</f>
        <v>0</v>
      </c>
      <c r="F66" s="222">
        <f>F60+F54+F49+F44+F38+F33+F28+F22+F17+F11+F6</f>
        <v>3234.8</v>
      </c>
      <c r="G66" s="164">
        <f>SUBTOTAL(109,G2:G64)</f>
        <v>-2664.9</v>
      </c>
      <c r="H66" s="164">
        <f>SUBTOTAL(109,H2:H64)</f>
        <v>0</v>
      </c>
      <c r="I66" s="154">
        <f>I65+I60+I54+I49+I44+I38+I33+I28+I22+I17+I11+I6</f>
        <v>569.90000000000009</v>
      </c>
      <c r="J66" s="138">
        <f>SUBTOTAL(109,J2:J64)</f>
        <v>0</v>
      </c>
      <c r="K66" s="160">
        <f>SUBTOTAL(109,K2:K64)</f>
        <v>0</v>
      </c>
    </row>
    <row r="67" spans="1:12" ht="18.75" customHeight="1" x14ac:dyDescent="0.3">
      <c r="A67" s="1"/>
      <c r="B67" s="1"/>
      <c r="C67" s="1"/>
      <c r="G67" s="17"/>
      <c r="H67" s="17"/>
      <c r="I67" s="17"/>
      <c r="J67" s="17"/>
      <c r="K67" s="17"/>
    </row>
    <row r="68" spans="1:12" ht="18.75" customHeight="1" x14ac:dyDescent="0.3">
      <c r="A68" s="95" t="s">
        <v>134</v>
      </c>
      <c r="B68" s="196">
        <f>N6</f>
        <v>461.53846153846155</v>
      </c>
      <c r="D68" s="22"/>
      <c r="E68" s="17"/>
      <c r="F68" s="17"/>
    </row>
    <row r="69" spans="1:12" ht="18.75" customHeight="1" x14ac:dyDescent="0.3">
      <c r="A69" s="1"/>
      <c r="B69" s="1"/>
      <c r="C69" s="1"/>
    </row>
    <row r="70" spans="1:12" ht="52" x14ac:dyDescent="0.3">
      <c r="A70" s="31" t="s">
        <v>23</v>
      </c>
      <c r="B70" s="32" t="s">
        <v>36</v>
      </c>
      <c r="C70" s="32" t="s">
        <v>136</v>
      </c>
      <c r="D70" s="32" t="s">
        <v>137</v>
      </c>
      <c r="E70" s="190" t="s">
        <v>138</v>
      </c>
      <c r="F70" s="190" t="s">
        <v>143</v>
      </c>
      <c r="G70" s="32" t="s">
        <v>140</v>
      </c>
      <c r="H70" s="32" t="s">
        <v>99</v>
      </c>
      <c r="I70" s="32" t="s">
        <v>100</v>
      </c>
      <c r="J70" s="32" t="s">
        <v>94</v>
      </c>
      <c r="K70" s="32" t="s">
        <v>101</v>
      </c>
      <c r="L70" s="32" t="s">
        <v>107</v>
      </c>
    </row>
    <row r="71" spans="1:12" ht="18.75" customHeight="1" x14ac:dyDescent="0.3">
      <c r="A71" s="21" t="s">
        <v>27</v>
      </c>
      <c r="B71" s="166">
        <f>C6</f>
        <v>5.5384615384615392</v>
      </c>
      <c r="C71" s="22">
        <f>D6</f>
        <v>547.71428571428567</v>
      </c>
      <c r="D71" s="22">
        <f>C71/B71</f>
        <v>98.892857142857125</v>
      </c>
      <c r="E71" s="166">
        <f>E6</f>
        <v>0</v>
      </c>
      <c r="F71" s="22">
        <f>I6</f>
        <v>-132.30000000000001</v>
      </c>
      <c r="G71" s="22" t="e">
        <f t="shared" ref="G71:G82" si="12">F71/E71</f>
        <v>#DIV/0!</v>
      </c>
      <c r="H71" s="166">
        <f>J6</f>
        <v>0</v>
      </c>
      <c r="I71" s="30">
        <f>K6</f>
        <v>0</v>
      </c>
      <c r="J71" s="197">
        <f t="shared" ref="J71:J82" si="13">B71+E71</f>
        <v>5.5384615384615392</v>
      </c>
      <c r="K71" s="30">
        <f t="shared" ref="K71:K82" si="14">C71+F71+I71</f>
        <v>415.41428571428565</v>
      </c>
      <c r="L71" s="1">
        <f>K71/J71</f>
        <v>75.005357142857122</v>
      </c>
    </row>
    <row r="72" spans="1:12" ht="18.75" customHeight="1" x14ac:dyDescent="0.3">
      <c r="A72" s="21" t="s">
        <v>28</v>
      </c>
      <c r="B72" s="166">
        <f>C11</f>
        <v>5.5384615384615392</v>
      </c>
      <c r="C72" s="22">
        <f>D11</f>
        <v>547.71428571428567</v>
      </c>
      <c r="D72" s="22">
        <f t="shared" ref="D72:D82" si="15">C72/B72</f>
        <v>98.892857142857125</v>
      </c>
      <c r="E72" s="166">
        <f>E11</f>
        <v>0</v>
      </c>
      <c r="F72" s="22">
        <f>I11</f>
        <v>282.38</v>
      </c>
      <c r="G72" s="22" t="e">
        <f t="shared" si="12"/>
        <v>#DIV/0!</v>
      </c>
      <c r="H72" s="166">
        <f>J11</f>
        <v>0</v>
      </c>
      <c r="I72" s="30">
        <f>K11</f>
        <v>0</v>
      </c>
      <c r="J72" s="197">
        <f t="shared" si="13"/>
        <v>5.5384615384615392</v>
      </c>
      <c r="K72" s="30">
        <f t="shared" si="14"/>
        <v>830.09428571428566</v>
      </c>
      <c r="L72" s="1">
        <f t="shared" ref="L72:L82" si="16">K72/J72</f>
        <v>149.87813492063489</v>
      </c>
    </row>
    <row r="73" spans="1:12" ht="18.75" customHeight="1" x14ac:dyDescent="0.3">
      <c r="A73" s="21" t="s">
        <v>29</v>
      </c>
      <c r="B73" s="166">
        <f>C17</f>
        <v>6.9230769230769242</v>
      </c>
      <c r="C73" s="22">
        <f>D17</f>
        <v>570.36190476190473</v>
      </c>
      <c r="D73" s="22">
        <f t="shared" si="15"/>
        <v>82.385608465608442</v>
      </c>
      <c r="E73" s="166">
        <f>E17</f>
        <v>0</v>
      </c>
      <c r="F73" s="22">
        <f>I17</f>
        <v>-97.65</v>
      </c>
      <c r="G73" s="22" t="e">
        <f t="shared" si="12"/>
        <v>#DIV/0!</v>
      </c>
      <c r="H73" s="166">
        <f>J17</f>
        <v>0</v>
      </c>
      <c r="I73" s="30">
        <f>K17</f>
        <v>0</v>
      </c>
      <c r="J73" s="197">
        <f t="shared" si="13"/>
        <v>6.9230769230769242</v>
      </c>
      <c r="K73" s="30">
        <f t="shared" si="14"/>
        <v>472.71190476190475</v>
      </c>
      <c r="L73" s="1">
        <f t="shared" si="16"/>
        <v>68.280608465608452</v>
      </c>
    </row>
    <row r="74" spans="1:12" ht="18.75" customHeight="1" x14ac:dyDescent="0.3">
      <c r="A74" s="21" t="s">
        <v>30</v>
      </c>
      <c r="B74" s="166">
        <f>C22</f>
        <v>5.5384615384615392</v>
      </c>
      <c r="C74" s="22">
        <f>D22</f>
        <v>617.00952380952378</v>
      </c>
      <c r="D74" s="22">
        <f t="shared" si="15"/>
        <v>111.40449735449734</v>
      </c>
      <c r="E74" s="166">
        <f>E22</f>
        <v>0</v>
      </c>
      <c r="F74" s="22">
        <f>I22</f>
        <v>-148.04999999999995</v>
      </c>
      <c r="G74" s="22" t="e">
        <f t="shared" si="12"/>
        <v>#DIV/0!</v>
      </c>
      <c r="H74" s="166">
        <f>J22</f>
        <v>0</v>
      </c>
      <c r="I74" s="30">
        <f>K22</f>
        <v>0</v>
      </c>
      <c r="J74" s="197">
        <f t="shared" si="13"/>
        <v>5.5384615384615392</v>
      </c>
      <c r="K74" s="30">
        <f t="shared" si="14"/>
        <v>468.95952380952383</v>
      </c>
      <c r="L74" s="1">
        <f t="shared" si="16"/>
        <v>84.673247354497349</v>
      </c>
    </row>
    <row r="75" spans="1:12" ht="18.75" customHeight="1" x14ac:dyDescent="0.3">
      <c r="A75" s="21" t="s">
        <v>31</v>
      </c>
      <c r="B75" s="166">
        <f>C28</f>
        <v>6.9230769230769242</v>
      </c>
      <c r="C75" s="22">
        <f>D28</f>
        <v>617.00952380952378</v>
      </c>
      <c r="D75" s="22">
        <f t="shared" si="15"/>
        <v>89.123597883597867</v>
      </c>
      <c r="E75" s="166">
        <f>E28</f>
        <v>0</v>
      </c>
      <c r="F75" s="22">
        <f>I28</f>
        <v>-132.30000000000001</v>
      </c>
      <c r="G75" s="22" t="e">
        <f t="shared" si="12"/>
        <v>#DIV/0!</v>
      </c>
      <c r="H75" s="166">
        <f>J28</f>
        <v>0</v>
      </c>
      <c r="I75" s="30">
        <f>K28</f>
        <v>0</v>
      </c>
      <c r="J75" s="197">
        <f t="shared" si="13"/>
        <v>6.9230769230769242</v>
      </c>
      <c r="K75" s="30">
        <f t="shared" si="14"/>
        <v>484.70952380952377</v>
      </c>
      <c r="L75" s="1">
        <f t="shared" si="16"/>
        <v>70.013597883597868</v>
      </c>
    </row>
    <row r="76" spans="1:12" ht="18.75" customHeight="1" x14ac:dyDescent="0.3">
      <c r="A76" s="21" t="s">
        <v>32</v>
      </c>
      <c r="B76" s="166">
        <f>C33</f>
        <v>5.5384615384615392</v>
      </c>
      <c r="C76" s="22">
        <f>D33</f>
        <v>617.00952380952378</v>
      </c>
      <c r="D76" s="22">
        <f t="shared" si="15"/>
        <v>111.40449735449734</v>
      </c>
      <c r="E76" s="166">
        <f>E33</f>
        <v>0</v>
      </c>
      <c r="F76" s="22">
        <f>I33</f>
        <v>855.4</v>
      </c>
      <c r="G76" s="22" t="e">
        <f t="shared" si="12"/>
        <v>#DIV/0!</v>
      </c>
      <c r="H76" s="166">
        <f>J33</f>
        <v>0</v>
      </c>
      <c r="I76" s="30">
        <f>K33</f>
        <v>0</v>
      </c>
      <c r="J76" s="197">
        <f t="shared" si="13"/>
        <v>5.5384615384615392</v>
      </c>
      <c r="K76" s="30">
        <f t="shared" si="14"/>
        <v>1472.4095238095238</v>
      </c>
      <c r="L76" s="1">
        <f t="shared" si="16"/>
        <v>265.85171957671952</v>
      </c>
    </row>
    <row r="77" spans="1:12" ht="18.75" customHeight="1" x14ac:dyDescent="0.3">
      <c r="A77" s="21" t="s">
        <v>33</v>
      </c>
      <c r="B77" s="166">
        <f>C38</f>
        <v>5.5384615384615392</v>
      </c>
      <c r="C77" s="22">
        <f>D38</f>
        <v>617.00952380952378</v>
      </c>
      <c r="D77" s="22">
        <f t="shared" si="15"/>
        <v>111.40449735449734</v>
      </c>
      <c r="E77" s="166">
        <f>E38</f>
        <v>0</v>
      </c>
      <c r="F77" s="22">
        <f>I38</f>
        <v>-57.580000000000041</v>
      </c>
      <c r="G77" s="22" t="e">
        <f t="shared" si="12"/>
        <v>#DIV/0!</v>
      </c>
      <c r="H77" s="166">
        <f>J38</f>
        <v>0</v>
      </c>
      <c r="I77" s="30">
        <f>K38</f>
        <v>0</v>
      </c>
      <c r="J77" s="197">
        <f t="shared" si="13"/>
        <v>5.5384615384615392</v>
      </c>
      <c r="K77" s="30">
        <f t="shared" si="14"/>
        <v>559.42952380952374</v>
      </c>
      <c r="L77" s="1">
        <f t="shared" si="16"/>
        <v>101.00810846560844</v>
      </c>
    </row>
    <row r="78" spans="1:12" ht="18.75" customHeight="1" x14ac:dyDescent="0.3">
      <c r="A78" s="21" t="s">
        <v>34</v>
      </c>
      <c r="B78" s="166">
        <f>C44</f>
        <v>6.9230769230769242</v>
      </c>
      <c r="C78" s="22">
        <f>D44</f>
        <v>676.4</v>
      </c>
      <c r="D78" s="22">
        <f t="shared" si="15"/>
        <v>97.702222222222204</v>
      </c>
      <c r="E78" s="166">
        <f>E44</f>
        <v>0</v>
      </c>
      <c r="F78" s="22">
        <f>I44</f>
        <v>0</v>
      </c>
      <c r="G78" s="22" t="e">
        <f t="shared" si="12"/>
        <v>#DIV/0!</v>
      </c>
      <c r="H78" s="166">
        <f>J44</f>
        <v>0</v>
      </c>
      <c r="I78" s="30">
        <f>K44</f>
        <v>0</v>
      </c>
      <c r="J78" s="197">
        <f t="shared" si="13"/>
        <v>6.9230769230769242</v>
      </c>
      <c r="K78" s="30">
        <f t="shared" si="14"/>
        <v>676.4</v>
      </c>
      <c r="L78" s="1">
        <f t="shared" si="16"/>
        <v>97.702222222222204</v>
      </c>
    </row>
    <row r="79" spans="1:12" ht="18.75" customHeight="1" x14ac:dyDescent="0.3">
      <c r="A79" s="21" t="s">
        <v>35</v>
      </c>
      <c r="B79" s="166">
        <f>C49</f>
        <v>5.5384615384615392</v>
      </c>
      <c r="C79" s="22">
        <f>D49</f>
        <v>676.4</v>
      </c>
      <c r="D79" s="22">
        <f t="shared" si="15"/>
        <v>122.12777777777775</v>
      </c>
      <c r="E79" s="166">
        <f>E49</f>
        <v>0</v>
      </c>
      <c r="F79" s="22">
        <f>I49</f>
        <v>0</v>
      </c>
      <c r="G79" s="22" t="e">
        <f t="shared" si="12"/>
        <v>#DIV/0!</v>
      </c>
      <c r="H79" s="166">
        <f>J49</f>
        <v>0</v>
      </c>
      <c r="I79" s="30">
        <f>K49</f>
        <v>0</v>
      </c>
      <c r="J79" s="197">
        <f t="shared" si="13"/>
        <v>5.5384615384615392</v>
      </c>
      <c r="K79" s="30">
        <f t="shared" si="14"/>
        <v>676.4</v>
      </c>
      <c r="L79" s="1">
        <f t="shared" si="16"/>
        <v>122.12777777777775</v>
      </c>
    </row>
    <row r="80" spans="1:12" ht="18.75" customHeight="1" x14ac:dyDescent="0.3">
      <c r="A80" s="21" t="s">
        <v>24</v>
      </c>
      <c r="B80" s="166">
        <f>C54</f>
        <v>0</v>
      </c>
      <c r="C80" s="22">
        <f>D54</f>
        <v>676.4</v>
      </c>
      <c r="D80" s="22" t="e">
        <f t="shared" si="15"/>
        <v>#DIV/0!</v>
      </c>
      <c r="E80" s="166">
        <f>E54</f>
        <v>0</v>
      </c>
      <c r="F80" s="22">
        <f>I54</f>
        <v>0</v>
      </c>
      <c r="G80" s="22" t="e">
        <f t="shared" si="12"/>
        <v>#DIV/0!</v>
      </c>
      <c r="H80" s="166">
        <f>J54</f>
        <v>0</v>
      </c>
      <c r="I80" s="30">
        <f>K54</f>
        <v>0</v>
      </c>
      <c r="J80" s="197">
        <f t="shared" si="13"/>
        <v>0</v>
      </c>
      <c r="K80" s="30">
        <f t="shared" si="14"/>
        <v>676.4</v>
      </c>
      <c r="L80" s="1" t="e">
        <f t="shared" si="16"/>
        <v>#DIV/0!</v>
      </c>
    </row>
    <row r="81" spans="1:12" ht="18.75" customHeight="1" x14ac:dyDescent="0.3">
      <c r="A81" s="21" t="s">
        <v>25</v>
      </c>
      <c r="B81" s="166">
        <f>C60</f>
        <v>0</v>
      </c>
      <c r="C81" s="22">
        <f>D60</f>
        <v>0</v>
      </c>
      <c r="D81" s="22" t="e">
        <f t="shared" si="15"/>
        <v>#DIV/0!</v>
      </c>
      <c r="E81" s="166">
        <f>E60</f>
        <v>0</v>
      </c>
      <c r="F81" s="22">
        <f>I60</f>
        <v>0</v>
      </c>
      <c r="G81" s="22" t="e">
        <f t="shared" si="12"/>
        <v>#DIV/0!</v>
      </c>
      <c r="H81" s="166">
        <f>J60</f>
        <v>0</v>
      </c>
      <c r="I81" s="30">
        <f>K60</f>
        <v>0</v>
      </c>
      <c r="J81" s="197">
        <f t="shared" si="13"/>
        <v>0</v>
      </c>
      <c r="K81" s="30">
        <f t="shared" si="14"/>
        <v>0</v>
      </c>
      <c r="L81" s="1" t="e">
        <f t="shared" si="16"/>
        <v>#DIV/0!</v>
      </c>
    </row>
    <row r="82" spans="1:12" ht="18.75" customHeight="1" x14ac:dyDescent="0.3">
      <c r="A82" s="21" t="s">
        <v>26</v>
      </c>
      <c r="B82" s="166">
        <f>C65</f>
        <v>0</v>
      </c>
      <c r="C82" s="22">
        <f>D65</f>
        <v>0</v>
      </c>
      <c r="D82" s="22" t="e">
        <f t="shared" si="15"/>
        <v>#DIV/0!</v>
      </c>
      <c r="E82" s="166">
        <f>E65</f>
        <v>0</v>
      </c>
      <c r="F82" s="22">
        <f>I65</f>
        <v>0</v>
      </c>
      <c r="G82" s="22" t="e">
        <f t="shared" si="12"/>
        <v>#DIV/0!</v>
      </c>
      <c r="H82" s="166">
        <f>J65</f>
        <v>0</v>
      </c>
      <c r="I82" s="30">
        <f>K65</f>
        <v>0</v>
      </c>
      <c r="J82" s="197">
        <f t="shared" si="13"/>
        <v>0</v>
      </c>
      <c r="K82" s="30">
        <f t="shared" si="14"/>
        <v>0</v>
      </c>
      <c r="L82" s="1" t="e">
        <f t="shared" si="16"/>
        <v>#DIV/0!</v>
      </c>
    </row>
    <row r="83" spans="1:12" ht="18.75" customHeight="1" x14ac:dyDescent="0.3">
      <c r="A83" s="1"/>
      <c r="B83" s="69"/>
      <c r="C83" s="69"/>
      <c r="F83" s="69"/>
      <c r="G83" s="69"/>
      <c r="I83" s="17"/>
      <c r="J83" s="17"/>
      <c r="K83" s="17"/>
      <c r="L83" s="17"/>
    </row>
    <row r="84" spans="1:12" ht="25.5" x14ac:dyDescent="0.3">
      <c r="A84" s="33" t="s">
        <v>72</v>
      </c>
      <c r="B84" s="22">
        <f>AVERAGEIF(B71:B82,"&lt;&gt;0")</f>
        <v>6.0000000000000018</v>
      </c>
      <c r="C84" s="22">
        <f>AVERAGEIF(C71:C82,"&lt;&gt;0")</f>
        <v>616.30285714285696</v>
      </c>
      <c r="D84" s="22" t="e">
        <f>AVERAGEIF(D71:D82,"&lt;&gt;0")</f>
        <v>#DIV/0!</v>
      </c>
      <c r="F84" s="22">
        <f t="shared" ref="F84:L84" si="17">AVERAGEIF(F71:F82,"&lt;&gt;0")</f>
        <v>81.414285714285711</v>
      </c>
      <c r="G84" s="22" t="e">
        <f t="shared" si="17"/>
        <v>#DIV/0!</v>
      </c>
      <c r="H84" s="3" t="e">
        <f t="shared" si="17"/>
        <v>#DIV/0!</v>
      </c>
      <c r="I84" s="3" t="e">
        <f t="shared" si="17"/>
        <v>#DIV/0!</v>
      </c>
      <c r="J84" s="3">
        <f t="shared" si="17"/>
        <v>6.0000000000000018</v>
      </c>
      <c r="K84" s="3">
        <f t="shared" si="17"/>
        <v>673.29285714285709</v>
      </c>
      <c r="L84" s="3" t="e">
        <f t="shared" si="17"/>
        <v>#DIV/0!</v>
      </c>
    </row>
    <row r="85" spans="1:12" ht="18.75" customHeight="1" x14ac:dyDescent="0.3">
      <c r="A85" s="95" t="s">
        <v>73</v>
      </c>
      <c r="B85" s="97">
        <f>SUM(B71:B82)</f>
        <v>54.000000000000014</v>
      </c>
      <c r="C85" s="97">
        <f>SUM(C71:C82)</f>
        <v>6163.0285714285701</v>
      </c>
      <c r="D85" s="97"/>
      <c r="F85" s="97">
        <f>SUM(F71:F82)</f>
        <v>569.9</v>
      </c>
      <c r="G85" s="97"/>
      <c r="H85" s="17">
        <f>SUM(H71:H82)</f>
        <v>0</v>
      </c>
      <c r="I85" s="17">
        <f>SUM(I71:I82)</f>
        <v>0</v>
      </c>
      <c r="J85" s="216">
        <f>SUM(J71:J82)</f>
        <v>54.000000000000014</v>
      </c>
      <c r="K85" s="17">
        <f>SUM(K71:K82)</f>
        <v>6732.9285714285706</v>
      </c>
      <c r="L85" s="1">
        <f>K85/J85</f>
        <v>124.68386243386239</v>
      </c>
    </row>
    <row r="86" spans="1:12" ht="18.75" customHeight="1" x14ac:dyDescent="0.3">
      <c r="A86" s="1"/>
      <c r="B86" s="55"/>
      <c r="C86" s="55"/>
      <c r="D86" s="22"/>
      <c r="K86" s="55"/>
    </row>
    <row r="87" spans="1:12" ht="18.75" customHeight="1" x14ac:dyDescent="0.3">
      <c r="A87" s="1"/>
      <c r="B87" s="55"/>
      <c r="C87" s="55"/>
      <c r="D87" s="22"/>
      <c r="K87" s="55"/>
    </row>
    <row r="89" spans="1:12" ht="18.75" customHeight="1" x14ac:dyDescent="0.3">
      <c r="A89" s="1"/>
      <c r="B89" s="1"/>
      <c r="C89" s="1"/>
    </row>
    <row r="90" spans="1:12" ht="18.75" customHeight="1" x14ac:dyDescent="0.3">
      <c r="A90" s="1"/>
      <c r="B90" s="1"/>
      <c r="C90" s="1"/>
    </row>
    <row r="91" spans="1:12" ht="18.75" customHeight="1" x14ac:dyDescent="0.3">
      <c r="A91" s="1"/>
      <c r="B91" s="1"/>
      <c r="C91" s="1"/>
    </row>
    <row r="92" spans="1:12" ht="18.75" customHeight="1" x14ac:dyDescent="0.3">
      <c r="A92" s="1"/>
      <c r="B92" s="1"/>
      <c r="C92" s="1"/>
    </row>
    <row r="93" spans="1:12" ht="18.75" customHeight="1" x14ac:dyDescent="0.3">
      <c r="A93" s="1"/>
      <c r="B93" s="1"/>
      <c r="C93" s="1"/>
    </row>
    <row r="94" spans="1:12" ht="18.75" customHeight="1" x14ac:dyDescent="0.3">
      <c r="A94" s="1"/>
      <c r="B94" s="1"/>
      <c r="C94" s="1"/>
    </row>
    <row r="95" spans="1:12" ht="18.75" customHeight="1" x14ac:dyDescent="0.3">
      <c r="A95" s="1"/>
      <c r="B95" s="1"/>
      <c r="C95" s="1"/>
    </row>
    <row r="96" spans="1:12" ht="18.75" customHeight="1" x14ac:dyDescent="0.3">
      <c r="A96" s="1"/>
      <c r="B96" s="1"/>
      <c r="C96" s="1"/>
    </row>
    <row r="97" spans="1:3" ht="18.75" customHeight="1" x14ac:dyDescent="0.3">
      <c r="A97" s="1"/>
      <c r="B97" s="1"/>
      <c r="C97" s="1"/>
    </row>
    <row r="98" spans="1:3" ht="18.75" customHeight="1" x14ac:dyDescent="0.3">
      <c r="A98" s="1"/>
      <c r="B98" s="1"/>
      <c r="C98" s="1"/>
    </row>
    <row r="99" spans="1:3" ht="18.75" customHeight="1" x14ac:dyDescent="0.3">
      <c r="A99" s="1"/>
      <c r="B99" s="1"/>
      <c r="C99" s="1"/>
    </row>
    <row r="100" spans="1:3" ht="18.75" customHeight="1" x14ac:dyDescent="0.3">
      <c r="A100" s="1"/>
      <c r="B100" s="1"/>
      <c r="C100" s="1"/>
    </row>
    <row r="101" spans="1:3" ht="18.75" customHeight="1" x14ac:dyDescent="0.3">
      <c r="A101" s="1"/>
      <c r="B101" s="1"/>
      <c r="C101" s="1"/>
    </row>
    <row r="102" spans="1:3" ht="18.75" customHeight="1" x14ac:dyDescent="0.3">
      <c r="A102" s="1"/>
      <c r="B102" s="1"/>
      <c r="C102" s="1"/>
    </row>
    <row r="103" spans="1:3" ht="18.75" customHeight="1" x14ac:dyDescent="0.3">
      <c r="A103" s="1"/>
      <c r="B103" s="1"/>
      <c r="C103" s="1"/>
    </row>
    <row r="104" spans="1:3" ht="18.75" customHeight="1" x14ac:dyDescent="0.3">
      <c r="A104" s="1"/>
      <c r="B104" s="1"/>
      <c r="C104" s="1"/>
    </row>
    <row r="105" spans="1:3" ht="18.75" customHeight="1" x14ac:dyDescent="0.3">
      <c r="A105" s="1"/>
      <c r="B105" s="1"/>
      <c r="C105" s="1"/>
    </row>
    <row r="106" spans="1:3" ht="18.75" customHeight="1" x14ac:dyDescent="0.3">
      <c r="A106" s="1"/>
      <c r="B106" s="1"/>
      <c r="C106" s="1"/>
    </row>
    <row r="107" spans="1:3" ht="18.75" customHeight="1" x14ac:dyDescent="0.3">
      <c r="A107" s="1"/>
      <c r="B107" s="1"/>
      <c r="C107" s="1"/>
    </row>
    <row r="108" spans="1:3" ht="18.75" customHeight="1" x14ac:dyDescent="0.3">
      <c r="A108" s="1"/>
      <c r="B108" s="1"/>
      <c r="C108" s="1"/>
    </row>
    <row r="109" spans="1:3" ht="18.75" customHeight="1" x14ac:dyDescent="0.3">
      <c r="A109" s="1"/>
      <c r="B109" s="1"/>
      <c r="C109" s="1"/>
    </row>
    <row r="110" spans="1:3" ht="18.75" customHeight="1" x14ac:dyDescent="0.3">
      <c r="A110" s="1"/>
      <c r="B110" s="1"/>
      <c r="C110" s="1"/>
    </row>
    <row r="111" spans="1:3" ht="18.75" customHeight="1" x14ac:dyDescent="0.3">
      <c r="A111" s="1"/>
      <c r="B111" s="1"/>
      <c r="C111" s="1"/>
    </row>
    <row r="112" spans="1:3" ht="18.75" customHeight="1" x14ac:dyDescent="0.3">
      <c r="A112" s="1"/>
      <c r="B112" s="1"/>
      <c r="C112" s="1"/>
    </row>
    <row r="113" spans="1:3" ht="18.75" customHeight="1" x14ac:dyDescent="0.3">
      <c r="A113" s="1"/>
      <c r="B113" s="1"/>
      <c r="C113" s="1"/>
    </row>
    <row r="114" spans="1:3" ht="18.75" customHeight="1" x14ac:dyDescent="0.3">
      <c r="A114" s="1"/>
      <c r="B114" s="1"/>
      <c r="C114" s="1"/>
    </row>
    <row r="115" spans="1:3" ht="18.75" customHeight="1" x14ac:dyDescent="0.3">
      <c r="A115" s="1"/>
      <c r="B115" s="1"/>
      <c r="C115" s="1"/>
    </row>
    <row r="116" spans="1:3" ht="18.75" customHeight="1" x14ac:dyDescent="0.3">
      <c r="A116" s="1"/>
      <c r="B116" s="1"/>
      <c r="C116" s="1"/>
    </row>
    <row r="117" spans="1:3" ht="18.75" customHeight="1" x14ac:dyDescent="0.3">
      <c r="A117" s="1"/>
      <c r="B117" s="1"/>
      <c r="C117" s="1"/>
    </row>
    <row r="118" spans="1:3" ht="18.75" customHeight="1" x14ac:dyDescent="0.3">
      <c r="A118" s="1"/>
      <c r="B118" s="1"/>
      <c r="C118" s="1"/>
    </row>
    <row r="119" spans="1:3" ht="18.75" customHeight="1" x14ac:dyDescent="0.3">
      <c r="A119" s="1"/>
      <c r="B119" s="1"/>
      <c r="C119" s="1"/>
    </row>
    <row r="120" spans="1:3" ht="18.75" customHeight="1" x14ac:dyDescent="0.3">
      <c r="A120" s="1"/>
      <c r="B120" s="1"/>
      <c r="C120" s="1"/>
    </row>
    <row r="121" spans="1:3" ht="18.75" customHeight="1" x14ac:dyDescent="0.3">
      <c r="A121" s="1"/>
      <c r="B121" s="1"/>
      <c r="C121" s="1"/>
    </row>
    <row r="122" spans="1:3" ht="18.75" customHeight="1" x14ac:dyDescent="0.3">
      <c r="A122" s="1"/>
      <c r="B122" s="1"/>
      <c r="C122" s="1"/>
    </row>
    <row r="123" spans="1:3" ht="18.75" customHeight="1" x14ac:dyDescent="0.3">
      <c r="A123" s="1"/>
      <c r="B123" s="1"/>
      <c r="C123" s="1"/>
    </row>
    <row r="124" spans="1:3" ht="18.75" customHeight="1" x14ac:dyDescent="0.3">
      <c r="A124" s="1"/>
      <c r="B124" s="1"/>
      <c r="C124" s="1"/>
    </row>
    <row r="125" spans="1:3" ht="18.75" customHeight="1" x14ac:dyDescent="0.3">
      <c r="A125" s="1"/>
      <c r="B125" s="1"/>
      <c r="C125" s="1"/>
    </row>
    <row r="126" spans="1:3" ht="18.75" customHeight="1" x14ac:dyDescent="0.3">
      <c r="A126" s="1"/>
      <c r="B126" s="1"/>
      <c r="C126" s="1"/>
    </row>
    <row r="127" spans="1:3" ht="18.75" customHeight="1" x14ac:dyDescent="0.3">
      <c r="A127" s="1"/>
      <c r="B127" s="1"/>
      <c r="C127" s="1"/>
    </row>
    <row r="128" spans="1:3" ht="18.75" customHeight="1" x14ac:dyDescent="0.3">
      <c r="A128" s="1"/>
      <c r="B128" s="1"/>
      <c r="C128" s="1"/>
    </row>
    <row r="129" spans="1:3" ht="18.75" customHeight="1" x14ac:dyDescent="0.3">
      <c r="A129" s="1"/>
      <c r="B129" s="1"/>
      <c r="C129" s="1"/>
    </row>
    <row r="130" spans="1:3" ht="18.75" customHeight="1" x14ac:dyDescent="0.3">
      <c r="A130" s="1"/>
      <c r="B130" s="1"/>
      <c r="C130" s="1"/>
    </row>
    <row r="131" spans="1:3" ht="18.75" customHeight="1" x14ac:dyDescent="0.3">
      <c r="A131" s="1"/>
      <c r="B131" s="1"/>
      <c r="C131" s="1"/>
    </row>
    <row r="132" spans="1:3" ht="18.75" customHeight="1" x14ac:dyDescent="0.3">
      <c r="A132" s="1"/>
      <c r="B132" s="1"/>
      <c r="C132" s="1"/>
    </row>
    <row r="133" spans="1:3" ht="18.75" customHeight="1" x14ac:dyDescent="0.3">
      <c r="A133" s="1"/>
      <c r="B133" s="1"/>
      <c r="C133" s="1"/>
    </row>
    <row r="134" spans="1:3" ht="18.75" customHeight="1" x14ac:dyDescent="0.3">
      <c r="A134" s="1"/>
      <c r="B134" s="1"/>
      <c r="C134" s="1"/>
    </row>
    <row r="135" spans="1:3" ht="18.75" customHeight="1" x14ac:dyDescent="0.3">
      <c r="A135" s="1"/>
      <c r="B135" s="1"/>
      <c r="C135" s="1"/>
    </row>
    <row r="136" spans="1:3" ht="18.75" customHeight="1" x14ac:dyDescent="0.3">
      <c r="A136" s="1"/>
      <c r="B136" s="1"/>
      <c r="C136" s="1"/>
    </row>
    <row r="137" spans="1:3" ht="18.75" customHeight="1" x14ac:dyDescent="0.3">
      <c r="A137" s="1"/>
      <c r="B137" s="1"/>
      <c r="C137" s="1"/>
    </row>
    <row r="138" spans="1:3" ht="18.75" customHeight="1" x14ac:dyDescent="0.3">
      <c r="A138" s="1"/>
      <c r="B138" s="1"/>
      <c r="C138" s="1"/>
    </row>
    <row r="139" spans="1:3" ht="18.75" customHeight="1" x14ac:dyDescent="0.3">
      <c r="A139" s="1"/>
      <c r="B139" s="1"/>
      <c r="C139" s="1"/>
    </row>
    <row r="140" spans="1:3" ht="18.75" customHeight="1" x14ac:dyDescent="0.3">
      <c r="A140" s="1"/>
      <c r="B140" s="1"/>
      <c r="C140" s="1"/>
    </row>
    <row r="141" spans="1:3" ht="18.75" customHeight="1" x14ac:dyDescent="0.3">
      <c r="A141" s="1"/>
      <c r="B141" s="1"/>
      <c r="C141" s="1"/>
    </row>
  </sheetData>
  <pageMargins left="0.25" right="0.2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7722-6F42-46EC-ACA3-95501CCE6F5A}">
  <sheetPr>
    <tabColor theme="8" tint="0.39997558519241921"/>
  </sheetPr>
  <dimension ref="A1:AK142"/>
  <sheetViews>
    <sheetView zoomScaleNormal="100" zoomScalePageLayoutView="150" workbookViewId="0">
      <pane ySplit="1" topLeftCell="A32" activePane="bottomLeft" state="frozen"/>
      <selection pane="bottomLeft" activeCell="H67" sqref="H67"/>
    </sheetView>
  </sheetViews>
  <sheetFormatPr defaultColWidth="9.1796875" defaultRowHeight="12.5" x14ac:dyDescent="0.25"/>
  <cols>
    <col min="1" max="1" width="15.54296875" style="21" customWidth="1"/>
    <col min="2" max="3" width="10.453125" style="1" hidden="1" customWidth="1"/>
    <col min="4" max="4" width="11.54296875" style="1" hidden="1" customWidth="1"/>
    <col min="5" max="6" width="11.81640625" style="1" hidden="1" customWidth="1"/>
    <col min="7" max="7" width="11.54296875" style="1" hidden="1" customWidth="1"/>
    <col min="8" max="8" width="12.81640625" style="1" customWidth="1"/>
    <col min="9" max="9" width="15.1796875" style="1" customWidth="1"/>
    <col min="10" max="10" width="13.26953125" style="1" customWidth="1"/>
    <col min="11" max="11" width="13" style="1" bestFit="1" customWidth="1"/>
    <col min="12" max="12" width="14.453125" style="1" hidden="1" customWidth="1"/>
    <col min="13" max="13" width="12.54296875" style="1" hidden="1" customWidth="1"/>
    <col min="14" max="17" width="12.453125" style="1" hidden="1" customWidth="1"/>
    <col min="18" max="18" width="12.54296875" style="1" bestFit="1" customWidth="1"/>
    <col min="19" max="19" width="13.453125" style="1" hidden="1" customWidth="1"/>
    <col min="20" max="35" width="12.54296875" style="1" customWidth="1"/>
    <col min="36" max="16384" width="9.1796875" style="1"/>
  </cols>
  <sheetData>
    <row r="1" spans="1:35" ht="64" customHeight="1" thickBot="1" x14ac:dyDescent="0.35">
      <c r="A1" s="101" t="s">
        <v>141</v>
      </c>
      <c r="B1" s="102" t="s">
        <v>9</v>
      </c>
      <c r="C1" s="102" t="s">
        <v>74</v>
      </c>
      <c r="D1" s="102" t="s">
        <v>75</v>
      </c>
      <c r="E1" s="102" t="s">
        <v>76</v>
      </c>
      <c r="F1" s="102" t="s">
        <v>77</v>
      </c>
      <c r="G1" s="103" t="s">
        <v>1</v>
      </c>
      <c r="H1" s="104" t="s">
        <v>149</v>
      </c>
      <c r="I1" s="104" t="s">
        <v>97</v>
      </c>
      <c r="J1" s="105" t="s">
        <v>144</v>
      </c>
      <c r="K1" s="105" t="s">
        <v>63</v>
      </c>
      <c r="L1" s="106" t="s">
        <v>15</v>
      </c>
      <c r="M1" s="106" t="s">
        <v>16</v>
      </c>
      <c r="N1" s="106" t="s">
        <v>17</v>
      </c>
      <c r="O1" s="107" t="s">
        <v>18</v>
      </c>
      <c r="P1" s="107" t="s">
        <v>19</v>
      </c>
      <c r="Q1" s="107" t="s">
        <v>20</v>
      </c>
      <c r="R1" s="108" t="s">
        <v>42</v>
      </c>
      <c r="S1" s="108" t="s">
        <v>21</v>
      </c>
      <c r="T1" s="108" t="s">
        <v>22</v>
      </c>
      <c r="U1" s="120" t="s">
        <v>80</v>
      </c>
      <c r="V1" s="121" t="s">
        <v>106</v>
      </c>
      <c r="W1" s="121" t="s">
        <v>81</v>
      </c>
      <c r="X1" s="121" t="s">
        <v>105</v>
      </c>
      <c r="Y1" s="121" t="s">
        <v>84</v>
      </c>
      <c r="Z1" s="121" t="s">
        <v>104</v>
      </c>
      <c r="AA1" s="121" t="s">
        <v>85</v>
      </c>
      <c r="AB1" s="121" t="s">
        <v>86</v>
      </c>
      <c r="AC1" s="121" t="s">
        <v>82</v>
      </c>
      <c r="AD1" s="121" t="s">
        <v>118</v>
      </c>
      <c r="AE1" s="121" t="s">
        <v>103</v>
      </c>
      <c r="AF1" s="121" t="s">
        <v>160</v>
      </c>
      <c r="AG1" s="121" t="s">
        <v>83</v>
      </c>
      <c r="AH1" s="121" t="s">
        <v>87</v>
      </c>
      <c r="AI1" s="122" t="s">
        <v>89</v>
      </c>
    </row>
    <row r="2" spans="1:35" ht="28.75" customHeight="1" x14ac:dyDescent="0.25">
      <c r="A2" s="73">
        <v>43834</v>
      </c>
      <c r="B2" s="75"/>
      <c r="C2" s="75"/>
      <c r="D2" s="75"/>
      <c r="E2" s="75"/>
      <c r="F2" s="75"/>
      <c r="G2" s="100">
        <f>SUM(C2:F2)</f>
        <v>0</v>
      </c>
      <c r="H2" s="76"/>
      <c r="I2" s="76">
        <v>0.62</v>
      </c>
      <c r="J2" s="198"/>
      <c r="K2" s="198"/>
      <c r="L2" s="176">
        <f t="shared" ref="L2:L18" si="0">SUM(K2:K2)/SUM(H2:I2)</f>
        <v>0</v>
      </c>
      <c r="M2" s="176">
        <f t="shared" ref="M2:M20" si="1">($B$68*I2+$B$69*H2)/SUM(H2:I2)</f>
        <v>399</v>
      </c>
      <c r="N2" s="176">
        <f t="shared" ref="N2:N65" si="2">L2+M2</f>
        <v>399</v>
      </c>
      <c r="O2" s="79"/>
      <c r="P2" s="80"/>
      <c r="Q2" s="80"/>
      <c r="R2" s="81"/>
      <c r="S2" s="81"/>
      <c r="T2" s="109"/>
      <c r="U2" s="184"/>
      <c r="V2" s="161"/>
      <c r="W2" s="117"/>
      <c r="X2" s="183"/>
      <c r="Y2" s="118"/>
      <c r="Z2" s="183"/>
      <c r="AA2" s="118"/>
      <c r="AB2" s="183"/>
      <c r="AC2" s="119"/>
      <c r="AD2" s="183"/>
      <c r="AE2" s="161"/>
      <c r="AF2" s="161"/>
      <c r="AG2" s="117">
        <f>AE2+AF2</f>
        <v>0</v>
      </c>
      <c r="AH2" s="117">
        <f>U2+W2+AC2</f>
        <v>0</v>
      </c>
      <c r="AI2" s="151">
        <f>V2+X2+Z2+AB2+AG2</f>
        <v>0</v>
      </c>
    </row>
    <row r="3" spans="1:35" s="17" customFormat="1" ht="28.75" customHeight="1" x14ac:dyDescent="0.3">
      <c r="A3" s="19">
        <f>A2+7</f>
        <v>43841</v>
      </c>
      <c r="B3" s="5"/>
      <c r="C3" s="5"/>
      <c r="D3" s="5"/>
      <c r="E3" s="5"/>
      <c r="F3" s="5"/>
      <c r="G3" s="98">
        <f>SUM(C3:F3)</f>
        <v>0</v>
      </c>
      <c r="H3" s="6"/>
      <c r="I3" s="6">
        <v>0.5</v>
      </c>
      <c r="J3" s="34"/>
      <c r="K3" s="34"/>
      <c r="L3" s="35">
        <f t="shared" si="0"/>
        <v>0</v>
      </c>
      <c r="M3" s="35">
        <f t="shared" si="1"/>
        <v>399</v>
      </c>
      <c r="N3" s="35">
        <f t="shared" si="2"/>
        <v>399</v>
      </c>
      <c r="O3" s="36"/>
      <c r="P3" s="37"/>
      <c r="Q3" s="37"/>
      <c r="R3" s="38"/>
      <c r="S3" s="38"/>
      <c r="T3" s="110"/>
      <c r="U3" s="124"/>
      <c r="V3" s="163"/>
      <c r="W3" s="115"/>
      <c r="X3" s="163"/>
      <c r="Y3" s="115"/>
      <c r="Z3" s="163"/>
      <c r="AA3" s="115"/>
      <c r="AB3" s="163"/>
      <c r="AC3" s="115"/>
      <c r="AD3" s="163"/>
      <c r="AE3" s="162"/>
      <c r="AF3" s="163"/>
      <c r="AG3" s="117">
        <f t="shared" ref="AG3:AG64" si="3">AE3+AF3</f>
        <v>0</v>
      </c>
      <c r="AH3" s="117">
        <f t="shared" ref="AH3:AH66" si="4">U3+W3+AC3</f>
        <v>0</v>
      </c>
      <c r="AI3" s="151">
        <f t="shared" ref="AI3:AI66" si="5">V3+X3+Z3+AB3+AG3</f>
        <v>0</v>
      </c>
    </row>
    <row r="4" spans="1:35" ht="28.75" customHeight="1" x14ac:dyDescent="0.25">
      <c r="A4" s="19">
        <f>A3+7</f>
        <v>43848</v>
      </c>
      <c r="B4" s="5"/>
      <c r="C4" s="5"/>
      <c r="D4" s="5"/>
      <c r="E4" s="5"/>
      <c r="F4" s="5"/>
      <c r="G4" s="98">
        <f>SUM(C4:F4)</f>
        <v>0</v>
      </c>
      <c r="H4" s="6"/>
      <c r="I4" s="6"/>
      <c r="J4" s="34"/>
      <c r="K4" s="34"/>
      <c r="L4" s="35" t="e">
        <f t="shared" si="0"/>
        <v>#DIV/0!</v>
      </c>
      <c r="M4" s="35" t="e">
        <f t="shared" si="1"/>
        <v>#DIV/0!</v>
      </c>
      <c r="N4" s="35" t="e">
        <f t="shared" si="2"/>
        <v>#DIV/0!</v>
      </c>
      <c r="O4" s="36"/>
      <c r="P4" s="37"/>
      <c r="Q4" s="37"/>
      <c r="R4" s="38"/>
      <c r="S4" s="38"/>
      <c r="T4" s="110"/>
      <c r="U4" s="125"/>
      <c r="V4" s="162"/>
      <c r="W4" s="114"/>
      <c r="X4" s="162"/>
      <c r="Y4" s="114"/>
      <c r="Z4" s="162"/>
      <c r="AA4" s="114"/>
      <c r="AB4" s="162"/>
      <c r="AC4" s="114"/>
      <c r="AD4" s="162"/>
      <c r="AE4" s="162"/>
      <c r="AF4" s="162"/>
      <c r="AG4" s="117">
        <f t="shared" si="3"/>
        <v>0</v>
      </c>
      <c r="AH4" s="117">
        <f t="shared" si="4"/>
        <v>0</v>
      </c>
      <c r="AI4" s="151">
        <f t="shared" si="5"/>
        <v>0</v>
      </c>
    </row>
    <row r="5" spans="1:35" ht="28.75" customHeight="1" x14ac:dyDescent="0.25">
      <c r="A5" s="19">
        <f>A4+7</f>
        <v>43855</v>
      </c>
      <c r="B5" s="5"/>
      <c r="C5" s="5"/>
      <c r="D5" s="5"/>
      <c r="E5" s="5"/>
      <c r="F5" s="5"/>
      <c r="G5" s="98">
        <f>SUM(C5:F5)</f>
        <v>0</v>
      </c>
      <c r="H5" s="6"/>
      <c r="I5" s="6">
        <v>0.38</v>
      </c>
      <c r="J5" s="34">
        <v>645.1</v>
      </c>
      <c r="K5" s="34"/>
      <c r="L5" s="35">
        <f t="shared" si="0"/>
        <v>0</v>
      </c>
      <c r="M5" s="35">
        <f t="shared" si="1"/>
        <v>399</v>
      </c>
      <c r="N5" s="35">
        <f t="shared" si="2"/>
        <v>399</v>
      </c>
      <c r="O5" s="36"/>
      <c r="P5" s="37"/>
      <c r="Q5" s="37"/>
      <c r="R5" s="38"/>
      <c r="S5" s="38"/>
      <c r="T5" s="110"/>
      <c r="U5" s="125"/>
      <c r="V5" s="162"/>
      <c r="W5" s="114"/>
      <c r="X5" s="162"/>
      <c r="Y5" s="114"/>
      <c r="Z5" s="162"/>
      <c r="AA5" s="114"/>
      <c r="AB5" s="162"/>
      <c r="AC5" s="114"/>
      <c r="AD5" s="162"/>
      <c r="AE5" s="162"/>
      <c r="AF5" s="162"/>
      <c r="AG5" s="117">
        <f t="shared" si="3"/>
        <v>0</v>
      </c>
      <c r="AH5" s="117">
        <f t="shared" si="4"/>
        <v>0</v>
      </c>
      <c r="AI5" s="151">
        <f t="shared" si="5"/>
        <v>0</v>
      </c>
    </row>
    <row r="6" spans="1:35" ht="28.75" customHeight="1" x14ac:dyDescent="0.3">
      <c r="A6" s="27" t="s">
        <v>54</v>
      </c>
      <c r="B6" s="28">
        <f t="shared" ref="B6:G6" si="6">SUBTOTAL(109,B2:B5)</f>
        <v>0</v>
      </c>
      <c r="C6" s="28">
        <f t="shared" si="6"/>
        <v>0</v>
      </c>
      <c r="D6" s="28">
        <f t="shared" si="6"/>
        <v>0</v>
      </c>
      <c r="E6" s="28">
        <f t="shared" si="6"/>
        <v>0</v>
      </c>
      <c r="F6" s="28">
        <f t="shared" si="6"/>
        <v>0</v>
      </c>
      <c r="G6" s="28">
        <f t="shared" si="6"/>
        <v>0</v>
      </c>
      <c r="H6" s="28">
        <v>3.68</v>
      </c>
      <c r="I6" s="28">
        <f>SUBTOTAL(109,I2:I5)</f>
        <v>1.5</v>
      </c>
      <c r="J6" s="28">
        <f>SUBTOTAL(109,J2:J5)</f>
        <v>645.1</v>
      </c>
      <c r="K6" s="28">
        <f>SUBTOTAL(109,K2:K5)</f>
        <v>0</v>
      </c>
      <c r="L6" s="39">
        <f t="shared" si="0"/>
        <v>0</v>
      </c>
      <c r="M6" s="39">
        <f t="shared" si="1"/>
        <v>204.34362934362935</v>
      </c>
      <c r="N6" s="39">
        <f t="shared" si="2"/>
        <v>204.34362934362935</v>
      </c>
      <c r="O6" s="39">
        <f>J6/H6</f>
        <v>175.29891304347825</v>
      </c>
      <c r="P6" s="40">
        <f>$B$69</f>
        <v>125</v>
      </c>
      <c r="Q6" s="40">
        <f>O6+P6</f>
        <v>300.29891304347825</v>
      </c>
      <c r="R6" s="40">
        <f>K6/I6</f>
        <v>0</v>
      </c>
      <c r="S6" s="40">
        <f>$B$68</f>
        <v>399</v>
      </c>
      <c r="T6" s="111">
        <f>R6+S6</f>
        <v>399</v>
      </c>
      <c r="U6" s="185">
        <f>SUBTOTAL(109,U2:U5)</f>
        <v>0</v>
      </c>
      <c r="V6" s="185">
        <f t="shared" ref="V6:AF6" si="7">SUBTOTAL(109,V2:V5)</f>
        <v>0</v>
      </c>
      <c r="W6" s="185">
        <f t="shared" si="7"/>
        <v>0</v>
      </c>
      <c r="X6" s="185">
        <f t="shared" si="7"/>
        <v>0</v>
      </c>
      <c r="Y6" s="185">
        <f t="shared" si="7"/>
        <v>0</v>
      </c>
      <c r="Z6" s="185">
        <f t="shared" si="7"/>
        <v>0</v>
      </c>
      <c r="AA6" s="185">
        <f t="shared" si="7"/>
        <v>0</v>
      </c>
      <c r="AB6" s="185">
        <f t="shared" si="7"/>
        <v>0</v>
      </c>
      <c r="AC6" s="185">
        <f t="shared" si="7"/>
        <v>0</v>
      </c>
      <c r="AD6" s="185">
        <f t="shared" si="7"/>
        <v>0</v>
      </c>
      <c r="AE6" s="185">
        <f t="shared" si="7"/>
        <v>0</v>
      </c>
      <c r="AF6" s="185">
        <f t="shared" si="7"/>
        <v>0</v>
      </c>
      <c r="AG6" s="123">
        <f>AD6+AE6+AF6</f>
        <v>0</v>
      </c>
      <c r="AH6" s="123">
        <f t="shared" si="4"/>
        <v>0</v>
      </c>
      <c r="AI6" s="152">
        <f t="shared" si="5"/>
        <v>0</v>
      </c>
    </row>
    <row r="7" spans="1:35" ht="28.75" customHeight="1" x14ac:dyDescent="0.25">
      <c r="A7" s="19">
        <f>A5+7</f>
        <v>43862</v>
      </c>
      <c r="B7" s="5"/>
      <c r="C7" s="5"/>
      <c r="D7" s="5"/>
      <c r="E7" s="5"/>
      <c r="F7" s="5"/>
      <c r="G7" s="98">
        <f>SUM(C7:F7)</f>
        <v>0</v>
      </c>
      <c r="H7" s="6"/>
      <c r="I7" s="6">
        <v>0.27</v>
      </c>
      <c r="J7" s="34"/>
      <c r="K7" s="34"/>
      <c r="L7" s="35">
        <f t="shared" si="0"/>
        <v>0</v>
      </c>
      <c r="M7" s="35">
        <f t="shared" si="1"/>
        <v>399</v>
      </c>
      <c r="N7" s="35">
        <f t="shared" si="2"/>
        <v>399</v>
      </c>
      <c r="O7" s="36"/>
      <c r="P7" s="37"/>
      <c r="Q7" s="37"/>
      <c r="R7" s="38"/>
      <c r="S7" s="38"/>
      <c r="T7" s="110"/>
      <c r="U7" s="125"/>
      <c r="V7" s="162"/>
      <c r="W7" s="114"/>
      <c r="X7" s="162"/>
      <c r="Y7" s="114"/>
      <c r="Z7" s="162"/>
      <c r="AA7" s="114"/>
      <c r="AB7" s="162"/>
      <c r="AC7" s="114"/>
      <c r="AD7" s="162"/>
      <c r="AE7" s="162"/>
      <c r="AF7" s="162"/>
      <c r="AG7" s="117">
        <f t="shared" si="3"/>
        <v>0</v>
      </c>
      <c r="AH7" s="117">
        <f t="shared" si="4"/>
        <v>0</v>
      </c>
      <c r="AI7" s="151">
        <f t="shared" si="5"/>
        <v>0</v>
      </c>
    </row>
    <row r="8" spans="1:35" s="17" customFormat="1" ht="28.75" customHeight="1" x14ac:dyDescent="0.3">
      <c r="A8" s="19">
        <f>A7+7</f>
        <v>43869</v>
      </c>
      <c r="B8" s="5"/>
      <c r="C8" s="5"/>
      <c r="D8" s="5"/>
      <c r="E8" s="5"/>
      <c r="F8" s="5"/>
      <c r="G8" s="98">
        <f>SUM(C8:F8)</f>
        <v>0</v>
      </c>
      <c r="H8" s="6"/>
      <c r="I8" s="6">
        <v>0.17</v>
      </c>
      <c r="J8" s="34"/>
      <c r="K8" s="34">
        <v>206.85</v>
      </c>
      <c r="L8" s="35">
        <f t="shared" si="0"/>
        <v>1216.7647058823529</v>
      </c>
      <c r="M8" s="35">
        <f t="shared" si="1"/>
        <v>398.99999999999994</v>
      </c>
      <c r="N8" s="35">
        <f t="shared" si="2"/>
        <v>1615.7647058823529</v>
      </c>
      <c r="O8" s="36"/>
      <c r="P8" s="37"/>
      <c r="Q8" s="37"/>
      <c r="R8" s="38"/>
      <c r="S8" s="38"/>
      <c r="T8" s="110"/>
      <c r="U8" s="127"/>
      <c r="V8" s="163"/>
      <c r="W8" s="115"/>
      <c r="X8" s="162"/>
      <c r="Y8" s="114"/>
      <c r="Z8" s="162"/>
      <c r="AA8" s="114"/>
      <c r="AB8" s="162"/>
      <c r="AC8" s="115"/>
      <c r="AD8" s="163"/>
      <c r="AE8" s="163"/>
      <c r="AF8" s="163"/>
      <c r="AG8" s="117">
        <f t="shared" si="3"/>
        <v>0</v>
      </c>
      <c r="AH8" s="117">
        <f t="shared" si="4"/>
        <v>0</v>
      </c>
      <c r="AI8" s="151">
        <f t="shared" si="5"/>
        <v>0</v>
      </c>
    </row>
    <row r="9" spans="1:35" ht="28.75" customHeight="1" x14ac:dyDescent="0.3">
      <c r="A9" s="19">
        <f>A8+7</f>
        <v>43876</v>
      </c>
      <c r="B9" s="5"/>
      <c r="C9" s="5"/>
      <c r="D9" s="5"/>
      <c r="E9" s="5"/>
      <c r="F9" s="5"/>
      <c r="G9" s="98">
        <f>SUM(C9:F9)</f>
        <v>0</v>
      </c>
      <c r="H9" s="6"/>
      <c r="I9" s="6"/>
      <c r="J9" s="34"/>
      <c r="K9" s="34"/>
      <c r="L9" s="35" t="e">
        <f t="shared" si="0"/>
        <v>#DIV/0!</v>
      </c>
      <c r="M9" s="35" t="e">
        <f t="shared" si="1"/>
        <v>#DIV/0!</v>
      </c>
      <c r="N9" s="35" t="e">
        <f t="shared" si="2"/>
        <v>#DIV/0!</v>
      </c>
      <c r="O9" s="36"/>
      <c r="P9" s="37"/>
      <c r="Q9" s="37"/>
      <c r="R9" s="38"/>
      <c r="S9" s="38"/>
      <c r="T9" s="110"/>
      <c r="U9" s="125"/>
      <c r="V9" s="162"/>
      <c r="W9" s="114"/>
      <c r="X9" s="163"/>
      <c r="Y9" s="115"/>
      <c r="Z9" s="163"/>
      <c r="AA9" s="115"/>
      <c r="AB9" s="163"/>
      <c r="AC9" s="114">
        <v>4.9000000000000004</v>
      </c>
      <c r="AD9" s="162"/>
      <c r="AE9" s="162"/>
      <c r="AF9" s="162">
        <v>-49.1</v>
      </c>
      <c r="AG9" s="117">
        <f t="shared" si="3"/>
        <v>-49.1</v>
      </c>
      <c r="AH9" s="117">
        <f t="shared" si="4"/>
        <v>4.9000000000000004</v>
      </c>
      <c r="AI9" s="151">
        <f t="shared" si="5"/>
        <v>-49.1</v>
      </c>
    </row>
    <row r="10" spans="1:35" ht="28.75" customHeight="1" x14ac:dyDescent="0.25">
      <c r="A10" s="19">
        <f>A9+7</f>
        <v>43883</v>
      </c>
      <c r="B10" s="5"/>
      <c r="C10" s="5"/>
      <c r="D10" s="5"/>
      <c r="E10" s="5"/>
      <c r="F10" s="5"/>
      <c r="G10" s="98">
        <f>SUM(C10:F10)</f>
        <v>0</v>
      </c>
      <c r="H10" s="6"/>
      <c r="I10" s="6">
        <f>0.18+0.93</f>
        <v>1.1100000000000001</v>
      </c>
      <c r="J10" s="34">
        <v>645.1</v>
      </c>
      <c r="K10" s="34"/>
      <c r="L10" s="35">
        <f t="shared" si="0"/>
        <v>0</v>
      </c>
      <c r="M10" s="35">
        <f t="shared" si="1"/>
        <v>399</v>
      </c>
      <c r="N10" s="35">
        <f t="shared" si="2"/>
        <v>399</v>
      </c>
      <c r="O10" s="36"/>
      <c r="P10" s="37"/>
      <c r="Q10" s="37"/>
      <c r="R10" s="38"/>
      <c r="S10" s="38"/>
      <c r="T10" s="110"/>
      <c r="U10" s="125"/>
      <c r="V10" s="162"/>
      <c r="W10" s="114"/>
      <c r="X10" s="162"/>
      <c r="Y10" s="114"/>
      <c r="Z10" s="162"/>
      <c r="AA10" s="114"/>
      <c r="AB10" s="162"/>
      <c r="AC10" s="114"/>
      <c r="AD10" s="162"/>
      <c r="AE10" s="162"/>
      <c r="AF10" s="162"/>
      <c r="AG10" s="117">
        <f t="shared" si="3"/>
        <v>0</v>
      </c>
      <c r="AH10" s="117">
        <f t="shared" si="4"/>
        <v>0</v>
      </c>
      <c r="AI10" s="151">
        <f t="shared" si="5"/>
        <v>0</v>
      </c>
    </row>
    <row r="11" spans="1:35" ht="28.75" customHeight="1" x14ac:dyDescent="0.3">
      <c r="A11" s="27" t="s">
        <v>55</v>
      </c>
      <c r="B11" s="28">
        <f t="shared" ref="B11:K11" si="8">SUBTOTAL(109,B7:B10)</f>
        <v>0</v>
      </c>
      <c r="C11" s="28">
        <f t="shared" si="8"/>
        <v>0</v>
      </c>
      <c r="D11" s="28">
        <f t="shared" si="8"/>
        <v>0</v>
      </c>
      <c r="E11" s="28">
        <f t="shared" si="8"/>
        <v>0</v>
      </c>
      <c r="F11" s="28">
        <f t="shared" si="8"/>
        <v>0</v>
      </c>
      <c r="G11" s="28">
        <f t="shared" si="8"/>
        <v>0</v>
      </c>
      <c r="H11" s="28">
        <v>3.68</v>
      </c>
      <c r="I11" s="28">
        <f t="shared" si="8"/>
        <v>1.5500000000000003</v>
      </c>
      <c r="J11" s="28">
        <f t="shared" si="8"/>
        <v>645.1</v>
      </c>
      <c r="K11" s="28">
        <f t="shared" si="8"/>
        <v>206.85</v>
      </c>
      <c r="L11" s="39">
        <f>SUM(K11:K11)/SUM(H11:I11)</f>
        <v>39.550669216061181</v>
      </c>
      <c r="M11" s="39">
        <f t="shared" si="1"/>
        <v>206.20458891013388</v>
      </c>
      <c r="N11" s="39">
        <f>L11+M11</f>
        <v>245.75525812619506</v>
      </c>
      <c r="O11" s="39">
        <f>J11/H11</f>
        <v>175.29891304347825</v>
      </c>
      <c r="P11" s="40">
        <f>$B$69</f>
        <v>125</v>
      </c>
      <c r="Q11" s="40">
        <f>O11+P11</f>
        <v>300.29891304347825</v>
      </c>
      <c r="R11" s="40">
        <f>K11/I11</f>
        <v>133.45161290322579</v>
      </c>
      <c r="S11" s="40">
        <f>$B$68</f>
        <v>399</v>
      </c>
      <c r="T11" s="111">
        <f>R11+S11</f>
        <v>532.45161290322585</v>
      </c>
      <c r="U11" s="185">
        <f t="shared" ref="U11:AF11" si="9">SUBTOTAL(109,U7:U10)</f>
        <v>0</v>
      </c>
      <c r="V11" s="185">
        <f t="shared" si="9"/>
        <v>0</v>
      </c>
      <c r="W11" s="185">
        <f t="shared" si="9"/>
        <v>0</v>
      </c>
      <c r="X11" s="185">
        <f t="shared" si="9"/>
        <v>0</v>
      </c>
      <c r="Y11" s="185">
        <f t="shared" si="9"/>
        <v>0</v>
      </c>
      <c r="Z11" s="185">
        <f t="shared" si="9"/>
        <v>0</v>
      </c>
      <c r="AA11" s="185">
        <f t="shared" si="9"/>
        <v>0</v>
      </c>
      <c r="AB11" s="185">
        <f t="shared" si="9"/>
        <v>0</v>
      </c>
      <c r="AC11" s="185">
        <f t="shared" si="9"/>
        <v>4.9000000000000004</v>
      </c>
      <c r="AD11" s="185">
        <f t="shared" si="9"/>
        <v>0</v>
      </c>
      <c r="AE11" s="185">
        <f t="shared" si="9"/>
        <v>0</v>
      </c>
      <c r="AF11" s="185">
        <f t="shared" si="9"/>
        <v>-49.1</v>
      </c>
      <c r="AG11" s="123">
        <f>AD11+AE11+AF11</f>
        <v>-49.1</v>
      </c>
      <c r="AH11" s="123">
        <f t="shared" si="4"/>
        <v>4.9000000000000004</v>
      </c>
      <c r="AI11" s="152">
        <f t="shared" si="5"/>
        <v>-49.1</v>
      </c>
    </row>
    <row r="12" spans="1:35" ht="28.75" customHeight="1" x14ac:dyDescent="0.25">
      <c r="A12" s="19">
        <f>A10+7</f>
        <v>43890</v>
      </c>
      <c r="B12" s="5"/>
      <c r="C12" s="5"/>
      <c r="D12" s="5"/>
      <c r="E12" s="5"/>
      <c r="F12" s="5"/>
      <c r="G12" s="98">
        <f>SUM(C12:F12)</f>
        <v>0</v>
      </c>
      <c r="H12" s="6"/>
      <c r="I12" s="6">
        <v>0.18</v>
      </c>
      <c r="J12" s="34"/>
      <c r="K12" s="34">
        <v>269.75</v>
      </c>
      <c r="L12" s="35">
        <f>SUM(K12:K12)/SUM(H12:I12)</f>
        <v>1498.6111111111111</v>
      </c>
      <c r="M12" s="35">
        <f t="shared" si="1"/>
        <v>399</v>
      </c>
      <c r="N12" s="35">
        <f>L12+M12</f>
        <v>1897.6111111111111</v>
      </c>
      <c r="O12" s="36"/>
      <c r="P12" s="37"/>
      <c r="Q12" s="37"/>
      <c r="R12" s="38"/>
      <c r="S12" s="38"/>
      <c r="T12" s="110"/>
      <c r="U12" s="125"/>
      <c r="V12" s="162"/>
      <c r="W12" s="114"/>
      <c r="X12" s="162"/>
      <c r="Y12" s="114"/>
      <c r="Z12" s="162"/>
      <c r="AA12" s="114"/>
      <c r="AB12" s="162"/>
      <c r="AC12" s="114"/>
      <c r="AD12" s="162"/>
      <c r="AE12" s="162"/>
      <c r="AF12" s="162"/>
      <c r="AG12" s="117">
        <f t="shared" si="3"/>
        <v>0</v>
      </c>
      <c r="AH12" s="117">
        <f t="shared" si="4"/>
        <v>0</v>
      </c>
      <c r="AI12" s="151">
        <f t="shared" si="5"/>
        <v>0</v>
      </c>
    </row>
    <row r="13" spans="1:35" s="17" customFormat="1" ht="28.75" customHeight="1" x14ac:dyDescent="0.3">
      <c r="A13" s="19">
        <f>A12+7</f>
        <v>43897</v>
      </c>
      <c r="B13" s="5"/>
      <c r="C13" s="5"/>
      <c r="D13" s="5"/>
      <c r="E13" s="5"/>
      <c r="F13" s="5"/>
      <c r="G13" s="98">
        <f>SUM(C13:F13)</f>
        <v>0</v>
      </c>
      <c r="H13" s="6"/>
      <c r="I13" s="6">
        <v>0.28000000000000003</v>
      </c>
      <c r="J13" s="34"/>
      <c r="K13" s="34"/>
      <c r="L13" s="35">
        <f t="shared" si="0"/>
        <v>0</v>
      </c>
      <c r="M13" s="35">
        <f t="shared" si="1"/>
        <v>399</v>
      </c>
      <c r="N13" s="35">
        <f t="shared" si="2"/>
        <v>399</v>
      </c>
      <c r="O13" s="36"/>
      <c r="P13" s="37"/>
      <c r="Q13" s="37"/>
      <c r="R13" s="38"/>
      <c r="S13" s="38"/>
      <c r="T13" s="110"/>
      <c r="U13" s="124"/>
      <c r="V13" s="163"/>
      <c r="W13" s="115"/>
      <c r="X13" s="162"/>
      <c r="Y13" s="114"/>
      <c r="Z13" s="162"/>
      <c r="AA13" s="114"/>
      <c r="AB13" s="162"/>
      <c r="AC13" s="115"/>
      <c r="AD13" s="163"/>
      <c r="AE13" s="163"/>
      <c r="AF13" s="163"/>
      <c r="AG13" s="117">
        <f t="shared" si="3"/>
        <v>0</v>
      </c>
      <c r="AH13" s="117">
        <f t="shared" si="4"/>
        <v>0</v>
      </c>
      <c r="AI13" s="151">
        <f t="shared" si="5"/>
        <v>0</v>
      </c>
    </row>
    <row r="14" spans="1:35" ht="28.75" customHeight="1" x14ac:dyDescent="0.3">
      <c r="A14" s="19">
        <f>A13+7</f>
        <v>43904</v>
      </c>
      <c r="B14" s="5"/>
      <c r="C14" s="5"/>
      <c r="D14" s="5"/>
      <c r="E14" s="5"/>
      <c r="F14" s="5"/>
      <c r="G14" s="98">
        <f>SUM(C14:F14)</f>
        <v>0</v>
      </c>
      <c r="H14" s="6"/>
      <c r="I14" s="6">
        <v>0.12</v>
      </c>
      <c r="J14" s="34"/>
      <c r="K14" s="34">
        <v>269.75</v>
      </c>
      <c r="L14" s="35">
        <f t="shared" si="0"/>
        <v>2247.916666666667</v>
      </c>
      <c r="M14" s="35">
        <f t="shared" si="1"/>
        <v>399</v>
      </c>
      <c r="N14" s="35">
        <f t="shared" si="2"/>
        <v>2646.916666666667</v>
      </c>
      <c r="O14" s="36"/>
      <c r="P14" s="37"/>
      <c r="Q14" s="37"/>
      <c r="R14" s="38"/>
      <c r="S14" s="38"/>
      <c r="T14" s="110"/>
      <c r="U14" s="125"/>
      <c r="V14" s="162"/>
      <c r="W14" s="114"/>
      <c r="X14" s="163"/>
      <c r="Y14" s="115"/>
      <c r="Z14" s="163"/>
      <c r="AA14" s="115"/>
      <c r="AB14" s="163"/>
      <c r="AC14" s="114"/>
      <c r="AD14" s="162"/>
      <c r="AE14" s="162"/>
      <c r="AF14" s="162"/>
      <c r="AG14" s="117">
        <f t="shared" si="3"/>
        <v>0</v>
      </c>
      <c r="AH14" s="117">
        <f t="shared" si="4"/>
        <v>0</v>
      </c>
      <c r="AI14" s="151">
        <f t="shared" si="5"/>
        <v>0</v>
      </c>
    </row>
    <row r="15" spans="1:35" ht="28.75" customHeight="1" x14ac:dyDescent="0.25">
      <c r="A15" s="19">
        <f>A14+7</f>
        <v>43911</v>
      </c>
      <c r="B15" s="5"/>
      <c r="C15" s="5"/>
      <c r="D15" s="5"/>
      <c r="E15" s="5"/>
      <c r="F15" s="5"/>
      <c r="G15" s="98">
        <f>SUM(C15:F15)</f>
        <v>0</v>
      </c>
      <c r="H15" s="6"/>
      <c r="I15" s="6">
        <v>0.31</v>
      </c>
      <c r="J15" s="34"/>
      <c r="K15" s="34">
        <v>323.7</v>
      </c>
      <c r="L15" s="35">
        <f t="shared" si="0"/>
        <v>1044.1935483870968</v>
      </c>
      <c r="M15" s="35">
        <f t="shared" si="1"/>
        <v>399</v>
      </c>
      <c r="N15" s="35">
        <f t="shared" si="2"/>
        <v>1443.1935483870968</v>
      </c>
      <c r="O15" s="36"/>
      <c r="P15" s="37"/>
      <c r="Q15" s="37"/>
      <c r="R15" s="38"/>
      <c r="S15" s="38"/>
      <c r="T15" s="110"/>
      <c r="U15" s="125"/>
      <c r="V15" s="162"/>
      <c r="W15" s="114"/>
      <c r="X15" s="162"/>
      <c r="Y15" s="114"/>
      <c r="Z15" s="162"/>
      <c r="AA15" s="114"/>
      <c r="AB15" s="162"/>
      <c r="AC15" s="114"/>
      <c r="AD15" s="162"/>
      <c r="AE15" s="162"/>
      <c r="AF15" s="162"/>
      <c r="AG15" s="117">
        <f t="shared" si="3"/>
        <v>0</v>
      </c>
      <c r="AH15" s="117">
        <f t="shared" si="4"/>
        <v>0</v>
      </c>
      <c r="AI15" s="151">
        <f t="shared" si="5"/>
        <v>0</v>
      </c>
    </row>
    <row r="16" spans="1:35" ht="28.75" customHeight="1" x14ac:dyDescent="0.25">
      <c r="A16" s="19">
        <f>A15+7</f>
        <v>43918</v>
      </c>
      <c r="B16" s="5"/>
      <c r="C16" s="49"/>
      <c r="D16" s="49"/>
      <c r="E16" s="49"/>
      <c r="F16" s="49"/>
      <c r="G16" s="98">
        <f>SUM(C16:F16)</f>
        <v>0</v>
      </c>
      <c r="H16" s="50"/>
      <c r="I16" s="50">
        <v>0.23</v>
      </c>
      <c r="J16" s="34">
        <v>645.1</v>
      </c>
      <c r="K16" s="34">
        <v>269.75</v>
      </c>
      <c r="L16" s="35">
        <f t="shared" si="0"/>
        <v>1172.8260869565217</v>
      </c>
      <c r="M16" s="35">
        <f t="shared" si="1"/>
        <v>399</v>
      </c>
      <c r="N16" s="35">
        <f t="shared" si="2"/>
        <v>1571.8260869565217</v>
      </c>
      <c r="O16" s="36"/>
      <c r="P16" s="37"/>
      <c r="Q16" s="37"/>
      <c r="R16" s="38"/>
      <c r="S16" s="38"/>
      <c r="T16" s="110"/>
      <c r="U16" s="125"/>
      <c r="V16" s="162"/>
      <c r="W16" s="114"/>
      <c r="X16" s="162"/>
      <c r="Y16" s="114"/>
      <c r="Z16" s="162"/>
      <c r="AA16" s="114"/>
      <c r="AB16" s="162"/>
      <c r="AC16" s="114"/>
      <c r="AD16" s="162"/>
      <c r="AE16" s="162"/>
      <c r="AF16" s="162"/>
      <c r="AG16" s="117">
        <f t="shared" si="3"/>
        <v>0</v>
      </c>
      <c r="AH16" s="117">
        <f t="shared" si="4"/>
        <v>0</v>
      </c>
      <c r="AI16" s="151">
        <f t="shared" si="5"/>
        <v>0</v>
      </c>
    </row>
    <row r="17" spans="1:37" s="17" customFormat="1" ht="28.75" customHeight="1" x14ac:dyDescent="0.3">
      <c r="A17" s="27" t="s">
        <v>56</v>
      </c>
      <c r="B17" s="28">
        <f t="shared" ref="B17:G17" si="10">SUBTOTAL(109,B12:B16)</f>
        <v>0</v>
      </c>
      <c r="C17" s="28">
        <f t="shared" si="10"/>
        <v>0</v>
      </c>
      <c r="D17" s="28">
        <f t="shared" si="10"/>
        <v>0</v>
      </c>
      <c r="E17" s="28">
        <f t="shared" si="10"/>
        <v>0</v>
      </c>
      <c r="F17" s="28">
        <f t="shared" si="10"/>
        <v>0</v>
      </c>
      <c r="G17" s="28">
        <f t="shared" si="10"/>
        <v>0</v>
      </c>
      <c r="H17" s="28">
        <v>4.5999999999999996</v>
      </c>
      <c r="I17" s="28">
        <f>SUBTOTAL(109,I12:I16)</f>
        <v>1.1200000000000001</v>
      </c>
      <c r="J17" s="28">
        <f>SUBTOTAL(109,J12:J16)</f>
        <v>645.1</v>
      </c>
      <c r="K17" s="28">
        <f>SUBTOTAL(109,K12:K16)</f>
        <v>1132.95</v>
      </c>
      <c r="L17" s="39">
        <f t="shared" si="0"/>
        <v>198.06818181818184</v>
      </c>
      <c r="M17" s="39">
        <f t="shared" si="1"/>
        <v>178.65034965034968</v>
      </c>
      <c r="N17" s="39">
        <f t="shared" si="2"/>
        <v>376.71853146853152</v>
      </c>
      <c r="O17" s="39">
        <f>J17/H17</f>
        <v>140.23913043478262</v>
      </c>
      <c r="P17" s="40">
        <f>$B$69</f>
        <v>125</v>
      </c>
      <c r="Q17" s="40">
        <f>O17+P17</f>
        <v>265.23913043478262</v>
      </c>
      <c r="R17" s="40">
        <f>K17/I17</f>
        <v>1011.5625</v>
      </c>
      <c r="S17" s="40">
        <f>$B$68</f>
        <v>399</v>
      </c>
      <c r="T17" s="111">
        <f>R17+S17</f>
        <v>1410.5625</v>
      </c>
      <c r="U17" s="185">
        <f t="shared" ref="U17:AF17" si="11">SUBTOTAL(109,U12:U16)</f>
        <v>0</v>
      </c>
      <c r="V17" s="185">
        <f t="shared" si="11"/>
        <v>0</v>
      </c>
      <c r="W17" s="185">
        <f t="shared" si="11"/>
        <v>0</v>
      </c>
      <c r="X17" s="185">
        <f t="shared" si="11"/>
        <v>0</v>
      </c>
      <c r="Y17" s="185">
        <f t="shared" si="11"/>
        <v>0</v>
      </c>
      <c r="Z17" s="185">
        <f t="shared" si="11"/>
        <v>0</v>
      </c>
      <c r="AA17" s="185">
        <f t="shared" si="11"/>
        <v>0</v>
      </c>
      <c r="AB17" s="185">
        <f t="shared" si="11"/>
        <v>0</v>
      </c>
      <c r="AC17" s="185">
        <f t="shared" si="11"/>
        <v>0</v>
      </c>
      <c r="AD17" s="185">
        <f t="shared" si="11"/>
        <v>0</v>
      </c>
      <c r="AE17" s="185">
        <f t="shared" si="11"/>
        <v>0</v>
      </c>
      <c r="AF17" s="185">
        <f t="shared" si="11"/>
        <v>0</v>
      </c>
      <c r="AG17" s="123">
        <f>AD17+AE17+AF17</f>
        <v>0</v>
      </c>
      <c r="AH17" s="28">
        <f>SUBTOTAL(109,AH12:AH16)</f>
        <v>0</v>
      </c>
      <c r="AI17" s="152">
        <f t="shared" si="5"/>
        <v>0</v>
      </c>
    </row>
    <row r="18" spans="1:37" ht="28.75" customHeight="1" x14ac:dyDescent="0.3">
      <c r="A18" s="19">
        <f>A16+7</f>
        <v>43925</v>
      </c>
      <c r="B18" s="5"/>
      <c r="C18" s="49"/>
      <c r="D18" s="49"/>
      <c r="E18" s="49"/>
      <c r="F18" s="49"/>
      <c r="G18" s="98">
        <f>SUM(C18:F18)</f>
        <v>0</v>
      </c>
      <c r="H18" s="50"/>
      <c r="I18" s="50">
        <v>0.3</v>
      </c>
      <c r="J18" s="34"/>
      <c r="K18" s="199">
        <v>440.55</v>
      </c>
      <c r="L18" s="35">
        <f t="shared" si="0"/>
        <v>1468.5</v>
      </c>
      <c r="M18" s="35">
        <f t="shared" si="1"/>
        <v>399</v>
      </c>
      <c r="N18" s="35">
        <f t="shared" si="2"/>
        <v>1867.5</v>
      </c>
      <c r="O18" s="36"/>
      <c r="P18" s="37"/>
      <c r="Q18" s="37"/>
      <c r="R18" s="38"/>
      <c r="S18" s="38"/>
      <c r="T18" s="110"/>
      <c r="U18" s="125"/>
      <c r="V18" s="162"/>
      <c r="W18" s="114"/>
      <c r="X18" s="163"/>
      <c r="Y18" s="115"/>
      <c r="Z18" s="163"/>
      <c r="AA18" s="115"/>
      <c r="AB18" s="163"/>
      <c r="AC18" s="114"/>
      <c r="AD18" s="162"/>
      <c r="AE18" s="162"/>
      <c r="AF18" s="162"/>
      <c r="AG18" s="117">
        <f t="shared" si="3"/>
        <v>0</v>
      </c>
      <c r="AH18" s="117">
        <f t="shared" si="4"/>
        <v>0</v>
      </c>
      <c r="AI18" s="151">
        <f t="shared" si="5"/>
        <v>0</v>
      </c>
    </row>
    <row r="19" spans="1:37" ht="28.75" customHeight="1" x14ac:dyDescent="0.25">
      <c r="A19" s="19">
        <f>A18+7</f>
        <v>43932</v>
      </c>
      <c r="B19" s="5"/>
      <c r="C19" s="49"/>
      <c r="D19" s="49"/>
      <c r="E19" s="49"/>
      <c r="F19" s="49"/>
      <c r="G19" s="98">
        <f>SUM(C19:F19)</f>
        <v>0</v>
      </c>
      <c r="H19" s="50"/>
      <c r="I19" s="50"/>
      <c r="J19" s="34"/>
      <c r="K19" s="199"/>
      <c r="L19" s="35" t="e">
        <f t="shared" ref="L19:L66" si="12">SUM(K19:K19)/SUM(H19:I19)</f>
        <v>#DIV/0!</v>
      </c>
      <c r="M19" s="35" t="e">
        <f t="shared" si="1"/>
        <v>#DIV/0!</v>
      </c>
      <c r="N19" s="35" t="e">
        <f>L19+M19</f>
        <v>#DIV/0!</v>
      </c>
      <c r="O19" s="36"/>
      <c r="P19" s="37"/>
      <c r="Q19" s="37"/>
      <c r="R19" s="38"/>
      <c r="S19" s="38"/>
      <c r="T19" s="110"/>
      <c r="U19" s="125"/>
      <c r="V19" s="162"/>
      <c r="W19" s="114"/>
      <c r="X19" s="162"/>
      <c r="Y19" s="114"/>
      <c r="Z19" s="162"/>
      <c r="AA19" s="114"/>
      <c r="AB19" s="162"/>
      <c r="AC19" s="114"/>
      <c r="AD19" s="162"/>
      <c r="AE19" s="162"/>
      <c r="AF19" s="162"/>
      <c r="AG19" s="117">
        <f t="shared" si="3"/>
        <v>0</v>
      </c>
      <c r="AH19" s="117">
        <f t="shared" si="4"/>
        <v>0</v>
      </c>
      <c r="AI19" s="151">
        <f t="shared" si="5"/>
        <v>0</v>
      </c>
    </row>
    <row r="20" spans="1:37" s="238" customFormat="1" ht="28.75" customHeight="1" x14ac:dyDescent="0.35">
      <c r="A20" s="19">
        <f>A19+7</f>
        <v>43939</v>
      </c>
      <c r="B20" s="5"/>
      <c r="C20" s="49"/>
      <c r="D20" s="49"/>
      <c r="E20" s="49"/>
      <c r="F20" s="49"/>
      <c r="G20" s="98">
        <f>SUM(C20:F20)</f>
        <v>0</v>
      </c>
      <c r="H20" s="50"/>
      <c r="I20" s="50">
        <v>0.22</v>
      </c>
      <c r="J20" s="34"/>
      <c r="K20" s="199">
        <v>636.36</v>
      </c>
      <c r="L20" s="35">
        <f t="shared" si="12"/>
        <v>2892.5454545454545</v>
      </c>
      <c r="M20" s="35">
        <f t="shared" si="1"/>
        <v>399</v>
      </c>
      <c r="N20" s="35">
        <f>L20+M20</f>
        <v>3291.5454545454545</v>
      </c>
      <c r="O20" s="36"/>
      <c r="P20" s="37"/>
      <c r="Q20" s="37"/>
      <c r="R20" s="38"/>
      <c r="S20" s="38"/>
      <c r="T20" s="110"/>
      <c r="U20" s="125"/>
      <c r="V20" s="162"/>
      <c r="W20" s="114"/>
      <c r="X20" s="162"/>
      <c r="Y20" s="114"/>
      <c r="Z20" s="162"/>
      <c r="AA20" s="114"/>
      <c r="AB20" s="162"/>
      <c r="AC20" s="114"/>
      <c r="AD20" s="162"/>
      <c r="AE20" s="162"/>
      <c r="AF20" s="162"/>
      <c r="AG20" s="117">
        <f t="shared" si="3"/>
        <v>0</v>
      </c>
      <c r="AH20" s="117">
        <f t="shared" si="4"/>
        <v>0</v>
      </c>
      <c r="AI20" s="151">
        <f t="shared" si="5"/>
        <v>0</v>
      </c>
    </row>
    <row r="21" spans="1:37" ht="28.75" customHeight="1" x14ac:dyDescent="0.25">
      <c r="A21" s="19">
        <f>A20+7</f>
        <v>43946</v>
      </c>
      <c r="B21" s="5"/>
      <c r="C21" s="49"/>
      <c r="D21" s="49"/>
      <c r="E21" s="49"/>
      <c r="F21" s="49"/>
      <c r="G21" s="98">
        <f>SUM(C21:F21)</f>
        <v>0</v>
      </c>
      <c r="H21" s="50"/>
      <c r="I21" s="50">
        <v>0.18</v>
      </c>
      <c r="J21" s="34">
        <v>645.1</v>
      </c>
      <c r="K21" s="199">
        <v>137.9</v>
      </c>
      <c r="L21" s="35">
        <f t="shared" si="12"/>
        <v>766.1111111111112</v>
      </c>
      <c r="M21" s="35">
        <f t="shared" ref="M21:M35" si="13">($B$68*I21+$B$69*H21)/SUM(H21:I21)</f>
        <v>399</v>
      </c>
      <c r="N21" s="35">
        <f t="shared" si="2"/>
        <v>1165.1111111111113</v>
      </c>
      <c r="O21" s="36"/>
      <c r="P21" s="37"/>
      <c r="Q21" s="37"/>
      <c r="R21" s="38"/>
      <c r="S21" s="38"/>
      <c r="T21" s="110"/>
      <c r="U21" s="125"/>
      <c r="V21" s="162"/>
      <c r="W21" s="114"/>
      <c r="X21" s="162"/>
      <c r="Y21" s="114"/>
      <c r="Z21" s="162"/>
      <c r="AA21" s="114"/>
      <c r="AB21" s="162"/>
      <c r="AC21" s="114"/>
      <c r="AD21" s="162"/>
      <c r="AE21" s="162"/>
      <c r="AF21" s="162"/>
      <c r="AG21" s="117">
        <f t="shared" si="3"/>
        <v>0</v>
      </c>
      <c r="AH21" s="117">
        <f t="shared" si="4"/>
        <v>0</v>
      </c>
      <c r="AI21" s="151">
        <f t="shared" si="5"/>
        <v>0</v>
      </c>
    </row>
    <row r="22" spans="1:37" s="17" customFormat="1" ht="28.75" customHeight="1" x14ac:dyDescent="0.3">
      <c r="A22" s="27" t="s">
        <v>57</v>
      </c>
      <c r="B22" s="28">
        <f t="shared" ref="B22:K22" si="14">SUBTOTAL(109,B18:B21)</f>
        <v>0</v>
      </c>
      <c r="C22" s="28">
        <f t="shared" si="14"/>
        <v>0</v>
      </c>
      <c r="D22" s="28">
        <f t="shared" si="14"/>
        <v>0</v>
      </c>
      <c r="E22" s="28">
        <f t="shared" si="14"/>
        <v>0</v>
      </c>
      <c r="F22" s="28">
        <f t="shared" si="14"/>
        <v>0</v>
      </c>
      <c r="G22" s="28">
        <f t="shared" si="14"/>
        <v>0</v>
      </c>
      <c r="H22" s="28">
        <v>3.68</v>
      </c>
      <c r="I22" s="28">
        <f t="shared" si="14"/>
        <v>0.7</v>
      </c>
      <c r="J22" s="28">
        <f t="shared" si="14"/>
        <v>645.1</v>
      </c>
      <c r="K22" s="28">
        <f t="shared" si="14"/>
        <v>1214.8100000000002</v>
      </c>
      <c r="L22" s="39">
        <f t="shared" si="12"/>
        <v>277.35388127853884</v>
      </c>
      <c r="M22" s="39">
        <f t="shared" si="13"/>
        <v>168.78995433789953</v>
      </c>
      <c r="N22" s="39">
        <f t="shared" si="2"/>
        <v>446.14383561643837</v>
      </c>
      <c r="O22" s="39">
        <f>J22/H22</f>
        <v>175.29891304347825</v>
      </c>
      <c r="P22" s="40">
        <f>$B$69</f>
        <v>125</v>
      </c>
      <c r="Q22" s="40">
        <f>O22+P22</f>
        <v>300.29891304347825</v>
      </c>
      <c r="R22" s="40">
        <f>K22/I22</f>
        <v>1735.4428571428575</v>
      </c>
      <c r="S22" s="40">
        <f>$B$68</f>
        <v>399</v>
      </c>
      <c r="T22" s="111">
        <f>R22+S22</f>
        <v>2134.4428571428575</v>
      </c>
      <c r="U22" s="185">
        <f t="shared" ref="U22:AF22" si="15">SUBTOTAL(109,U18:U21)</f>
        <v>0</v>
      </c>
      <c r="V22" s="185">
        <f t="shared" si="15"/>
        <v>0</v>
      </c>
      <c r="W22" s="28">
        <f t="shared" si="15"/>
        <v>0</v>
      </c>
      <c r="X22" s="28">
        <f t="shared" si="15"/>
        <v>0</v>
      </c>
      <c r="Y22" s="28">
        <f t="shared" si="15"/>
        <v>0</v>
      </c>
      <c r="Z22" s="28">
        <f t="shared" si="15"/>
        <v>0</v>
      </c>
      <c r="AA22" s="28">
        <f t="shared" si="15"/>
        <v>0</v>
      </c>
      <c r="AB22" s="28">
        <f t="shared" si="15"/>
        <v>0</v>
      </c>
      <c r="AC22" s="28">
        <f t="shared" si="15"/>
        <v>0</v>
      </c>
      <c r="AD22" s="28">
        <f t="shared" si="15"/>
        <v>0</v>
      </c>
      <c r="AE22" s="28">
        <f t="shared" si="15"/>
        <v>0</v>
      </c>
      <c r="AF22" s="28">
        <f t="shared" si="15"/>
        <v>0</v>
      </c>
      <c r="AG22" s="180">
        <f>AD22+AE22+AF22</f>
        <v>0</v>
      </c>
      <c r="AH22" s="123">
        <f t="shared" si="4"/>
        <v>0</v>
      </c>
      <c r="AI22" s="152">
        <f t="shared" si="5"/>
        <v>0</v>
      </c>
    </row>
    <row r="23" spans="1:37" s="238" customFormat="1" ht="28.75" customHeight="1" x14ac:dyDescent="0.35">
      <c r="A23" s="255">
        <f>A21+7</f>
        <v>43953</v>
      </c>
      <c r="B23" s="5"/>
      <c r="C23" s="49"/>
      <c r="D23" s="49"/>
      <c r="E23" s="49"/>
      <c r="F23" s="49"/>
      <c r="G23" s="98">
        <f>SUM(C23:F23)</f>
        <v>0</v>
      </c>
      <c r="H23" s="6"/>
      <c r="I23" s="6">
        <v>0.37</v>
      </c>
      <c r="J23" s="34"/>
      <c r="K23" s="34">
        <v>323.7</v>
      </c>
      <c r="L23" s="35">
        <f t="shared" si="12"/>
        <v>874.8648648648649</v>
      </c>
      <c r="M23" s="35">
        <f t="shared" si="13"/>
        <v>399</v>
      </c>
      <c r="N23" s="35">
        <f t="shared" si="2"/>
        <v>1273.864864864865</v>
      </c>
      <c r="O23" s="36"/>
      <c r="P23" s="37"/>
      <c r="Q23" s="37"/>
      <c r="R23" s="38"/>
      <c r="S23" s="38"/>
      <c r="T23" s="110"/>
      <c r="U23" s="239"/>
      <c r="V23" s="240"/>
      <c r="W23" s="241"/>
      <c r="X23" s="240"/>
      <c r="Y23" s="241"/>
      <c r="Z23" s="259"/>
      <c r="AA23" s="260"/>
      <c r="AB23" s="259"/>
      <c r="AC23" s="260"/>
      <c r="AD23" s="259"/>
      <c r="AE23" s="259"/>
      <c r="AF23" s="259"/>
      <c r="AG23" s="261">
        <f t="shared" si="3"/>
        <v>0</v>
      </c>
      <c r="AH23" s="262">
        <f t="shared" si="4"/>
        <v>0</v>
      </c>
      <c r="AI23" s="263">
        <f t="shared" si="5"/>
        <v>0</v>
      </c>
      <c r="AJ23" s="264"/>
      <c r="AK23" s="264"/>
    </row>
    <row r="24" spans="1:37" s="238" customFormat="1" ht="28.75" customHeight="1" x14ac:dyDescent="0.35">
      <c r="A24" s="255">
        <f>A23+7</f>
        <v>43960</v>
      </c>
      <c r="B24" s="5"/>
      <c r="C24" s="49"/>
      <c r="D24" s="49"/>
      <c r="E24" s="49"/>
      <c r="F24" s="49"/>
      <c r="G24" s="98">
        <f>SUM(C24:F24)</f>
        <v>0</v>
      </c>
      <c r="H24" s="6"/>
      <c r="I24" s="6">
        <v>0.46</v>
      </c>
      <c r="J24" s="34"/>
      <c r="K24" s="34">
        <v>489.5</v>
      </c>
      <c r="L24" s="35">
        <f t="shared" si="12"/>
        <v>1064.1304347826087</v>
      </c>
      <c r="M24" s="35">
        <f t="shared" si="13"/>
        <v>399</v>
      </c>
      <c r="N24" s="35">
        <f t="shared" si="2"/>
        <v>1463.1304347826087</v>
      </c>
      <c r="O24" s="36"/>
      <c r="P24" s="37"/>
      <c r="Q24" s="37"/>
      <c r="R24" s="38"/>
      <c r="S24" s="38"/>
      <c r="T24" s="110"/>
      <c r="U24" s="239"/>
      <c r="V24" s="240"/>
      <c r="W24" s="241"/>
      <c r="X24" s="240"/>
      <c r="Y24" s="241"/>
      <c r="Z24" s="259"/>
      <c r="AA24" s="260"/>
      <c r="AB24" s="259"/>
      <c r="AC24" s="260">
        <f>9.6+4.5</f>
        <v>14.1</v>
      </c>
      <c r="AD24" s="259"/>
      <c r="AE24" s="259"/>
      <c r="AF24" s="259"/>
      <c r="AG24" s="261">
        <f t="shared" si="3"/>
        <v>0</v>
      </c>
      <c r="AH24" s="262">
        <f t="shared" si="4"/>
        <v>14.1</v>
      </c>
      <c r="AI24" s="263">
        <f t="shared" si="5"/>
        <v>0</v>
      </c>
      <c r="AJ24" s="264"/>
      <c r="AK24" s="264"/>
    </row>
    <row r="25" spans="1:37" ht="28.75" customHeight="1" x14ac:dyDescent="0.25">
      <c r="A25" s="19">
        <f>A24+7</f>
        <v>43967</v>
      </c>
      <c r="B25" s="5"/>
      <c r="C25" s="49"/>
      <c r="D25" s="49"/>
      <c r="E25" s="49"/>
      <c r="F25" s="49"/>
      <c r="G25" s="98">
        <f>SUM(C25:F25)</f>
        <v>0</v>
      </c>
      <c r="H25" s="6"/>
      <c r="I25" s="6">
        <v>0.26</v>
      </c>
      <c r="J25" s="34"/>
      <c r="K25" s="34">
        <v>431.6</v>
      </c>
      <c r="L25" s="35">
        <f t="shared" si="12"/>
        <v>1660</v>
      </c>
      <c r="M25" s="35">
        <f t="shared" si="13"/>
        <v>399</v>
      </c>
      <c r="N25" s="35">
        <f t="shared" si="2"/>
        <v>2059</v>
      </c>
      <c r="O25" s="36"/>
      <c r="P25" s="37"/>
      <c r="Q25" s="37"/>
      <c r="R25" s="38"/>
      <c r="S25" s="38"/>
      <c r="T25" s="110"/>
      <c r="U25" s="125"/>
      <c r="V25" s="162"/>
      <c r="W25" s="114"/>
      <c r="X25" s="162"/>
      <c r="Y25" s="114"/>
      <c r="Z25" s="162"/>
      <c r="AA25" s="114"/>
      <c r="AB25" s="162"/>
      <c r="AC25" s="114"/>
      <c r="AD25" s="162"/>
      <c r="AE25" s="162"/>
      <c r="AF25" s="162"/>
      <c r="AG25" s="161">
        <f t="shared" si="3"/>
        <v>0</v>
      </c>
      <c r="AH25" s="117">
        <f t="shared" si="4"/>
        <v>0</v>
      </c>
      <c r="AI25" s="151">
        <f t="shared" si="5"/>
        <v>0</v>
      </c>
    </row>
    <row r="26" spans="1:37" ht="28.75" customHeight="1" x14ac:dyDescent="0.25">
      <c r="A26" s="19">
        <f>A25+7</f>
        <v>43974</v>
      </c>
      <c r="B26" s="5"/>
      <c r="C26" s="49"/>
      <c r="D26" s="49"/>
      <c r="E26" s="49"/>
      <c r="F26" s="49"/>
      <c r="G26" s="98">
        <f>SUM(C26:F26)</f>
        <v>0</v>
      </c>
      <c r="H26" s="6"/>
      <c r="I26" s="6">
        <v>0.11</v>
      </c>
      <c r="J26" s="34"/>
      <c r="K26" s="34">
        <v>206.85</v>
      </c>
      <c r="L26" s="35">
        <f t="shared" si="12"/>
        <v>1880.4545454545455</v>
      </c>
      <c r="M26" s="35">
        <f t="shared" si="13"/>
        <v>399</v>
      </c>
      <c r="N26" s="35">
        <f t="shared" si="2"/>
        <v>2279.4545454545455</v>
      </c>
      <c r="O26" s="36"/>
      <c r="P26" s="37"/>
      <c r="Q26" s="37"/>
      <c r="R26" s="38"/>
      <c r="S26" s="38"/>
      <c r="T26" s="110"/>
      <c r="U26" s="125"/>
      <c r="V26" s="162"/>
      <c r="W26" s="114"/>
      <c r="X26" s="162"/>
      <c r="Y26" s="114"/>
      <c r="Z26" s="162"/>
      <c r="AA26" s="114"/>
      <c r="AB26" s="162"/>
      <c r="AC26" s="114"/>
      <c r="AD26" s="162"/>
      <c r="AE26" s="162"/>
      <c r="AF26" s="162"/>
      <c r="AG26" s="161">
        <f t="shared" si="3"/>
        <v>0</v>
      </c>
      <c r="AH26" s="117">
        <f t="shared" si="4"/>
        <v>0</v>
      </c>
      <c r="AI26" s="151">
        <f t="shared" si="5"/>
        <v>0</v>
      </c>
    </row>
    <row r="27" spans="1:37" ht="28.75" customHeight="1" x14ac:dyDescent="0.25">
      <c r="A27" s="19">
        <f>A26+7</f>
        <v>43981</v>
      </c>
      <c r="B27" s="5"/>
      <c r="C27" s="5"/>
      <c r="D27" s="5"/>
      <c r="E27" s="5"/>
      <c r="F27" s="5"/>
      <c r="G27" s="98">
        <f>SUM(C27:F27)</f>
        <v>0</v>
      </c>
      <c r="H27" s="6"/>
      <c r="I27" s="6">
        <v>0.44</v>
      </c>
      <c r="J27" s="34"/>
      <c r="K27" s="34"/>
      <c r="L27" s="35">
        <f>SUM(K27:K27)/SUM(H27:I27)</f>
        <v>0</v>
      </c>
      <c r="M27" s="35">
        <f t="shared" si="13"/>
        <v>399</v>
      </c>
      <c r="N27" s="35">
        <f>L27+M27</f>
        <v>399</v>
      </c>
      <c r="O27" s="36"/>
      <c r="P27" s="37"/>
      <c r="Q27" s="37"/>
      <c r="R27" s="38"/>
      <c r="S27" s="38"/>
      <c r="T27" s="110"/>
      <c r="U27" s="125"/>
      <c r="V27" s="162"/>
      <c r="W27" s="114"/>
      <c r="X27" s="162"/>
      <c r="Y27" s="114"/>
      <c r="Z27" s="162"/>
      <c r="AA27" s="114"/>
      <c r="AB27" s="162"/>
      <c r="AC27" s="114"/>
      <c r="AD27" s="162"/>
      <c r="AE27" s="162"/>
      <c r="AF27" s="162"/>
      <c r="AG27" s="161">
        <f t="shared" si="3"/>
        <v>0</v>
      </c>
      <c r="AH27" s="117">
        <f t="shared" si="4"/>
        <v>0</v>
      </c>
      <c r="AI27" s="151">
        <f t="shared" si="5"/>
        <v>0</v>
      </c>
    </row>
    <row r="28" spans="1:37" ht="28.75" customHeight="1" x14ac:dyDescent="0.3">
      <c r="A28" s="27" t="s">
        <v>58</v>
      </c>
      <c r="B28" s="28">
        <f>SUBTOTAL(109,B23:B27)</f>
        <v>0</v>
      </c>
      <c r="C28" s="28">
        <f t="shared" ref="C28:K28" si="16">SUBTOTAL(109,C23:C27)</f>
        <v>0</v>
      </c>
      <c r="D28" s="28">
        <f t="shared" si="16"/>
        <v>0</v>
      </c>
      <c r="E28" s="28">
        <f t="shared" si="16"/>
        <v>0</v>
      </c>
      <c r="F28" s="28">
        <f t="shared" si="16"/>
        <v>0</v>
      </c>
      <c r="G28" s="28">
        <f t="shared" si="16"/>
        <v>0</v>
      </c>
      <c r="H28" s="28">
        <v>4.5999999999999996</v>
      </c>
      <c r="I28" s="28">
        <f t="shared" si="16"/>
        <v>1.6400000000000001</v>
      </c>
      <c r="J28" s="28">
        <v>645.1</v>
      </c>
      <c r="K28" s="28">
        <f t="shared" si="16"/>
        <v>1451.65</v>
      </c>
      <c r="L28" s="39">
        <f t="shared" si="12"/>
        <v>232.63621794871796</v>
      </c>
      <c r="M28" s="39">
        <f t="shared" si="13"/>
        <v>197.01282051282053</v>
      </c>
      <c r="N28" s="39">
        <f t="shared" si="2"/>
        <v>429.64903846153845</v>
      </c>
      <c r="O28" s="39">
        <f>J28/H28</f>
        <v>140.23913043478262</v>
      </c>
      <c r="P28" s="40">
        <f>$B$69</f>
        <v>125</v>
      </c>
      <c r="Q28" s="40">
        <f>O28+P28</f>
        <v>265.23913043478262</v>
      </c>
      <c r="R28" s="40">
        <f>K28/I28</f>
        <v>885.15243902439022</v>
      </c>
      <c r="S28" s="40">
        <f>$B$68</f>
        <v>399</v>
      </c>
      <c r="T28" s="111">
        <f>R28+S28</f>
        <v>1284.1524390243903</v>
      </c>
      <c r="U28" s="185">
        <f t="shared" ref="U28:AF28" si="17">SUBTOTAL(109,U23:U27)</f>
        <v>0</v>
      </c>
      <c r="V28" s="185">
        <f t="shared" si="17"/>
        <v>0</v>
      </c>
      <c r="W28" s="185">
        <f t="shared" si="17"/>
        <v>0</v>
      </c>
      <c r="X28" s="185">
        <f t="shared" si="17"/>
        <v>0</v>
      </c>
      <c r="Y28" s="185">
        <f t="shared" si="17"/>
        <v>0</v>
      </c>
      <c r="Z28" s="185">
        <f t="shared" si="17"/>
        <v>0</v>
      </c>
      <c r="AA28" s="185">
        <f t="shared" si="17"/>
        <v>0</v>
      </c>
      <c r="AB28" s="185">
        <f t="shared" si="17"/>
        <v>0</v>
      </c>
      <c r="AC28" s="185">
        <f t="shared" si="17"/>
        <v>14.1</v>
      </c>
      <c r="AD28" s="185">
        <f t="shared" si="17"/>
        <v>0</v>
      </c>
      <c r="AE28" s="185">
        <f t="shared" si="17"/>
        <v>0</v>
      </c>
      <c r="AF28" s="185">
        <f t="shared" si="17"/>
        <v>0</v>
      </c>
      <c r="AG28" s="180">
        <f>AD28+AE28+AF28</f>
        <v>0</v>
      </c>
      <c r="AH28" s="123">
        <f t="shared" si="4"/>
        <v>14.1</v>
      </c>
      <c r="AI28" s="152">
        <f t="shared" si="5"/>
        <v>0</v>
      </c>
    </row>
    <row r="29" spans="1:37" ht="28.75" customHeight="1" x14ac:dyDescent="0.25">
      <c r="A29" s="19">
        <f>A27+7</f>
        <v>43988</v>
      </c>
      <c r="B29" s="5"/>
      <c r="C29" s="5"/>
      <c r="D29" s="5"/>
      <c r="E29" s="5"/>
      <c r="F29" s="5"/>
      <c r="G29" s="98">
        <f>SUM(C29:F29)</f>
        <v>0</v>
      </c>
      <c r="H29" s="6"/>
      <c r="I29" s="6">
        <v>0.5</v>
      </c>
      <c r="J29" s="34"/>
      <c r="K29" s="34">
        <v>323.7</v>
      </c>
      <c r="L29" s="35">
        <f t="shared" si="12"/>
        <v>647.4</v>
      </c>
      <c r="M29" s="35">
        <f t="shared" si="13"/>
        <v>399</v>
      </c>
      <c r="N29" s="35">
        <f t="shared" si="2"/>
        <v>1046.4000000000001</v>
      </c>
      <c r="O29" s="36"/>
      <c r="P29" s="37"/>
      <c r="Q29" s="37"/>
      <c r="R29" s="38"/>
      <c r="S29" s="38"/>
      <c r="T29" s="110"/>
      <c r="U29" s="125"/>
      <c r="V29" s="162"/>
      <c r="W29" s="114"/>
      <c r="X29" s="162"/>
      <c r="Y29" s="114"/>
      <c r="Z29" s="162"/>
      <c r="AA29" s="114"/>
      <c r="AB29" s="162"/>
      <c r="AC29" s="114"/>
      <c r="AD29" s="162"/>
      <c r="AE29" s="162"/>
      <c r="AF29" s="162">
        <v>-673.89</v>
      </c>
      <c r="AG29" s="161">
        <f t="shared" si="3"/>
        <v>-673.89</v>
      </c>
      <c r="AH29" s="117">
        <f t="shared" si="4"/>
        <v>0</v>
      </c>
      <c r="AI29" s="151">
        <f t="shared" si="5"/>
        <v>-673.89</v>
      </c>
    </row>
    <row r="30" spans="1:37" s="17" customFormat="1" ht="28.75" customHeight="1" x14ac:dyDescent="0.3">
      <c r="A30" s="19">
        <f>A29+7</f>
        <v>43995</v>
      </c>
      <c r="B30" s="5"/>
      <c r="C30" s="5"/>
      <c r="D30" s="5"/>
      <c r="E30" s="5"/>
      <c r="F30" s="5"/>
      <c r="G30" s="98">
        <f>SUM(C30:F30)</f>
        <v>0</v>
      </c>
      <c r="H30" s="6"/>
      <c r="I30" s="6"/>
      <c r="J30" s="34"/>
      <c r="K30" s="34"/>
      <c r="L30" s="35" t="e">
        <f t="shared" si="12"/>
        <v>#DIV/0!</v>
      </c>
      <c r="M30" s="35" t="e">
        <f t="shared" si="13"/>
        <v>#DIV/0!</v>
      </c>
      <c r="N30" s="35" t="e">
        <f t="shared" si="2"/>
        <v>#DIV/0!</v>
      </c>
      <c r="O30" s="36"/>
      <c r="P30" s="37"/>
      <c r="Q30" s="37"/>
      <c r="R30" s="38"/>
      <c r="S30" s="38"/>
      <c r="T30" s="110"/>
      <c r="U30" s="124"/>
      <c r="V30" s="163"/>
      <c r="W30" s="115"/>
      <c r="X30" s="162"/>
      <c r="Y30" s="114"/>
      <c r="Z30" s="162"/>
      <c r="AA30" s="114"/>
      <c r="AB30" s="162"/>
      <c r="AC30" s="115">
        <f>6.2+6.1+6.2</f>
        <v>18.5</v>
      </c>
      <c r="AD30" s="163"/>
      <c r="AE30" s="163"/>
      <c r="AF30" s="163"/>
      <c r="AG30" s="161">
        <f t="shared" si="3"/>
        <v>0</v>
      </c>
      <c r="AH30" s="117">
        <f t="shared" si="4"/>
        <v>18.5</v>
      </c>
      <c r="AI30" s="151">
        <f t="shared" si="5"/>
        <v>0</v>
      </c>
    </row>
    <row r="31" spans="1:37" ht="28.75" customHeight="1" x14ac:dyDescent="0.3">
      <c r="A31" s="19">
        <f>A30+7</f>
        <v>44002</v>
      </c>
      <c r="B31" s="5"/>
      <c r="C31" s="5"/>
      <c r="D31" s="5"/>
      <c r="E31" s="5"/>
      <c r="F31" s="5"/>
      <c r="G31" s="98">
        <f>SUM(C31:F31)</f>
        <v>0</v>
      </c>
      <c r="H31" s="6"/>
      <c r="I31" s="6">
        <v>1.1100000000000001</v>
      </c>
      <c r="J31" s="34"/>
      <c r="K31" s="34">
        <v>750</v>
      </c>
      <c r="L31" s="35">
        <f t="shared" si="12"/>
        <v>675.67567567567562</v>
      </c>
      <c r="M31" s="35">
        <f t="shared" si="13"/>
        <v>399</v>
      </c>
      <c r="N31" s="35">
        <f t="shared" si="2"/>
        <v>1074.6756756756756</v>
      </c>
      <c r="O31" s="36"/>
      <c r="P31" s="37"/>
      <c r="Q31" s="37"/>
      <c r="R31" s="38"/>
      <c r="S31" s="38"/>
      <c r="T31" s="110"/>
      <c r="U31" s="125"/>
      <c r="V31" s="162"/>
      <c r="W31" s="114"/>
      <c r="X31" s="163"/>
      <c r="Y31" s="115"/>
      <c r="Z31" s="163"/>
      <c r="AA31" s="115"/>
      <c r="AB31" s="163"/>
      <c r="AC31" s="114"/>
      <c r="AD31" s="162"/>
      <c r="AE31" s="162"/>
      <c r="AF31" s="162"/>
      <c r="AG31" s="161">
        <f t="shared" si="3"/>
        <v>0</v>
      </c>
      <c r="AH31" s="117">
        <f t="shared" si="4"/>
        <v>0</v>
      </c>
      <c r="AI31" s="151">
        <f t="shared" si="5"/>
        <v>0</v>
      </c>
    </row>
    <row r="32" spans="1:37" ht="28.75" customHeight="1" x14ac:dyDescent="0.25">
      <c r="A32" s="19">
        <f>A31+7</f>
        <v>44009</v>
      </c>
      <c r="B32" s="5"/>
      <c r="C32" s="5"/>
      <c r="D32" s="5"/>
      <c r="E32" s="5"/>
      <c r="F32" s="5"/>
      <c r="G32" s="98">
        <f>SUM(C32:F32)</f>
        <v>0</v>
      </c>
      <c r="H32" s="6"/>
      <c r="I32" s="6">
        <v>0.36</v>
      </c>
      <c r="J32" s="34"/>
      <c r="K32" s="34">
        <v>323.7</v>
      </c>
      <c r="L32" s="35">
        <f t="shared" si="12"/>
        <v>899.16666666666663</v>
      </c>
      <c r="M32" s="35">
        <f t="shared" si="13"/>
        <v>399</v>
      </c>
      <c r="N32" s="35">
        <f t="shared" si="2"/>
        <v>1298.1666666666665</v>
      </c>
      <c r="O32" s="36"/>
      <c r="P32" s="37"/>
      <c r="Q32" s="37"/>
      <c r="R32" s="38"/>
      <c r="S32" s="38"/>
      <c r="T32" s="110"/>
      <c r="U32" s="125"/>
      <c r="V32" s="162"/>
      <c r="W32" s="114"/>
      <c r="X32" s="162"/>
      <c r="Y32" s="114"/>
      <c r="Z32" s="162"/>
      <c r="AA32" s="114"/>
      <c r="AB32" s="162"/>
      <c r="AC32" s="114"/>
      <c r="AD32" s="162"/>
      <c r="AE32" s="162"/>
      <c r="AF32" s="162"/>
      <c r="AG32" s="161">
        <f t="shared" si="3"/>
        <v>0</v>
      </c>
      <c r="AH32" s="117">
        <f t="shared" si="4"/>
        <v>0</v>
      </c>
      <c r="AI32" s="151">
        <f t="shared" si="5"/>
        <v>0</v>
      </c>
    </row>
    <row r="33" spans="1:35" ht="28.75" customHeight="1" x14ac:dyDescent="0.3">
      <c r="A33" s="27" t="s">
        <v>59</v>
      </c>
      <c r="B33" s="28">
        <f t="shared" ref="B33:K33" si="18">SUBTOTAL(109,B29:B32)</f>
        <v>0</v>
      </c>
      <c r="C33" s="28">
        <f t="shared" si="18"/>
        <v>0</v>
      </c>
      <c r="D33" s="28">
        <f t="shared" si="18"/>
        <v>0</v>
      </c>
      <c r="E33" s="28">
        <f t="shared" si="18"/>
        <v>0</v>
      </c>
      <c r="F33" s="28">
        <f t="shared" si="18"/>
        <v>0</v>
      </c>
      <c r="G33" s="28">
        <f t="shared" si="18"/>
        <v>0</v>
      </c>
      <c r="H33" s="28">
        <v>3.68</v>
      </c>
      <c r="I33" s="28">
        <f t="shared" si="18"/>
        <v>1.9700000000000002</v>
      </c>
      <c r="J33" s="28">
        <v>645.1</v>
      </c>
      <c r="K33" s="28">
        <f t="shared" si="18"/>
        <v>1397.4</v>
      </c>
      <c r="L33" s="39">
        <f t="shared" si="12"/>
        <v>247.32743362831857</v>
      </c>
      <c r="M33" s="39">
        <f t="shared" si="13"/>
        <v>220.53628318584072</v>
      </c>
      <c r="N33" s="39">
        <f t="shared" si="2"/>
        <v>467.86371681415926</v>
      </c>
      <c r="O33" s="39">
        <f>J33/H33</f>
        <v>175.29891304347825</v>
      </c>
      <c r="P33" s="40">
        <f>$B$69</f>
        <v>125</v>
      </c>
      <c r="Q33" s="40">
        <f>O33+P33</f>
        <v>300.29891304347825</v>
      </c>
      <c r="R33" s="40">
        <f>K33/I33</f>
        <v>709.34010152284259</v>
      </c>
      <c r="S33" s="40">
        <f>$B$68</f>
        <v>399</v>
      </c>
      <c r="T33" s="111">
        <f>R33+S33</f>
        <v>1108.3401015228426</v>
      </c>
      <c r="U33" s="185">
        <f t="shared" ref="U33:AF33" si="19">SUBTOTAL(109,U29:U32)</f>
        <v>0</v>
      </c>
      <c r="V33" s="185">
        <f t="shared" si="19"/>
        <v>0</v>
      </c>
      <c r="W33" s="185">
        <f t="shared" si="19"/>
        <v>0</v>
      </c>
      <c r="X33" s="185">
        <f t="shared" si="19"/>
        <v>0</v>
      </c>
      <c r="Y33" s="185">
        <f t="shared" si="19"/>
        <v>0</v>
      </c>
      <c r="Z33" s="185">
        <f t="shared" si="19"/>
        <v>0</v>
      </c>
      <c r="AA33" s="185">
        <f t="shared" si="19"/>
        <v>0</v>
      </c>
      <c r="AB33" s="185">
        <f t="shared" si="19"/>
        <v>0</v>
      </c>
      <c r="AC33" s="185">
        <f t="shared" si="19"/>
        <v>18.5</v>
      </c>
      <c r="AD33" s="185">
        <f t="shared" si="19"/>
        <v>0</v>
      </c>
      <c r="AE33" s="185">
        <f t="shared" si="19"/>
        <v>0</v>
      </c>
      <c r="AF33" s="185">
        <f t="shared" si="19"/>
        <v>-673.89</v>
      </c>
      <c r="AG33" s="180">
        <f>AD33+AE33+AF33</f>
        <v>-673.89</v>
      </c>
      <c r="AH33" s="123">
        <f t="shared" si="4"/>
        <v>18.5</v>
      </c>
      <c r="AI33" s="152">
        <f t="shared" si="5"/>
        <v>-673.89</v>
      </c>
    </row>
    <row r="34" spans="1:35" ht="28.75" customHeight="1" x14ac:dyDescent="0.25">
      <c r="A34" s="19">
        <f>A32+7</f>
        <v>44016</v>
      </c>
      <c r="B34" s="5"/>
      <c r="C34" s="5"/>
      <c r="D34" s="5"/>
      <c r="E34" s="5"/>
      <c r="F34" s="5"/>
      <c r="G34" s="98">
        <f>SUM(C34:F34)</f>
        <v>0</v>
      </c>
      <c r="H34" s="6"/>
      <c r="I34" s="6"/>
      <c r="J34" s="34"/>
      <c r="K34" s="34">
        <v>538.45000000000005</v>
      </c>
      <c r="L34" s="35" t="e">
        <f t="shared" si="12"/>
        <v>#DIV/0!</v>
      </c>
      <c r="M34" s="35" t="e">
        <f t="shared" si="13"/>
        <v>#DIV/0!</v>
      </c>
      <c r="N34" s="35" t="e">
        <f t="shared" si="2"/>
        <v>#DIV/0!</v>
      </c>
      <c r="O34" s="36"/>
      <c r="P34" s="37"/>
      <c r="Q34" s="37"/>
      <c r="R34" s="38"/>
      <c r="S34" s="38"/>
      <c r="T34" s="110"/>
      <c r="U34" s="125"/>
      <c r="V34" s="162"/>
      <c r="W34" s="114"/>
      <c r="X34" s="162"/>
      <c r="Y34" s="114"/>
      <c r="Z34" s="162"/>
      <c r="AA34" s="114"/>
      <c r="AB34" s="162"/>
      <c r="AC34" s="114"/>
      <c r="AD34" s="162"/>
      <c r="AE34" s="162"/>
      <c r="AF34" s="162"/>
      <c r="AG34" s="161">
        <f t="shared" si="3"/>
        <v>0</v>
      </c>
      <c r="AH34" s="117">
        <f t="shared" si="4"/>
        <v>0</v>
      </c>
      <c r="AI34" s="151">
        <f t="shared" si="5"/>
        <v>0</v>
      </c>
    </row>
    <row r="35" spans="1:35" s="17" customFormat="1" ht="28.75" customHeight="1" x14ac:dyDescent="0.3">
      <c r="A35" s="19">
        <f>A34+7</f>
        <v>44023</v>
      </c>
      <c r="B35" s="5"/>
      <c r="C35" s="5"/>
      <c r="D35" s="5"/>
      <c r="E35" s="5"/>
      <c r="F35" s="5"/>
      <c r="G35" s="98">
        <v>0</v>
      </c>
      <c r="H35" s="6"/>
      <c r="I35" s="6"/>
      <c r="J35" s="34"/>
      <c r="K35" s="34">
        <v>431.6</v>
      </c>
      <c r="L35" s="35" t="e">
        <f t="shared" si="12"/>
        <v>#DIV/0!</v>
      </c>
      <c r="M35" s="35" t="e">
        <f t="shared" si="13"/>
        <v>#DIV/0!</v>
      </c>
      <c r="N35" s="35" t="e">
        <f t="shared" si="2"/>
        <v>#DIV/0!</v>
      </c>
      <c r="O35" s="36"/>
      <c r="P35" s="37"/>
      <c r="Q35" s="37"/>
      <c r="R35" s="38"/>
      <c r="S35" s="38"/>
      <c r="T35" s="110"/>
      <c r="U35" s="124"/>
      <c r="V35" s="163"/>
      <c r="W35" s="115"/>
      <c r="X35" s="162"/>
      <c r="Y35" s="114"/>
      <c r="Z35" s="162"/>
      <c r="AA35" s="114"/>
      <c r="AB35" s="162"/>
      <c r="AC35" s="115"/>
      <c r="AD35" s="163"/>
      <c r="AE35" s="163"/>
      <c r="AF35" s="163"/>
      <c r="AG35" s="161">
        <f t="shared" si="3"/>
        <v>0</v>
      </c>
      <c r="AH35" s="117">
        <f t="shared" si="4"/>
        <v>0</v>
      </c>
      <c r="AI35" s="151">
        <f t="shared" si="5"/>
        <v>0</v>
      </c>
    </row>
    <row r="36" spans="1:35" ht="28.75" customHeight="1" x14ac:dyDescent="0.3">
      <c r="A36" s="19">
        <f>A35+7</f>
        <v>44030</v>
      </c>
      <c r="B36" s="5"/>
      <c r="C36" s="5"/>
      <c r="D36" s="5"/>
      <c r="E36" s="5"/>
      <c r="F36" s="5"/>
      <c r="G36" s="98">
        <v>0</v>
      </c>
      <c r="H36" s="6"/>
      <c r="I36" s="6"/>
      <c r="J36" s="34"/>
      <c r="K36" s="34">
        <v>323.7</v>
      </c>
      <c r="L36" s="35" t="e">
        <f t="shared" si="12"/>
        <v>#DIV/0!</v>
      </c>
      <c r="M36" s="35" t="e">
        <f t="shared" ref="M36:M46" si="20">($B$68*I36+$B$69*H36)/SUM(H36:I36)</f>
        <v>#DIV/0!</v>
      </c>
      <c r="N36" s="35" t="e">
        <f t="shared" si="2"/>
        <v>#DIV/0!</v>
      </c>
      <c r="O36" s="36"/>
      <c r="P36" s="37"/>
      <c r="Q36" s="37"/>
      <c r="R36" s="38"/>
      <c r="S36" s="38"/>
      <c r="T36" s="110"/>
      <c r="U36" s="125"/>
      <c r="V36" s="162"/>
      <c r="W36" s="114"/>
      <c r="X36" s="163"/>
      <c r="Y36" s="115"/>
      <c r="Z36" s="163"/>
      <c r="AA36" s="115"/>
      <c r="AB36" s="163"/>
      <c r="AC36" s="114">
        <f>7.6+8.1</f>
        <v>15.7</v>
      </c>
      <c r="AD36" s="162"/>
      <c r="AE36" s="162"/>
      <c r="AF36" s="162"/>
      <c r="AG36" s="161">
        <f t="shared" si="3"/>
        <v>0</v>
      </c>
      <c r="AH36" s="117">
        <f t="shared" si="4"/>
        <v>15.7</v>
      </c>
      <c r="AI36" s="151">
        <f t="shared" si="5"/>
        <v>0</v>
      </c>
    </row>
    <row r="37" spans="1:35" ht="28.75" customHeight="1" x14ac:dyDescent="0.25">
      <c r="A37" s="19">
        <f>A36+7</f>
        <v>44037</v>
      </c>
      <c r="B37" s="5"/>
      <c r="C37" s="5"/>
      <c r="D37" s="5"/>
      <c r="E37" s="5"/>
      <c r="F37" s="5"/>
      <c r="G37" s="98">
        <f>SUM(C37:F37)</f>
        <v>0</v>
      </c>
      <c r="H37" s="6"/>
      <c r="I37" s="6">
        <v>0.55000000000000004</v>
      </c>
      <c r="J37" s="34"/>
      <c r="K37" s="34">
        <v>323.7</v>
      </c>
      <c r="L37" s="35">
        <f t="shared" si="12"/>
        <v>588.5454545454545</v>
      </c>
      <c r="M37" s="35">
        <f t="shared" si="20"/>
        <v>399</v>
      </c>
      <c r="N37" s="35">
        <f t="shared" si="2"/>
        <v>987.5454545454545</v>
      </c>
      <c r="O37" s="36"/>
      <c r="P37" s="37"/>
      <c r="Q37" s="37"/>
      <c r="R37" s="38"/>
      <c r="S37" s="38"/>
      <c r="T37" s="110"/>
      <c r="U37" s="125"/>
      <c r="V37" s="162"/>
      <c r="W37" s="114"/>
      <c r="X37" s="162"/>
      <c r="Y37" s="114"/>
      <c r="Z37" s="162"/>
      <c r="AA37" s="114"/>
      <c r="AB37" s="162"/>
      <c r="AC37" s="114"/>
      <c r="AD37" s="162"/>
      <c r="AE37" s="162"/>
      <c r="AF37" s="162"/>
      <c r="AG37" s="161">
        <f t="shared" si="3"/>
        <v>0</v>
      </c>
      <c r="AH37" s="117">
        <f t="shared" si="4"/>
        <v>0</v>
      </c>
      <c r="AI37" s="151">
        <f t="shared" si="5"/>
        <v>0</v>
      </c>
    </row>
    <row r="38" spans="1:35" ht="28.75" customHeight="1" x14ac:dyDescent="0.3">
      <c r="A38" s="27" t="s">
        <v>64</v>
      </c>
      <c r="B38" s="28">
        <f t="shared" ref="B38:K38" si="21">SUBTOTAL(109,B34:B37)</f>
        <v>0</v>
      </c>
      <c r="C38" s="28">
        <f t="shared" si="21"/>
        <v>0</v>
      </c>
      <c r="D38" s="28">
        <f t="shared" si="21"/>
        <v>0</v>
      </c>
      <c r="E38" s="28">
        <f t="shared" si="21"/>
        <v>0</v>
      </c>
      <c r="F38" s="28">
        <f t="shared" si="21"/>
        <v>0</v>
      </c>
      <c r="G38" s="28">
        <f t="shared" si="21"/>
        <v>0</v>
      </c>
      <c r="H38" s="28">
        <v>3.68</v>
      </c>
      <c r="I38" s="28">
        <f t="shared" si="21"/>
        <v>0.55000000000000004</v>
      </c>
      <c r="J38" s="28">
        <v>645.1</v>
      </c>
      <c r="K38" s="28">
        <f t="shared" si="21"/>
        <v>1617.45</v>
      </c>
      <c r="L38" s="39">
        <f t="shared" si="12"/>
        <v>382.37588652482265</v>
      </c>
      <c r="M38" s="39">
        <f t="shared" si="20"/>
        <v>160.62647754137114</v>
      </c>
      <c r="N38" s="39">
        <f t="shared" si="2"/>
        <v>543.00236406619376</v>
      </c>
      <c r="O38" s="39">
        <f>J38/H38</f>
        <v>175.29891304347825</v>
      </c>
      <c r="P38" s="40">
        <f>$B$69</f>
        <v>125</v>
      </c>
      <c r="Q38" s="40">
        <f>O38+P38</f>
        <v>300.29891304347825</v>
      </c>
      <c r="R38" s="40">
        <f>K38/I38</f>
        <v>2940.8181818181815</v>
      </c>
      <c r="S38" s="40">
        <f>$B$68</f>
        <v>399</v>
      </c>
      <c r="T38" s="111">
        <f>R38+S38</f>
        <v>3339.8181818181815</v>
      </c>
      <c r="U38" s="185">
        <f t="shared" ref="U38:AF38" si="22">SUBTOTAL(109,U34:U37)</f>
        <v>0</v>
      </c>
      <c r="V38" s="185">
        <f t="shared" si="22"/>
        <v>0</v>
      </c>
      <c r="W38" s="185">
        <f t="shared" si="22"/>
        <v>0</v>
      </c>
      <c r="X38" s="185">
        <f t="shared" si="22"/>
        <v>0</v>
      </c>
      <c r="Y38" s="185">
        <f t="shared" si="22"/>
        <v>0</v>
      </c>
      <c r="Z38" s="185">
        <f t="shared" si="22"/>
        <v>0</v>
      </c>
      <c r="AA38" s="185">
        <f t="shared" si="22"/>
        <v>0</v>
      </c>
      <c r="AB38" s="185">
        <f t="shared" si="22"/>
        <v>0</v>
      </c>
      <c r="AC38" s="185">
        <f t="shared" si="22"/>
        <v>15.7</v>
      </c>
      <c r="AD38" s="185">
        <f t="shared" si="22"/>
        <v>0</v>
      </c>
      <c r="AE38" s="185">
        <f t="shared" si="22"/>
        <v>0</v>
      </c>
      <c r="AF38" s="185">
        <f t="shared" si="22"/>
        <v>0</v>
      </c>
      <c r="AG38" s="180">
        <f>AD38+AE38+AF38</f>
        <v>0</v>
      </c>
      <c r="AH38" s="123">
        <f t="shared" si="4"/>
        <v>15.7</v>
      </c>
      <c r="AI38" s="152">
        <f t="shared" si="5"/>
        <v>0</v>
      </c>
    </row>
    <row r="39" spans="1:35" s="17" customFormat="1" ht="28.75" customHeight="1" x14ac:dyDescent="0.3">
      <c r="A39" s="19">
        <f>A37+7</f>
        <v>44044</v>
      </c>
      <c r="B39" s="5"/>
      <c r="C39" s="5"/>
      <c r="D39" s="5"/>
      <c r="E39" s="5"/>
      <c r="F39" s="5"/>
      <c r="G39" s="98">
        <f>SUM(C39:F39)</f>
        <v>0</v>
      </c>
      <c r="H39" s="6"/>
      <c r="I39" s="6"/>
      <c r="J39" s="34"/>
      <c r="K39" s="34"/>
      <c r="L39" s="35" t="e">
        <f t="shared" si="12"/>
        <v>#DIV/0!</v>
      </c>
      <c r="M39" s="35" t="e">
        <f t="shared" si="20"/>
        <v>#DIV/0!</v>
      </c>
      <c r="N39" s="35" t="e">
        <f t="shared" si="2"/>
        <v>#DIV/0!</v>
      </c>
      <c r="O39" s="36"/>
      <c r="P39" s="37"/>
      <c r="Q39" s="37"/>
      <c r="R39" s="38"/>
      <c r="S39" s="38"/>
      <c r="T39" s="110"/>
      <c r="U39" s="124"/>
      <c r="V39" s="163"/>
      <c r="W39" s="115"/>
      <c r="X39" s="162"/>
      <c r="Y39" s="114"/>
      <c r="Z39" s="162"/>
      <c r="AA39" s="114"/>
      <c r="AB39" s="162"/>
      <c r="AC39" s="115"/>
      <c r="AD39" s="163"/>
      <c r="AE39" s="163"/>
      <c r="AF39" s="163"/>
      <c r="AG39" s="161">
        <f t="shared" si="3"/>
        <v>0</v>
      </c>
      <c r="AH39" s="117">
        <f t="shared" si="4"/>
        <v>0</v>
      </c>
      <c r="AI39" s="151">
        <f t="shared" si="5"/>
        <v>0</v>
      </c>
    </row>
    <row r="40" spans="1:35" ht="28.75" customHeight="1" x14ac:dyDescent="0.3">
      <c r="A40" s="19">
        <f>A39+7</f>
        <v>44051</v>
      </c>
      <c r="B40" s="5"/>
      <c r="C40" s="5"/>
      <c r="D40" s="5"/>
      <c r="E40" s="5"/>
      <c r="F40" s="5"/>
      <c r="G40" s="98">
        <f>SUM(C40:F40)</f>
        <v>0</v>
      </c>
      <c r="H40" s="6"/>
      <c r="I40" s="6">
        <v>1.1399999999999999</v>
      </c>
      <c r="J40" s="34"/>
      <c r="K40" s="34">
        <v>685.3</v>
      </c>
      <c r="L40" s="35">
        <f t="shared" si="12"/>
        <v>601.14035087719299</v>
      </c>
      <c r="M40" s="35">
        <f t="shared" si="20"/>
        <v>399</v>
      </c>
      <c r="N40" s="35">
        <f t="shared" si="2"/>
        <v>1000.140350877193</v>
      </c>
      <c r="O40" s="36"/>
      <c r="P40" s="37"/>
      <c r="Q40" s="37"/>
      <c r="R40" s="38"/>
      <c r="S40" s="38"/>
      <c r="T40" s="110"/>
      <c r="U40" s="125"/>
      <c r="V40" s="162"/>
      <c r="W40" s="114"/>
      <c r="X40" s="163"/>
      <c r="Y40" s="115"/>
      <c r="Z40" s="163"/>
      <c r="AA40" s="115"/>
      <c r="AB40" s="163"/>
      <c r="AC40" s="114"/>
      <c r="AD40" s="162"/>
      <c r="AE40" s="162"/>
      <c r="AF40" s="162"/>
      <c r="AG40" s="161">
        <f t="shared" si="3"/>
        <v>0</v>
      </c>
      <c r="AH40" s="117">
        <f t="shared" si="4"/>
        <v>0</v>
      </c>
      <c r="AI40" s="151">
        <f t="shared" si="5"/>
        <v>0</v>
      </c>
    </row>
    <row r="41" spans="1:35" ht="28.75" customHeight="1" x14ac:dyDescent="0.25">
      <c r="A41" s="19">
        <f>A40+7</f>
        <v>44058</v>
      </c>
      <c r="B41" s="5"/>
      <c r="C41" s="5"/>
      <c r="D41" s="5"/>
      <c r="E41" s="5"/>
      <c r="F41" s="5"/>
      <c r="G41" s="98">
        <f>SUM(C41:F41)</f>
        <v>0</v>
      </c>
      <c r="H41" s="6"/>
      <c r="I41" s="6"/>
      <c r="J41" s="34"/>
      <c r="K41" s="34">
        <v>323.7</v>
      </c>
      <c r="L41" s="35" t="e">
        <f t="shared" si="12"/>
        <v>#DIV/0!</v>
      </c>
      <c r="M41" s="35" t="e">
        <f t="shared" si="20"/>
        <v>#DIV/0!</v>
      </c>
      <c r="N41" s="35" t="e">
        <f t="shared" si="2"/>
        <v>#DIV/0!</v>
      </c>
      <c r="O41" s="36"/>
      <c r="P41" s="37"/>
      <c r="Q41" s="37"/>
      <c r="R41" s="38"/>
      <c r="S41" s="38"/>
      <c r="T41" s="110"/>
      <c r="U41" s="125"/>
      <c r="V41" s="162"/>
      <c r="W41" s="114"/>
      <c r="X41" s="162"/>
      <c r="Y41" s="114"/>
      <c r="Z41" s="162"/>
      <c r="AA41" s="114"/>
      <c r="AB41" s="162"/>
      <c r="AC41" s="114"/>
      <c r="AD41" s="162"/>
      <c r="AE41" s="162"/>
      <c r="AF41" s="162"/>
      <c r="AG41" s="161">
        <f t="shared" si="3"/>
        <v>0</v>
      </c>
      <c r="AH41" s="117">
        <f t="shared" si="4"/>
        <v>0</v>
      </c>
      <c r="AI41" s="151">
        <f t="shared" si="5"/>
        <v>0</v>
      </c>
    </row>
    <row r="42" spans="1:35" ht="28.75" customHeight="1" x14ac:dyDescent="0.25">
      <c r="A42" s="19">
        <f>A41+7</f>
        <v>44065</v>
      </c>
      <c r="B42" s="5"/>
      <c r="C42" s="5"/>
      <c r="D42" s="5"/>
      <c r="E42" s="5"/>
      <c r="F42" s="5"/>
      <c r="G42" s="98">
        <f>SUM(C42:F42)</f>
        <v>0</v>
      </c>
      <c r="H42" s="6"/>
      <c r="I42" s="6"/>
      <c r="J42" s="34"/>
      <c r="K42" s="34"/>
      <c r="L42" s="35" t="e">
        <f t="shared" si="12"/>
        <v>#DIV/0!</v>
      </c>
      <c r="M42" s="35" t="e">
        <f t="shared" si="20"/>
        <v>#DIV/0!</v>
      </c>
      <c r="N42" s="35" t="e">
        <f t="shared" si="2"/>
        <v>#DIV/0!</v>
      </c>
      <c r="O42" s="36"/>
      <c r="P42" s="37"/>
      <c r="Q42" s="37"/>
      <c r="R42" s="38"/>
      <c r="S42" s="38"/>
      <c r="T42" s="110"/>
      <c r="U42" s="125"/>
      <c r="V42" s="162"/>
      <c r="W42" s="114"/>
      <c r="X42" s="162"/>
      <c r="Y42" s="114"/>
      <c r="Z42" s="162"/>
      <c r="AA42" s="114"/>
      <c r="AB42" s="162"/>
      <c r="AC42" s="114"/>
      <c r="AD42" s="162"/>
      <c r="AE42" s="162"/>
      <c r="AF42" s="162"/>
      <c r="AG42" s="161">
        <f t="shared" si="3"/>
        <v>0</v>
      </c>
      <c r="AH42" s="117">
        <f t="shared" si="4"/>
        <v>0</v>
      </c>
      <c r="AI42" s="151">
        <f t="shared" si="5"/>
        <v>0</v>
      </c>
    </row>
    <row r="43" spans="1:35" ht="28.75" customHeight="1" x14ac:dyDescent="0.25">
      <c r="A43" s="19">
        <f>A42+7</f>
        <v>44072</v>
      </c>
      <c r="B43" s="5"/>
      <c r="C43" s="5"/>
      <c r="D43" s="5"/>
      <c r="E43" s="5"/>
      <c r="F43" s="5"/>
      <c r="G43" s="98">
        <f>SUM(C43:F43)</f>
        <v>0</v>
      </c>
      <c r="H43" s="6"/>
      <c r="I43" s="6">
        <v>0.81</v>
      </c>
      <c r="J43" s="34">
        <v>638.27</v>
      </c>
      <c r="K43" s="34">
        <v>431.6</v>
      </c>
      <c r="L43" s="35">
        <f t="shared" si="12"/>
        <v>532.83950617283949</v>
      </c>
      <c r="M43" s="35">
        <f t="shared" si="20"/>
        <v>398.99999999999994</v>
      </c>
      <c r="N43" s="35">
        <f t="shared" si="2"/>
        <v>931.83950617283949</v>
      </c>
      <c r="O43" s="36"/>
      <c r="P43" s="37"/>
      <c r="Q43" s="37"/>
      <c r="R43" s="38"/>
      <c r="S43" s="38"/>
      <c r="T43" s="110"/>
      <c r="U43" s="125"/>
      <c r="V43" s="162"/>
      <c r="W43" s="114"/>
      <c r="X43" s="162"/>
      <c r="Y43" s="114"/>
      <c r="Z43" s="162"/>
      <c r="AA43" s="114"/>
      <c r="AB43" s="162"/>
      <c r="AC43" s="114">
        <v>9</v>
      </c>
      <c r="AD43" s="162"/>
      <c r="AE43" s="162"/>
      <c r="AF43" s="162"/>
      <c r="AG43" s="161">
        <f t="shared" si="3"/>
        <v>0</v>
      </c>
      <c r="AH43" s="117">
        <f t="shared" si="4"/>
        <v>9</v>
      </c>
      <c r="AI43" s="151">
        <f t="shared" si="5"/>
        <v>0</v>
      </c>
    </row>
    <row r="44" spans="1:35" ht="28.75" customHeight="1" x14ac:dyDescent="0.3">
      <c r="A44" s="27" t="s">
        <v>65</v>
      </c>
      <c r="B44" s="28">
        <f>SUBTOTAL(109,B39:B43)</f>
        <v>0</v>
      </c>
      <c r="C44" s="28">
        <f t="shared" ref="C44:K44" si="23">SUBTOTAL(109,C39:C43)</f>
        <v>0</v>
      </c>
      <c r="D44" s="28">
        <f t="shared" si="23"/>
        <v>0</v>
      </c>
      <c r="E44" s="28">
        <f t="shared" si="23"/>
        <v>0</v>
      </c>
      <c r="F44" s="28">
        <f t="shared" si="23"/>
        <v>0</v>
      </c>
      <c r="G44" s="28">
        <f t="shared" si="23"/>
        <v>0</v>
      </c>
      <c r="H44" s="28">
        <v>4.5999999999999996</v>
      </c>
      <c r="I44" s="28">
        <f t="shared" si="23"/>
        <v>1.95</v>
      </c>
      <c r="J44" s="28">
        <f t="shared" si="23"/>
        <v>638.27</v>
      </c>
      <c r="K44" s="28">
        <f t="shared" si="23"/>
        <v>1440.6</v>
      </c>
      <c r="L44" s="39">
        <f t="shared" si="12"/>
        <v>219.93893129770993</v>
      </c>
      <c r="M44" s="39">
        <f t="shared" si="20"/>
        <v>206.57251908396947</v>
      </c>
      <c r="N44" s="39">
        <f t="shared" si="2"/>
        <v>426.51145038167942</v>
      </c>
      <c r="O44" s="39">
        <f>J44/H44</f>
        <v>138.75434782608696</v>
      </c>
      <c r="P44" s="40">
        <f>$B$69</f>
        <v>125</v>
      </c>
      <c r="Q44" s="40">
        <f>O44+P44</f>
        <v>263.75434782608693</v>
      </c>
      <c r="R44" s="40">
        <f>K44/I44</f>
        <v>738.76923076923072</v>
      </c>
      <c r="S44" s="40">
        <f>$B$68</f>
        <v>399</v>
      </c>
      <c r="T44" s="111">
        <f>R44+S44</f>
        <v>1137.7692307692307</v>
      </c>
      <c r="U44" s="185">
        <f t="shared" ref="U44:AF44" si="24">SUBTOTAL(109,U39:U43)</f>
        <v>0</v>
      </c>
      <c r="V44" s="185">
        <f t="shared" si="24"/>
        <v>0</v>
      </c>
      <c r="W44" s="185">
        <f t="shared" si="24"/>
        <v>0</v>
      </c>
      <c r="X44" s="185">
        <f t="shared" si="24"/>
        <v>0</v>
      </c>
      <c r="Y44" s="185">
        <f t="shared" si="24"/>
        <v>0</v>
      </c>
      <c r="Z44" s="185">
        <f t="shared" si="24"/>
        <v>0</v>
      </c>
      <c r="AA44" s="185">
        <f t="shared" si="24"/>
        <v>0</v>
      </c>
      <c r="AB44" s="185">
        <f t="shared" si="24"/>
        <v>0</v>
      </c>
      <c r="AC44" s="185">
        <f t="shared" si="24"/>
        <v>9</v>
      </c>
      <c r="AD44" s="185">
        <f t="shared" si="24"/>
        <v>0</v>
      </c>
      <c r="AE44" s="185">
        <f t="shared" si="24"/>
        <v>0</v>
      </c>
      <c r="AF44" s="185">
        <f t="shared" si="24"/>
        <v>0</v>
      </c>
      <c r="AG44" s="180">
        <f>AD44+AE44+AF44</f>
        <v>0</v>
      </c>
      <c r="AH44" s="123">
        <f t="shared" si="4"/>
        <v>9</v>
      </c>
      <c r="AI44" s="152">
        <f t="shared" si="5"/>
        <v>0</v>
      </c>
    </row>
    <row r="45" spans="1:35" s="17" customFormat="1" ht="28.75" customHeight="1" x14ac:dyDescent="0.3">
      <c r="A45" s="19">
        <f>A43+7</f>
        <v>44079</v>
      </c>
      <c r="B45" s="5"/>
      <c r="C45" s="5"/>
      <c r="D45" s="5"/>
      <c r="E45" s="5"/>
      <c r="F45" s="5"/>
      <c r="G45" s="98">
        <f>SUM(C45:F45)</f>
        <v>0</v>
      </c>
      <c r="H45" s="6"/>
      <c r="I45" s="6"/>
      <c r="J45" s="34"/>
      <c r="K45" s="34"/>
      <c r="L45" s="35" t="e">
        <f t="shared" si="12"/>
        <v>#DIV/0!</v>
      </c>
      <c r="M45" s="35" t="e">
        <f t="shared" si="20"/>
        <v>#DIV/0!</v>
      </c>
      <c r="N45" s="35" t="e">
        <f t="shared" si="2"/>
        <v>#DIV/0!</v>
      </c>
      <c r="O45" s="36"/>
      <c r="P45" s="37"/>
      <c r="Q45" s="37"/>
      <c r="R45" s="38"/>
      <c r="S45" s="38"/>
      <c r="T45" s="110"/>
      <c r="U45" s="124"/>
      <c r="V45" s="163"/>
      <c r="W45" s="115"/>
      <c r="X45" s="162"/>
      <c r="Y45" s="114"/>
      <c r="Z45" s="162"/>
      <c r="AA45" s="114"/>
      <c r="AB45" s="162"/>
      <c r="AC45" s="115"/>
      <c r="AD45" s="163"/>
      <c r="AE45" s="163"/>
      <c r="AF45" s="163"/>
      <c r="AG45" s="161">
        <f t="shared" si="3"/>
        <v>0</v>
      </c>
      <c r="AH45" s="117">
        <f t="shared" si="4"/>
        <v>0</v>
      </c>
      <c r="AI45" s="151">
        <f t="shared" si="5"/>
        <v>0</v>
      </c>
    </row>
    <row r="46" spans="1:35" ht="28.75" customHeight="1" x14ac:dyDescent="0.3">
      <c r="A46" s="19">
        <f>A45+7</f>
        <v>44086</v>
      </c>
      <c r="B46" s="5"/>
      <c r="C46" s="5"/>
      <c r="D46" s="5"/>
      <c r="E46" s="5"/>
      <c r="F46" s="5"/>
      <c r="G46" s="98">
        <f>SUM(C46:F46)</f>
        <v>0</v>
      </c>
      <c r="H46" s="6"/>
      <c r="I46" s="6">
        <v>0.51</v>
      </c>
      <c r="J46" s="34"/>
      <c r="K46" s="34">
        <v>440.55</v>
      </c>
      <c r="L46" s="35">
        <f t="shared" si="12"/>
        <v>863.82352941176475</v>
      </c>
      <c r="M46" s="35">
        <f t="shared" si="20"/>
        <v>399</v>
      </c>
      <c r="N46" s="35">
        <f t="shared" si="2"/>
        <v>1262.8235294117649</v>
      </c>
      <c r="O46" s="36"/>
      <c r="P46" s="37"/>
      <c r="Q46" s="37"/>
      <c r="R46" s="38"/>
      <c r="S46" s="38"/>
      <c r="T46" s="110"/>
      <c r="U46" s="125"/>
      <c r="V46" s="162"/>
      <c r="W46" s="114"/>
      <c r="X46" s="163"/>
      <c r="Y46" s="115"/>
      <c r="Z46" s="163"/>
      <c r="AA46" s="115"/>
      <c r="AB46" s="163"/>
      <c r="AC46" s="114"/>
      <c r="AD46" s="162"/>
      <c r="AE46" s="162"/>
      <c r="AF46" s="162"/>
      <c r="AG46" s="161">
        <f t="shared" si="3"/>
        <v>0</v>
      </c>
      <c r="AH46" s="117">
        <f t="shared" si="4"/>
        <v>0</v>
      </c>
      <c r="AI46" s="151">
        <f t="shared" si="5"/>
        <v>0</v>
      </c>
    </row>
    <row r="47" spans="1:35" ht="28.75" customHeight="1" x14ac:dyDescent="0.3">
      <c r="A47" s="19">
        <f>A46+7</f>
        <v>44093</v>
      </c>
      <c r="B47" s="5"/>
      <c r="C47" s="5"/>
      <c r="D47" s="5"/>
      <c r="E47" s="5"/>
      <c r="F47" s="5"/>
      <c r="G47" s="98">
        <f>SUM(C47:F47)</f>
        <v>0</v>
      </c>
      <c r="H47" s="6"/>
      <c r="I47" s="6">
        <v>0.22</v>
      </c>
      <c r="J47" s="34"/>
      <c r="K47" s="34">
        <v>269.75</v>
      </c>
      <c r="L47" s="35"/>
      <c r="M47" s="35"/>
      <c r="N47" s="35"/>
      <c r="O47" s="36"/>
      <c r="P47" s="37"/>
      <c r="Q47" s="37"/>
      <c r="R47" s="38"/>
      <c r="S47" s="38"/>
      <c r="T47" s="110"/>
      <c r="U47" s="125"/>
      <c r="V47" s="162"/>
      <c r="W47" s="114"/>
      <c r="X47" s="163"/>
      <c r="Y47" s="115"/>
      <c r="Z47" s="163"/>
      <c r="AA47" s="115"/>
      <c r="AB47" s="163"/>
      <c r="AC47" s="114">
        <v>9.4</v>
      </c>
      <c r="AD47" s="162"/>
      <c r="AE47" s="162"/>
      <c r="AF47" s="162"/>
      <c r="AG47" s="161">
        <f t="shared" si="3"/>
        <v>0</v>
      </c>
      <c r="AH47" s="117">
        <f t="shared" si="4"/>
        <v>9.4</v>
      </c>
      <c r="AI47" s="151">
        <f t="shared" si="5"/>
        <v>0</v>
      </c>
    </row>
    <row r="48" spans="1:35" ht="28.75" customHeight="1" x14ac:dyDescent="0.25">
      <c r="A48" s="19">
        <f>A47+7</f>
        <v>44100</v>
      </c>
      <c r="B48" s="5"/>
      <c r="C48" s="5"/>
      <c r="D48" s="5"/>
      <c r="E48" s="5"/>
      <c r="F48" s="5"/>
      <c r="G48" s="98">
        <f>SUM(C48:F48)</f>
        <v>0</v>
      </c>
      <c r="H48" s="6"/>
      <c r="I48" s="6"/>
      <c r="J48" s="34">
        <v>720.7</v>
      </c>
      <c r="K48" s="34"/>
      <c r="L48" s="35" t="e">
        <f t="shared" si="12"/>
        <v>#DIV/0!</v>
      </c>
      <c r="M48" s="35" t="e">
        <f t="shared" ref="M48:M66" si="25">($B$68*I48+$B$69*H48)/SUM(H48:I48)</f>
        <v>#DIV/0!</v>
      </c>
      <c r="N48" s="35" t="e">
        <f t="shared" si="2"/>
        <v>#DIV/0!</v>
      </c>
      <c r="O48" s="36"/>
      <c r="P48" s="37"/>
      <c r="Q48" s="37"/>
      <c r="R48" s="38"/>
      <c r="S48" s="38"/>
      <c r="T48" s="110"/>
      <c r="U48" s="125"/>
      <c r="V48" s="162"/>
      <c r="W48" s="114"/>
      <c r="X48" s="162"/>
      <c r="Y48" s="114"/>
      <c r="Z48" s="162"/>
      <c r="AA48" s="114"/>
      <c r="AB48" s="162"/>
      <c r="AC48" s="114"/>
      <c r="AD48" s="162"/>
      <c r="AE48" s="162"/>
      <c r="AF48" s="162"/>
      <c r="AG48" s="161">
        <f t="shared" si="3"/>
        <v>0</v>
      </c>
      <c r="AH48" s="117">
        <f t="shared" si="4"/>
        <v>0</v>
      </c>
      <c r="AI48" s="151">
        <f t="shared" si="5"/>
        <v>0</v>
      </c>
    </row>
    <row r="49" spans="1:35" ht="28.75" customHeight="1" x14ac:dyDescent="0.3">
      <c r="A49" s="68" t="s">
        <v>66</v>
      </c>
      <c r="B49" s="28">
        <f t="shared" ref="B49:K49" si="26">SUBTOTAL(109,B45:B48)</f>
        <v>0</v>
      </c>
      <c r="C49" s="28">
        <f t="shared" si="26"/>
        <v>0</v>
      </c>
      <c r="D49" s="28">
        <f t="shared" si="26"/>
        <v>0</v>
      </c>
      <c r="E49" s="28">
        <f t="shared" si="26"/>
        <v>0</v>
      </c>
      <c r="F49" s="28">
        <f t="shared" si="26"/>
        <v>0</v>
      </c>
      <c r="G49" s="28">
        <f t="shared" si="26"/>
        <v>0</v>
      </c>
      <c r="H49" s="28">
        <v>3.68</v>
      </c>
      <c r="I49" s="28">
        <f t="shared" si="26"/>
        <v>0.73</v>
      </c>
      <c r="J49" s="28">
        <f t="shared" si="26"/>
        <v>720.7</v>
      </c>
      <c r="K49" s="28">
        <f t="shared" si="26"/>
        <v>710.3</v>
      </c>
      <c r="L49" s="39">
        <f t="shared" si="12"/>
        <v>161.06575963718819</v>
      </c>
      <c r="M49" s="39">
        <f t="shared" si="25"/>
        <v>170.35600907029479</v>
      </c>
      <c r="N49" s="39">
        <f t="shared" si="2"/>
        <v>331.42176870748301</v>
      </c>
      <c r="O49" s="39">
        <f>J49/H49</f>
        <v>195.84239130434784</v>
      </c>
      <c r="P49" s="40">
        <f>$B$69</f>
        <v>125</v>
      </c>
      <c r="Q49" s="40">
        <f>O49+P49</f>
        <v>320.84239130434787</v>
      </c>
      <c r="R49" s="40">
        <f>K49/I49</f>
        <v>973.0136986301369</v>
      </c>
      <c r="S49" s="40">
        <f>$B$68</f>
        <v>399</v>
      </c>
      <c r="T49" s="111">
        <f>R49+S49</f>
        <v>1372.0136986301368</v>
      </c>
      <c r="U49" s="185">
        <f t="shared" ref="U49:AF49" si="27">SUBTOTAL(109,U45:U48)</f>
        <v>0</v>
      </c>
      <c r="V49" s="185">
        <f t="shared" si="27"/>
        <v>0</v>
      </c>
      <c r="W49" s="185">
        <f t="shared" si="27"/>
        <v>0</v>
      </c>
      <c r="X49" s="185">
        <f t="shared" si="27"/>
        <v>0</v>
      </c>
      <c r="Y49" s="185">
        <f t="shared" si="27"/>
        <v>0</v>
      </c>
      <c r="Z49" s="185">
        <f t="shared" si="27"/>
        <v>0</v>
      </c>
      <c r="AA49" s="185">
        <f t="shared" si="27"/>
        <v>0</v>
      </c>
      <c r="AB49" s="185">
        <f t="shared" si="27"/>
        <v>0</v>
      </c>
      <c r="AC49" s="185">
        <f t="shared" si="27"/>
        <v>9.4</v>
      </c>
      <c r="AD49" s="185">
        <f t="shared" si="27"/>
        <v>0</v>
      </c>
      <c r="AE49" s="185">
        <f t="shared" si="27"/>
        <v>0</v>
      </c>
      <c r="AF49" s="185">
        <f t="shared" si="27"/>
        <v>0</v>
      </c>
      <c r="AG49" s="180">
        <f>AD49+AE49+AF49</f>
        <v>0</v>
      </c>
      <c r="AH49" s="123">
        <f t="shared" si="4"/>
        <v>9.4</v>
      </c>
      <c r="AI49" s="152">
        <f t="shared" si="5"/>
        <v>0</v>
      </c>
    </row>
    <row r="50" spans="1:35" s="17" customFormat="1" ht="28.75" customHeight="1" x14ac:dyDescent="0.3">
      <c r="A50" s="19">
        <f>A48+7</f>
        <v>44107</v>
      </c>
      <c r="B50" s="5"/>
      <c r="C50" s="5"/>
      <c r="D50" s="5"/>
      <c r="E50" s="5"/>
      <c r="F50" s="5"/>
      <c r="G50" s="98">
        <f>SUM(C50:F50)</f>
        <v>0</v>
      </c>
      <c r="H50" s="6"/>
      <c r="I50" s="6">
        <v>0.75</v>
      </c>
      <c r="J50" s="34"/>
      <c r="K50" s="34">
        <v>734.25</v>
      </c>
      <c r="L50" s="35">
        <f t="shared" si="12"/>
        <v>979</v>
      </c>
      <c r="M50" s="35">
        <f t="shared" si="25"/>
        <v>399</v>
      </c>
      <c r="N50" s="35">
        <f t="shared" si="2"/>
        <v>1378</v>
      </c>
      <c r="O50" s="36"/>
      <c r="P50" s="37"/>
      <c r="Q50" s="37"/>
      <c r="R50" s="38"/>
      <c r="S50" s="38"/>
      <c r="T50" s="110"/>
      <c r="U50" s="124"/>
      <c r="V50" s="163"/>
      <c r="W50" s="115"/>
      <c r="X50" s="162"/>
      <c r="Y50" s="114"/>
      <c r="Z50" s="162"/>
      <c r="AA50" s="114"/>
      <c r="AB50" s="162"/>
      <c r="AC50" s="115"/>
      <c r="AD50" s="163"/>
      <c r="AE50" s="163"/>
      <c r="AF50" s="163"/>
      <c r="AG50" s="161">
        <f t="shared" si="3"/>
        <v>0</v>
      </c>
      <c r="AH50" s="117">
        <f t="shared" si="4"/>
        <v>0</v>
      </c>
      <c r="AI50" s="151">
        <f t="shared" si="5"/>
        <v>0</v>
      </c>
    </row>
    <row r="51" spans="1:35" ht="28.75" customHeight="1" x14ac:dyDescent="0.3">
      <c r="A51" s="19">
        <f>A50+7</f>
        <v>44114</v>
      </c>
      <c r="B51" s="5"/>
      <c r="C51" s="5"/>
      <c r="D51" s="5"/>
      <c r="E51" s="5"/>
      <c r="F51" s="5"/>
      <c r="G51" s="98">
        <f>SUM(C51:F51)</f>
        <v>0</v>
      </c>
      <c r="H51" s="6"/>
      <c r="I51" s="6">
        <v>0.77</v>
      </c>
      <c r="J51" s="34"/>
      <c r="K51" s="34">
        <v>587.4</v>
      </c>
      <c r="L51" s="35">
        <f t="shared" si="12"/>
        <v>762.85714285714278</v>
      </c>
      <c r="M51" s="35">
        <f t="shared" si="25"/>
        <v>399</v>
      </c>
      <c r="N51" s="35">
        <f t="shared" si="2"/>
        <v>1161.8571428571427</v>
      </c>
      <c r="O51" s="36"/>
      <c r="P51" s="37"/>
      <c r="Q51" s="37"/>
      <c r="R51" s="38"/>
      <c r="S51" s="38"/>
      <c r="T51" s="110"/>
      <c r="U51" s="125"/>
      <c r="V51" s="162"/>
      <c r="W51" s="114"/>
      <c r="X51" s="163"/>
      <c r="Y51" s="115"/>
      <c r="Z51" s="163"/>
      <c r="AA51" s="115"/>
      <c r="AB51" s="163"/>
      <c r="AC51" s="114"/>
      <c r="AD51" s="162"/>
      <c r="AE51" s="162"/>
      <c r="AF51" s="162"/>
      <c r="AG51" s="161">
        <f t="shared" si="3"/>
        <v>0</v>
      </c>
      <c r="AH51" s="117">
        <f t="shared" si="4"/>
        <v>0</v>
      </c>
      <c r="AI51" s="151">
        <f t="shared" si="5"/>
        <v>0</v>
      </c>
    </row>
    <row r="52" spans="1:35" ht="28.75" customHeight="1" x14ac:dyDescent="0.25">
      <c r="A52" s="19">
        <f>A51+7</f>
        <v>44121</v>
      </c>
      <c r="B52" s="5"/>
      <c r="C52" s="5"/>
      <c r="D52" s="5"/>
      <c r="E52" s="5"/>
      <c r="F52" s="5"/>
      <c r="G52" s="98">
        <f>SUM(C52:F52)</f>
        <v>0</v>
      </c>
      <c r="H52" s="6"/>
      <c r="I52" s="6"/>
      <c r="J52" s="34"/>
      <c r="K52" s="34"/>
      <c r="L52" s="35" t="e">
        <f t="shared" si="12"/>
        <v>#DIV/0!</v>
      </c>
      <c r="M52" s="35" t="e">
        <f t="shared" si="25"/>
        <v>#DIV/0!</v>
      </c>
      <c r="N52" s="35" t="e">
        <f t="shared" si="2"/>
        <v>#DIV/0!</v>
      </c>
      <c r="O52" s="36"/>
      <c r="P52" s="37"/>
      <c r="Q52" s="37"/>
      <c r="R52" s="38"/>
      <c r="S52" s="38"/>
      <c r="T52" s="110"/>
      <c r="U52" s="125"/>
      <c r="V52" s="162"/>
      <c r="W52" s="114"/>
      <c r="X52" s="162"/>
      <c r="Y52" s="114"/>
      <c r="Z52" s="162"/>
      <c r="AA52" s="114"/>
      <c r="AB52" s="162"/>
      <c r="AC52" s="114">
        <f>10.6+14.5</f>
        <v>25.1</v>
      </c>
      <c r="AD52" s="162"/>
      <c r="AE52" s="162"/>
      <c r="AF52" s="162"/>
      <c r="AG52" s="161">
        <f t="shared" si="3"/>
        <v>0</v>
      </c>
      <c r="AH52" s="117">
        <f t="shared" si="4"/>
        <v>25.1</v>
      </c>
      <c r="AI52" s="151">
        <f t="shared" si="5"/>
        <v>0</v>
      </c>
    </row>
    <row r="53" spans="1:35" ht="28.75" customHeight="1" x14ac:dyDescent="0.25">
      <c r="A53" s="19">
        <f>A52+7</f>
        <v>44128</v>
      </c>
      <c r="B53" s="5"/>
      <c r="C53" s="5"/>
      <c r="D53" s="5"/>
      <c r="E53" s="5"/>
      <c r="F53" s="5"/>
      <c r="G53" s="98">
        <f>SUM(C53:F53)</f>
        <v>0</v>
      </c>
      <c r="H53" s="6"/>
      <c r="I53" s="6">
        <v>1.58</v>
      </c>
      <c r="J53" s="34">
        <v>723.81</v>
      </c>
      <c r="K53" s="34">
        <v>750</v>
      </c>
      <c r="L53" s="35">
        <f t="shared" si="12"/>
        <v>474.68354430379742</v>
      </c>
      <c r="M53" s="35">
        <f t="shared" si="25"/>
        <v>399</v>
      </c>
      <c r="N53" s="35">
        <f t="shared" si="2"/>
        <v>873.68354430379736</v>
      </c>
      <c r="O53" s="36"/>
      <c r="P53" s="37"/>
      <c r="Q53" s="37"/>
      <c r="R53" s="38"/>
      <c r="S53" s="38"/>
      <c r="T53" s="110"/>
      <c r="U53" s="125"/>
      <c r="V53" s="162"/>
      <c r="W53" s="114"/>
      <c r="X53" s="162"/>
      <c r="Y53" s="114"/>
      <c r="Z53" s="162"/>
      <c r="AA53" s="114"/>
      <c r="AB53" s="162"/>
      <c r="AC53" s="114"/>
      <c r="AD53" s="162"/>
      <c r="AE53" s="162"/>
      <c r="AF53" s="162"/>
      <c r="AG53" s="161">
        <f t="shared" si="3"/>
        <v>0</v>
      </c>
      <c r="AH53" s="117">
        <f t="shared" si="4"/>
        <v>0</v>
      </c>
      <c r="AI53" s="151">
        <f t="shared" si="5"/>
        <v>0</v>
      </c>
    </row>
    <row r="54" spans="1:35" ht="28.75" customHeight="1" x14ac:dyDescent="0.3">
      <c r="A54" s="27" t="s">
        <v>51</v>
      </c>
      <c r="B54" s="28">
        <f t="shared" ref="B54:G54" si="28">SUBTOTAL(109,B50:B53)</f>
        <v>0</v>
      </c>
      <c r="C54" s="28">
        <f t="shared" si="28"/>
        <v>0</v>
      </c>
      <c r="D54" s="28">
        <f t="shared" si="28"/>
        <v>0</v>
      </c>
      <c r="E54" s="28">
        <f t="shared" si="28"/>
        <v>0</v>
      </c>
      <c r="F54" s="28">
        <f t="shared" si="28"/>
        <v>0</v>
      </c>
      <c r="G54" s="28">
        <f t="shared" si="28"/>
        <v>0</v>
      </c>
      <c r="H54" s="28">
        <v>3.68</v>
      </c>
      <c r="I54" s="28">
        <f>SUBTOTAL(109,I50:I53)</f>
        <v>3.1</v>
      </c>
      <c r="J54" s="28">
        <f>SUBTOTAL(109,J50:J53)</f>
        <v>723.81</v>
      </c>
      <c r="K54" s="28">
        <f>SUBTOTAL(109,K50:K53)</f>
        <v>2071.65</v>
      </c>
      <c r="L54" s="39">
        <f t="shared" si="12"/>
        <v>305.55309734513276</v>
      </c>
      <c r="M54" s="39">
        <f t="shared" si="25"/>
        <v>250.28023598820059</v>
      </c>
      <c r="N54" s="39">
        <f t="shared" si="2"/>
        <v>555.83333333333337</v>
      </c>
      <c r="O54" s="39">
        <f>J54/H54</f>
        <v>196.68749999999997</v>
      </c>
      <c r="P54" s="40">
        <f>$B$69</f>
        <v>125</v>
      </c>
      <c r="Q54" s="40">
        <f>O54+P54</f>
        <v>321.6875</v>
      </c>
      <c r="R54" s="40">
        <f>K54/I54</f>
        <v>668.27419354838707</v>
      </c>
      <c r="S54" s="40">
        <f>$B$68</f>
        <v>399</v>
      </c>
      <c r="T54" s="111">
        <f>R54+S54</f>
        <v>1067.2741935483871</v>
      </c>
      <c r="U54" s="185">
        <f t="shared" ref="U54:AF54" si="29">SUBTOTAL(109,U50:U53)</f>
        <v>0</v>
      </c>
      <c r="V54" s="185">
        <f t="shared" si="29"/>
        <v>0</v>
      </c>
      <c r="W54" s="185">
        <f t="shared" si="29"/>
        <v>0</v>
      </c>
      <c r="X54" s="185">
        <f t="shared" si="29"/>
        <v>0</v>
      </c>
      <c r="Y54" s="185">
        <f t="shared" si="29"/>
        <v>0</v>
      </c>
      <c r="Z54" s="185">
        <f t="shared" si="29"/>
        <v>0</v>
      </c>
      <c r="AA54" s="185">
        <f t="shared" si="29"/>
        <v>0</v>
      </c>
      <c r="AB54" s="185">
        <f t="shared" si="29"/>
        <v>0</v>
      </c>
      <c r="AC54" s="185">
        <f t="shared" si="29"/>
        <v>25.1</v>
      </c>
      <c r="AD54" s="185">
        <f t="shared" si="29"/>
        <v>0</v>
      </c>
      <c r="AE54" s="185">
        <f t="shared" si="29"/>
        <v>0</v>
      </c>
      <c r="AF54" s="185">
        <f t="shared" si="29"/>
        <v>0</v>
      </c>
      <c r="AG54" s="180">
        <f>AD54+AE54+AF54</f>
        <v>0</v>
      </c>
      <c r="AH54" s="123">
        <f t="shared" si="4"/>
        <v>25.1</v>
      </c>
      <c r="AI54" s="152">
        <f t="shared" si="5"/>
        <v>0</v>
      </c>
    </row>
    <row r="55" spans="1:35" ht="28.75" customHeight="1" x14ac:dyDescent="0.25">
      <c r="A55" s="19">
        <f>A53+7</f>
        <v>44135</v>
      </c>
      <c r="B55" s="5"/>
      <c r="C55" s="5"/>
      <c r="D55" s="5"/>
      <c r="E55" s="5"/>
      <c r="F55" s="5"/>
      <c r="G55" s="98">
        <f>SUM(C55:F55)</f>
        <v>0</v>
      </c>
      <c r="H55" s="6"/>
      <c r="I55" s="6">
        <v>0.3</v>
      </c>
      <c r="J55" s="34"/>
      <c r="K55" s="34">
        <v>431.6</v>
      </c>
      <c r="L55" s="35">
        <f t="shared" si="12"/>
        <v>1438.6666666666667</v>
      </c>
      <c r="M55" s="35">
        <f t="shared" si="25"/>
        <v>399</v>
      </c>
      <c r="N55" s="35">
        <f t="shared" si="2"/>
        <v>1837.6666666666667</v>
      </c>
      <c r="O55" s="36"/>
      <c r="P55" s="37"/>
      <c r="Q55" s="37"/>
      <c r="R55" s="38"/>
      <c r="S55" s="38"/>
      <c r="T55" s="110"/>
      <c r="U55" s="125"/>
      <c r="V55" s="162"/>
      <c r="W55" s="114"/>
      <c r="X55" s="162"/>
      <c r="Y55" s="114"/>
      <c r="Z55" s="162"/>
      <c r="AA55" s="114"/>
      <c r="AB55" s="162"/>
      <c r="AC55" s="114"/>
      <c r="AD55" s="162"/>
      <c r="AE55" s="162"/>
      <c r="AF55" s="162">
        <v>-275.5</v>
      </c>
      <c r="AG55" s="161">
        <f t="shared" si="3"/>
        <v>-275.5</v>
      </c>
      <c r="AH55" s="117">
        <f t="shared" si="4"/>
        <v>0</v>
      </c>
      <c r="AI55" s="151">
        <f t="shared" si="5"/>
        <v>-275.5</v>
      </c>
    </row>
    <row r="56" spans="1:35" s="17" customFormat="1" ht="28.75" customHeight="1" x14ac:dyDescent="0.3">
      <c r="A56" s="19">
        <f>A55+7</f>
        <v>44142</v>
      </c>
      <c r="B56" s="5"/>
      <c r="C56" s="5"/>
      <c r="D56" s="5"/>
      <c r="E56" s="5"/>
      <c r="F56" s="5"/>
      <c r="G56" s="98">
        <f>SUM(C56:F56)</f>
        <v>0</v>
      </c>
      <c r="H56" s="6"/>
      <c r="I56" s="6">
        <v>0.23</v>
      </c>
      <c r="J56" s="34"/>
      <c r="K56" s="34">
        <v>440.55</v>
      </c>
      <c r="L56" s="35">
        <f t="shared" si="12"/>
        <v>1915.4347826086955</v>
      </c>
      <c r="M56" s="35">
        <f t="shared" si="25"/>
        <v>399</v>
      </c>
      <c r="N56" s="35">
        <f t="shared" si="2"/>
        <v>2314.4347826086955</v>
      </c>
      <c r="O56" s="36"/>
      <c r="P56" s="37"/>
      <c r="Q56" s="37"/>
      <c r="R56" s="38"/>
      <c r="S56" s="38"/>
      <c r="T56" s="110"/>
      <c r="U56" s="124"/>
      <c r="V56" s="163"/>
      <c r="W56" s="115"/>
      <c r="X56" s="162"/>
      <c r="Y56" s="114"/>
      <c r="Z56" s="162"/>
      <c r="AA56" s="114"/>
      <c r="AB56" s="162"/>
      <c r="AC56" s="115"/>
      <c r="AD56" s="163"/>
      <c r="AE56" s="163"/>
      <c r="AF56" s="163"/>
      <c r="AG56" s="161">
        <f t="shared" si="3"/>
        <v>0</v>
      </c>
      <c r="AH56" s="117">
        <f t="shared" si="4"/>
        <v>0</v>
      </c>
      <c r="AI56" s="151">
        <f t="shared" si="5"/>
        <v>0</v>
      </c>
    </row>
    <row r="57" spans="1:35" ht="28.75" customHeight="1" x14ac:dyDescent="0.3">
      <c r="A57" s="19">
        <f>A56+7</f>
        <v>44149</v>
      </c>
      <c r="B57" s="5"/>
      <c r="C57" s="5"/>
      <c r="D57" s="5"/>
      <c r="E57" s="5"/>
      <c r="F57" s="5"/>
      <c r="G57" s="98">
        <f>SUM(C57:F57)</f>
        <v>0</v>
      </c>
      <c r="H57" s="6"/>
      <c r="I57" s="6">
        <v>0.56999999999999995</v>
      </c>
      <c r="J57" s="34"/>
      <c r="K57" s="34">
        <v>431.6</v>
      </c>
      <c r="L57" s="35">
        <f t="shared" si="12"/>
        <v>757.1929824561405</v>
      </c>
      <c r="M57" s="35">
        <f t="shared" si="25"/>
        <v>399</v>
      </c>
      <c r="N57" s="35">
        <f t="shared" si="2"/>
        <v>1156.1929824561405</v>
      </c>
      <c r="O57" s="36"/>
      <c r="P57" s="37"/>
      <c r="Q57" s="37"/>
      <c r="R57" s="38"/>
      <c r="S57" s="38"/>
      <c r="T57" s="110"/>
      <c r="U57" s="125"/>
      <c r="V57" s="162"/>
      <c r="W57" s="114"/>
      <c r="X57" s="163"/>
      <c r="Y57" s="115"/>
      <c r="Z57" s="163"/>
      <c r="AA57" s="115"/>
      <c r="AB57" s="163"/>
      <c r="AC57" s="114"/>
      <c r="AD57" s="162"/>
      <c r="AE57" s="162"/>
      <c r="AF57" s="162"/>
      <c r="AG57" s="161">
        <f t="shared" si="3"/>
        <v>0</v>
      </c>
      <c r="AH57" s="117">
        <f t="shared" si="4"/>
        <v>0</v>
      </c>
      <c r="AI57" s="151">
        <f t="shared" si="5"/>
        <v>0</v>
      </c>
    </row>
    <row r="58" spans="1:35" ht="28.75" customHeight="1" x14ac:dyDescent="0.25">
      <c r="A58" s="19">
        <f>A57+7</f>
        <v>44156</v>
      </c>
      <c r="B58" s="5"/>
      <c r="C58" s="5"/>
      <c r="D58" s="5"/>
      <c r="E58" s="5"/>
      <c r="F58" s="5"/>
      <c r="G58" s="98">
        <f>SUM(C58:F58)</f>
        <v>0</v>
      </c>
      <c r="H58" s="6"/>
      <c r="I58" s="6">
        <v>0.24</v>
      </c>
      <c r="J58" s="34"/>
      <c r="K58" s="34"/>
      <c r="L58" s="35">
        <f t="shared" si="12"/>
        <v>0</v>
      </c>
      <c r="M58" s="35">
        <f t="shared" si="25"/>
        <v>399</v>
      </c>
      <c r="N58" s="35">
        <f t="shared" si="2"/>
        <v>399</v>
      </c>
      <c r="O58" s="36"/>
      <c r="P58" s="37"/>
      <c r="Q58" s="37"/>
      <c r="R58" s="38"/>
      <c r="S58" s="38"/>
      <c r="T58" s="110"/>
      <c r="U58" s="125"/>
      <c r="V58" s="162"/>
      <c r="W58" s="114"/>
      <c r="X58" s="162"/>
      <c r="Y58" s="114"/>
      <c r="Z58" s="162"/>
      <c r="AA58" s="114"/>
      <c r="AB58" s="162"/>
      <c r="AC58" s="114"/>
      <c r="AD58" s="162"/>
      <c r="AE58" s="162"/>
      <c r="AF58" s="162"/>
      <c r="AG58" s="161">
        <f t="shared" si="3"/>
        <v>0</v>
      </c>
      <c r="AH58" s="117">
        <f t="shared" si="4"/>
        <v>0</v>
      </c>
      <c r="AI58" s="151">
        <f t="shared" si="5"/>
        <v>0</v>
      </c>
    </row>
    <row r="59" spans="1:35" ht="28.75" customHeight="1" x14ac:dyDescent="0.25">
      <c r="A59" s="19">
        <f>A58+7</f>
        <v>44163</v>
      </c>
      <c r="B59" s="5"/>
      <c r="C59" s="5"/>
      <c r="D59" s="5"/>
      <c r="E59" s="5"/>
      <c r="F59" s="5"/>
      <c r="G59" s="98">
        <f>SUM(C59:F59)</f>
        <v>0</v>
      </c>
      <c r="H59" s="6"/>
      <c r="I59" s="6">
        <v>0.54800000000000004</v>
      </c>
      <c r="J59" s="34">
        <v>723.81</v>
      </c>
      <c r="K59" s="34"/>
      <c r="L59" s="35">
        <f t="shared" si="12"/>
        <v>0</v>
      </c>
      <c r="M59" s="35">
        <f t="shared" si="25"/>
        <v>399</v>
      </c>
      <c r="N59" s="35">
        <f t="shared" si="2"/>
        <v>399</v>
      </c>
      <c r="O59" s="36"/>
      <c r="P59" s="37"/>
      <c r="Q59" s="37"/>
      <c r="R59" s="38"/>
      <c r="S59" s="38"/>
      <c r="T59" s="110"/>
      <c r="U59" s="125"/>
      <c r="V59" s="162"/>
      <c r="W59" s="114"/>
      <c r="X59" s="162"/>
      <c r="Y59" s="114"/>
      <c r="Z59" s="162"/>
      <c r="AA59" s="114"/>
      <c r="AB59" s="162"/>
      <c r="AC59" s="114"/>
      <c r="AD59" s="162"/>
      <c r="AE59" s="162"/>
      <c r="AF59" s="162"/>
      <c r="AG59" s="161">
        <f t="shared" si="3"/>
        <v>0</v>
      </c>
      <c r="AH59" s="117">
        <f t="shared" si="4"/>
        <v>0</v>
      </c>
      <c r="AI59" s="151">
        <f t="shared" si="5"/>
        <v>0</v>
      </c>
    </row>
    <row r="60" spans="1:35" ht="28.75" customHeight="1" x14ac:dyDescent="0.3">
      <c r="A60" s="27" t="s">
        <v>11</v>
      </c>
      <c r="B60" s="28">
        <f>SUBTOTAL(109,B55:B59)</f>
        <v>0</v>
      </c>
      <c r="C60" s="28">
        <f t="shared" ref="C60:K60" si="30">SUBTOTAL(109,C55:C59)</f>
        <v>0</v>
      </c>
      <c r="D60" s="28">
        <f t="shared" si="30"/>
        <v>0</v>
      </c>
      <c r="E60" s="28">
        <f t="shared" si="30"/>
        <v>0</v>
      </c>
      <c r="F60" s="28">
        <f t="shared" si="30"/>
        <v>0</v>
      </c>
      <c r="G60" s="28">
        <f t="shared" si="30"/>
        <v>0</v>
      </c>
      <c r="H60" s="28">
        <v>4.5999999999999996</v>
      </c>
      <c r="I60" s="28">
        <f t="shared" si="30"/>
        <v>1.8880000000000001</v>
      </c>
      <c r="J60" s="28">
        <f t="shared" si="30"/>
        <v>723.81</v>
      </c>
      <c r="K60" s="28">
        <f t="shared" si="30"/>
        <v>1303.75</v>
      </c>
      <c r="L60" s="39">
        <f t="shared" si="12"/>
        <v>200.94790382244145</v>
      </c>
      <c r="M60" s="39">
        <f t="shared" si="25"/>
        <v>204.73366214549938</v>
      </c>
      <c r="N60" s="39">
        <f t="shared" si="2"/>
        <v>405.68156596794086</v>
      </c>
      <c r="O60" s="39">
        <f>J60/H60</f>
        <v>157.35</v>
      </c>
      <c r="P60" s="40">
        <f>$B$69</f>
        <v>125</v>
      </c>
      <c r="Q60" s="40">
        <f>O60+P60</f>
        <v>282.35000000000002</v>
      </c>
      <c r="R60" s="40">
        <f>K60/I60</f>
        <v>690.54555084745755</v>
      </c>
      <c r="S60" s="40">
        <f>$B$68</f>
        <v>399</v>
      </c>
      <c r="T60" s="111">
        <f>R60+S60</f>
        <v>1089.5455508474574</v>
      </c>
      <c r="U60" s="185">
        <f t="shared" ref="U60:AF60" si="31">SUBTOTAL(109,U55:U59)</f>
        <v>0</v>
      </c>
      <c r="V60" s="185">
        <f t="shared" si="31"/>
        <v>0</v>
      </c>
      <c r="W60" s="185">
        <f t="shared" si="31"/>
        <v>0</v>
      </c>
      <c r="X60" s="185">
        <f t="shared" si="31"/>
        <v>0</v>
      </c>
      <c r="Y60" s="185">
        <f t="shared" si="31"/>
        <v>0</v>
      </c>
      <c r="Z60" s="185">
        <f t="shared" si="31"/>
        <v>0</v>
      </c>
      <c r="AA60" s="185">
        <f t="shared" si="31"/>
        <v>0</v>
      </c>
      <c r="AB60" s="185">
        <f t="shared" si="31"/>
        <v>0</v>
      </c>
      <c r="AC60" s="185">
        <f t="shared" si="31"/>
        <v>0</v>
      </c>
      <c r="AD60" s="185">
        <f t="shared" si="31"/>
        <v>0</v>
      </c>
      <c r="AE60" s="185">
        <f t="shared" si="31"/>
        <v>0</v>
      </c>
      <c r="AF60" s="185">
        <f t="shared" si="31"/>
        <v>-275.5</v>
      </c>
      <c r="AG60" s="180">
        <f>AD60+AE60+AF60</f>
        <v>-275.5</v>
      </c>
      <c r="AH60" s="123">
        <f t="shared" si="4"/>
        <v>0</v>
      </c>
      <c r="AI60" s="152">
        <f t="shared" si="5"/>
        <v>-275.5</v>
      </c>
    </row>
    <row r="61" spans="1:35" ht="28.75" customHeight="1" x14ac:dyDescent="0.25">
      <c r="A61" s="19">
        <f>A59+7</f>
        <v>44170</v>
      </c>
      <c r="B61" s="5"/>
      <c r="C61" s="5"/>
      <c r="D61" s="5"/>
      <c r="E61" s="5"/>
      <c r="F61" s="5"/>
      <c r="G61" s="98">
        <f>SUM(C61:F61)</f>
        <v>0</v>
      </c>
      <c r="H61" s="6"/>
      <c r="I61" s="6">
        <v>0.56999999999999995</v>
      </c>
      <c r="J61" s="34"/>
      <c r="K61" s="34">
        <v>489.5</v>
      </c>
      <c r="L61" s="35">
        <f t="shared" si="12"/>
        <v>858.77192982456143</v>
      </c>
      <c r="M61" s="35">
        <f t="shared" si="25"/>
        <v>399</v>
      </c>
      <c r="N61" s="35">
        <f t="shared" si="2"/>
        <v>1257.7719298245615</v>
      </c>
      <c r="O61" s="36"/>
      <c r="P61" s="37"/>
      <c r="Q61" s="37"/>
      <c r="R61" s="38"/>
      <c r="S61" s="38"/>
      <c r="T61" s="110"/>
      <c r="U61" s="125"/>
      <c r="V61" s="162"/>
      <c r="W61" s="114"/>
      <c r="X61" s="162"/>
      <c r="Y61" s="114"/>
      <c r="Z61" s="162"/>
      <c r="AA61" s="114"/>
      <c r="AB61" s="162"/>
      <c r="AC61" s="114"/>
      <c r="AD61" s="162"/>
      <c r="AE61" s="162"/>
      <c r="AF61" s="162"/>
      <c r="AG61" s="161">
        <f t="shared" si="3"/>
        <v>0</v>
      </c>
      <c r="AH61" s="117">
        <f t="shared" si="4"/>
        <v>0</v>
      </c>
      <c r="AI61" s="151">
        <f t="shared" si="5"/>
        <v>0</v>
      </c>
    </row>
    <row r="62" spans="1:35" s="17" customFormat="1" ht="28.75" customHeight="1" x14ac:dyDescent="0.3">
      <c r="A62" s="19">
        <f>A61+7</f>
        <v>44177</v>
      </c>
      <c r="B62" s="5"/>
      <c r="C62" s="5"/>
      <c r="D62" s="5"/>
      <c r="E62" s="5"/>
      <c r="F62" s="5"/>
      <c r="G62" s="98">
        <f>SUM(C62:F62)</f>
        <v>0</v>
      </c>
      <c r="H62" s="6"/>
      <c r="I62" s="6">
        <v>0.14000000000000001</v>
      </c>
      <c r="J62" s="34"/>
      <c r="K62" s="34">
        <v>206.85</v>
      </c>
      <c r="L62" s="35">
        <f t="shared" si="12"/>
        <v>1477.4999999999998</v>
      </c>
      <c r="M62" s="35">
        <f t="shared" si="25"/>
        <v>399</v>
      </c>
      <c r="N62" s="35">
        <f t="shared" si="2"/>
        <v>1876.4999999999998</v>
      </c>
      <c r="O62" s="36"/>
      <c r="P62" s="37"/>
      <c r="Q62" s="37"/>
      <c r="R62" s="38"/>
      <c r="S62" s="38"/>
      <c r="T62" s="110"/>
      <c r="U62" s="124"/>
      <c r="V62" s="163"/>
      <c r="W62" s="115"/>
      <c r="X62" s="162"/>
      <c r="Y62" s="114"/>
      <c r="Z62" s="162"/>
      <c r="AA62" s="114"/>
      <c r="AB62" s="162"/>
      <c r="AC62" s="115"/>
      <c r="AD62" s="163"/>
      <c r="AE62" s="163"/>
      <c r="AF62" s="163"/>
      <c r="AG62" s="161">
        <f t="shared" si="3"/>
        <v>0</v>
      </c>
      <c r="AH62" s="117">
        <f t="shared" si="4"/>
        <v>0</v>
      </c>
      <c r="AI62" s="151">
        <f t="shared" si="5"/>
        <v>0</v>
      </c>
    </row>
    <row r="63" spans="1:35" ht="28.75" customHeight="1" x14ac:dyDescent="0.3">
      <c r="A63" s="19">
        <f>A62+7</f>
        <v>44184</v>
      </c>
      <c r="B63" s="5"/>
      <c r="C63" s="5"/>
      <c r="D63" s="5"/>
      <c r="E63" s="5"/>
      <c r="F63" s="5"/>
      <c r="G63" s="98">
        <f>SUM(C63:F63)</f>
        <v>0</v>
      </c>
      <c r="H63" s="6"/>
      <c r="I63" s="6"/>
      <c r="J63" s="34"/>
      <c r="K63" s="34"/>
      <c r="L63" s="35" t="e">
        <f t="shared" si="12"/>
        <v>#DIV/0!</v>
      </c>
      <c r="M63" s="35" t="e">
        <f t="shared" si="25"/>
        <v>#DIV/0!</v>
      </c>
      <c r="N63" s="35" t="e">
        <f t="shared" si="2"/>
        <v>#DIV/0!</v>
      </c>
      <c r="O63" s="36"/>
      <c r="P63" s="37"/>
      <c r="Q63" s="37"/>
      <c r="R63" s="38"/>
      <c r="S63" s="38"/>
      <c r="T63" s="110"/>
      <c r="U63" s="125"/>
      <c r="V63" s="162"/>
      <c r="W63" s="114"/>
      <c r="X63" s="163"/>
      <c r="Y63" s="115"/>
      <c r="Z63" s="163"/>
      <c r="AA63" s="115"/>
      <c r="AB63" s="163"/>
      <c r="AC63" s="114"/>
      <c r="AD63" s="162"/>
      <c r="AE63" s="162"/>
      <c r="AF63" s="162"/>
      <c r="AG63" s="161">
        <f t="shared" si="3"/>
        <v>0</v>
      </c>
      <c r="AH63" s="117">
        <f t="shared" si="4"/>
        <v>0</v>
      </c>
      <c r="AI63" s="151">
        <f t="shared" si="5"/>
        <v>0</v>
      </c>
    </row>
    <row r="64" spans="1:35" ht="28.75" customHeight="1" x14ac:dyDescent="0.25">
      <c r="A64" s="19">
        <f>A63+7</f>
        <v>44191</v>
      </c>
      <c r="B64" s="5"/>
      <c r="C64" s="5"/>
      <c r="D64" s="5"/>
      <c r="E64" s="5"/>
      <c r="F64" s="5"/>
      <c r="G64" s="98">
        <f>SUM(C64:F64)</f>
        <v>0</v>
      </c>
      <c r="H64" s="6"/>
      <c r="I64" s="6">
        <v>0.64</v>
      </c>
      <c r="J64" s="34">
        <v>723.81</v>
      </c>
      <c r="K64" s="34">
        <v>377.65</v>
      </c>
      <c r="L64" s="35">
        <f t="shared" si="12"/>
        <v>590.078125</v>
      </c>
      <c r="M64" s="35">
        <f t="shared" si="25"/>
        <v>399</v>
      </c>
      <c r="N64" s="35">
        <f t="shared" si="2"/>
        <v>989.078125</v>
      </c>
      <c r="O64" s="36"/>
      <c r="P64" s="37"/>
      <c r="Q64" s="37"/>
      <c r="R64" s="38"/>
      <c r="S64" s="38"/>
      <c r="T64" s="110"/>
      <c r="U64" s="125">
        <v>1.4750000000000001</v>
      </c>
      <c r="V64" s="162">
        <v>-480.42</v>
      </c>
      <c r="W64" s="114">
        <v>5.8940000000000001</v>
      </c>
      <c r="X64" s="162">
        <v>-776.99</v>
      </c>
      <c r="Y64" s="114"/>
      <c r="Z64" s="162"/>
      <c r="AA64" s="114"/>
      <c r="AB64" s="162"/>
      <c r="AC64" s="114"/>
      <c r="AD64" s="162"/>
      <c r="AE64" s="162"/>
      <c r="AF64" s="162"/>
      <c r="AG64" s="161">
        <f t="shared" si="3"/>
        <v>0</v>
      </c>
      <c r="AH64" s="117">
        <f t="shared" si="4"/>
        <v>7.3689999999999998</v>
      </c>
      <c r="AI64" s="151">
        <f t="shared" si="5"/>
        <v>-1257.4100000000001</v>
      </c>
    </row>
    <row r="65" spans="1:35" ht="28.75" customHeight="1" thickBot="1" x14ac:dyDescent="0.35">
      <c r="A65" s="27" t="s">
        <v>12</v>
      </c>
      <c r="B65" s="28">
        <f>SUBTOTAL(109,B61:B64)</f>
        <v>0</v>
      </c>
      <c r="C65" s="28">
        <f t="shared" ref="C65:K65" si="32">SUBTOTAL(109,C61:C64)</f>
        <v>0</v>
      </c>
      <c r="D65" s="28">
        <f t="shared" si="32"/>
        <v>0</v>
      </c>
      <c r="E65" s="28">
        <f t="shared" si="32"/>
        <v>0</v>
      </c>
      <c r="F65" s="28">
        <f t="shared" si="32"/>
        <v>0</v>
      </c>
      <c r="G65" s="28">
        <f t="shared" si="32"/>
        <v>0</v>
      </c>
      <c r="H65" s="28">
        <v>3.68</v>
      </c>
      <c r="I65" s="28">
        <f t="shared" si="32"/>
        <v>1.35</v>
      </c>
      <c r="J65" s="28">
        <f t="shared" si="32"/>
        <v>723.81</v>
      </c>
      <c r="K65" s="28">
        <f t="shared" si="32"/>
        <v>1074</v>
      </c>
      <c r="L65" s="39">
        <f t="shared" si="12"/>
        <v>213.51888667992046</v>
      </c>
      <c r="M65" s="39">
        <f t="shared" si="25"/>
        <v>198.53876739562625</v>
      </c>
      <c r="N65" s="39">
        <f t="shared" si="2"/>
        <v>412.05765407554668</v>
      </c>
      <c r="O65" s="39">
        <f>J65/H65</f>
        <v>196.68749999999997</v>
      </c>
      <c r="P65" s="63">
        <f>$B$69</f>
        <v>125</v>
      </c>
      <c r="Q65" s="63">
        <f>O65+P65</f>
        <v>321.6875</v>
      </c>
      <c r="R65" s="63">
        <f>K65/I65</f>
        <v>795.55555555555554</v>
      </c>
      <c r="S65" s="63">
        <f>$B$68</f>
        <v>399</v>
      </c>
      <c r="T65" s="112">
        <f>R65+S65</f>
        <v>1194.5555555555557</v>
      </c>
      <c r="U65" s="128">
        <f t="shared" ref="U65:AF65" si="33">SUBTOTAL(109,U61:U64)</f>
        <v>1.4750000000000001</v>
      </c>
      <c r="V65" s="128">
        <f t="shared" si="33"/>
        <v>-480.42</v>
      </c>
      <c r="W65" s="128">
        <f t="shared" si="33"/>
        <v>5.8940000000000001</v>
      </c>
      <c r="X65" s="128">
        <f t="shared" si="33"/>
        <v>-776.99</v>
      </c>
      <c r="Y65" s="128">
        <f t="shared" si="33"/>
        <v>0</v>
      </c>
      <c r="Z65" s="128">
        <f t="shared" si="33"/>
        <v>0</v>
      </c>
      <c r="AA65" s="128">
        <f t="shared" si="33"/>
        <v>0</v>
      </c>
      <c r="AB65" s="128">
        <f t="shared" si="33"/>
        <v>0</v>
      </c>
      <c r="AC65" s="128">
        <f t="shared" si="33"/>
        <v>0</v>
      </c>
      <c r="AD65" s="128">
        <f t="shared" si="33"/>
        <v>0</v>
      </c>
      <c r="AE65" s="128">
        <f t="shared" si="33"/>
        <v>0</v>
      </c>
      <c r="AF65" s="128">
        <f t="shared" si="33"/>
        <v>0</v>
      </c>
      <c r="AG65" s="180">
        <f>AD65+AE65+AF65</f>
        <v>0</v>
      </c>
      <c r="AH65" s="130">
        <f t="shared" si="4"/>
        <v>7.3689999999999998</v>
      </c>
      <c r="AI65" s="153">
        <f t="shared" si="5"/>
        <v>-1257.4100000000001</v>
      </c>
    </row>
    <row r="66" spans="1:35" ht="28.75" customHeight="1" thickBot="1" x14ac:dyDescent="0.35">
      <c r="A66" s="20" t="s">
        <v>145</v>
      </c>
      <c r="B66" s="99">
        <f t="shared" ref="B66:K66" si="34">SUBTOTAL(109,B2:B64)</f>
        <v>0</v>
      </c>
      <c r="C66" s="11">
        <f t="shared" si="34"/>
        <v>0</v>
      </c>
      <c r="D66" s="11">
        <f t="shared" si="34"/>
        <v>0</v>
      </c>
      <c r="E66" s="11">
        <f t="shared" si="34"/>
        <v>0</v>
      </c>
      <c r="F66" s="11">
        <f t="shared" si="34"/>
        <v>0</v>
      </c>
      <c r="G66" s="11">
        <f t="shared" si="34"/>
        <v>0</v>
      </c>
      <c r="H66" s="10">
        <f t="shared" si="34"/>
        <v>44.160000000000004</v>
      </c>
      <c r="I66" s="10">
        <f t="shared" si="34"/>
        <v>18.048000000000002</v>
      </c>
      <c r="J66" s="10">
        <f t="shared" si="34"/>
        <v>8046.0999999999985</v>
      </c>
      <c r="K66" s="10">
        <f t="shared" si="34"/>
        <v>13621.409999999998</v>
      </c>
      <c r="L66" s="42">
        <f t="shared" si="12"/>
        <v>218.96556712962959</v>
      </c>
      <c r="M66" s="43">
        <f t="shared" si="25"/>
        <v>204.49382716049385</v>
      </c>
      <c r="N66" s="42">
        <f>L66+M66</f>
        <v>423.45939429012344</v>
      </c>
      <c r="O66" s="44">
        <f>J66/H66</f>
        <v>182.20335144927532</v>
      </c>
      <c r="P66" s="44">
        <f>$B$69</f>
        <v>125</v>
      </c>
      <c r="Q66" s="44">
        <f>O66+P66</f>
        <v>307.20335144927532</v>
      </c>
      <c r="R66" s="84">
        <f>K66/I66</f>
        <v>754.73238031914877</v>
      </c>
      <c r="S66" s="84">
        <f>SUM(I6,I11, I17,I22,I28,I33,I38,I44,I49,I54,I60,I65)*B68/I66</f>
        <v>399</v>
      </c>
      <c r="T66" s="113">
        <f>R66+S66</f>
        <v>1153.7323803191489</v>
      </c>
      <c r="U66" s="131">
        <f>SUBTOTAL(109,U2:U64)</f>
        <v>1.4750000000000001</v>
      </c>
      <c r="V66" s="131">
        <f t="shared" ref="V66:AF66" si="35">SUBTOTAL(109,V2:V64)</f>
        <v>-480.42</v>
      </c>
      <c r="W66" s="131">
        <f t="shared" si="35"/>
        <v>5.8940000000000001</v>
      </c>
      <c r="X66" s="131">
        <f t="shared" si="35"/>
        <v>-776.99</v>
      </c>
      <c r="Y66" s="131">
        <f t="shared" si="35"/>
        <v>0</v>
      </c>
      <c r="Z66" s="131">
        <f t="shared" si="35"/>
        <v>0</v>
      </c>
      <c r="AA66" s="131">
        <f t="shared" si="35"/>
        <v>0</v>
      </c>
      <c r="AB66" s="131">
        <f t="shared" si="35"/>
        <v>0</v>
      </c>
      <c r="AC66" s="131">
        <f t="shared" si="35"/>
        <v>96.700000000000017</v>
      </c>
      <c r="AD66" s="131">
        <f t="shared" si="35"/>
        <v>0</v>
      </c>
      <c r="AE66" s="131">
        <f t="shared" si="35"/>
        <v>0</v>
      </c>
      <c r="AF66" s="131">
        <f t="shared" si="35"/>
        <v>-998.49</v>
      </c>
      <c r="AG66" s="181">
        <f>AE66+AF66</f>
        <v>-998.49</v>
      </c>
      <c r="AH66" s="132">
        <f t="shared" si="4"/>
        <v>104.06900000000002</v>
      </c>
      <c r="AI66" s="182">
        <f t="shared" si="5"/>
        <v>-2255.9</v>
      </c>
    </row>
    <row r="67" spans="1:35" s="17" customFormat="1" ht="28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AC67" s="1"/>
      <c r="AD67" s="1"/>
    </row>
    <row r="68" spans="1:35" ht="13" x14ac:dyDescent="0.3">
      <c r="A68" s="95" t="s">
        <v>13</v>
      </c>
      <c r="B68" s="62">
        <v>399</v>
      </c>
      <c r="C68" s="21" t="s">
        <v>90</v>
      </c>
      <c r="J68" s="4"/>
      <c r="AC68" s="17"/>
      <c r="AD68" s="17"/>
    </row>
    <row r="69" spans="1:35" x14ac:dyDescent="0.25">
      <c r="A69" s="1"/>
      <c r="B69" s="62">
        <v>125</v>
      </c>
      <c r="C69" s="21" t="s">
        <v>14</v>
      </c>
    </row>
    <row r="70" spans="1:35" ht="28.75" customHeight="1" x14ac:dyDescent="0.25">
      <c r="A70" s="1"/>
      <c r="C70" s="62"/>
      <c r="D70" s="21"/>
    </row>
    <row r="71" spans="1:35" ht="13" x14ac:dyDescent="0.3">
      <c r="A71" s="31"/>
      <c r="B71" s="32"/>
      <c r="C71" s="32"/>
      <c r="D71" s="32"/>
      <c r="E71" s="32"/>
      <c r="F71" s="17"/>
      <c r="G71" s="32"/>
      <c r="H71" s="32"/>
      <c r="I71" s="32"/>
      <c r="J71" s="48"/>
      <c r="K71" s="32"/>
      <c r="L71" s="32"/>
      <c r="M71" s="32"/>
      <c r="N71" s="32"/>
      <c r="O71" s="32"/>
      <c r="P71" s="32"/>
      <c r="Q71" s="32"/>
      <c r="R71" s="32"/>
      <c r="S71" s="17"/>
      <c r="T71" s="17"/>
      <c r="U71" s="17"/>
      <c r="V71" s="17"/>
    </row>
    <row r="72" spans="1:35" x14ac:dyDescent="0.25">
      <c r="D72" s="30"/>
      <c r="E72" s="22"/>
      <c r="F72" s="30"/>
      <c r="G72" s="30"/>
      <c r="H72" s="30"/>
      <c r="I72" s="22"/>
      <c r="J72" s="30"/>
      <c r="L72" s="22"/>
      <c r="O72" s="30"/>
      <c r="P72" s="22"/>
    </row>
    <row r="73" spans="1:35" x14ac:dyDescent="0.25">
      <c r="D73" s="30"/>
      <c r="E73" s="22"/>
      <c r="F73" s="30"/>
      <c r="G73" s="30"/>
      <c r="H73" s="30"/>
      <c r="I73" s="22"/>
      <c r="J73" s="30"/>
      <c r="L73" s="22"/>
      <c r="O73" s="30"/>
      <c r="P73" s="22"/>
    </row>
    <row r="74" spans="1:35" s="17" customFormat="1" ht="13" x14ac:dyDescent="0.3">
      <c r="A74" s="21"/>
      <c r="B74" s="1"/>
      <c r="C74" s="1"/>
      <c r="D74" s="30"/>
      <c r="E74" s="22"/>
      <c r="F74" s="30"/>
      <c r="G74" s="30"/>
      <c r="H74" s="30"/>
      <c r="I74" s="22"/>
      <c r="J74" s="30"/>
      <c r="K74" s="1"/>
      <c r="L74" s="22"/>
      <c r="M74" s="1"/>
      <c r="N74" s="1"/>
      <c r="O74" s="30"/>
      <c r="P74" s="22"/>
      <c r="Q74" s="1"/>
      <c r="R74" s="1"/>
      <c r="S74" s="1"/>
      <c r="T74" s="1"/>
      <c r="U74" s="1"/>
      <c r="V74" s="1"/>
      <c r="AE74" s="1"/>
    </row>
    <row r="75" spans="1:35" ht="13" x14ac:dyDescent="0.3">
      <c r="D75" s="30"/>
      <c r="E75" s="22"/>
      <c r="F75" s="30"/>
      <c r="G75" s="30"/>
      <c r="H75" s="30"/>
      <c r="I75" s="22"/>
      <c r="J75" s="30"/>
      <c r="L75" s="22"/>
      <c r="O75" s="30"/>
      <c r="P75" s="22"/>
      <c r="AE75" s="17"/>
    </row>
    <row r="76" spans="1:35" x14ac:dyDescent="0.25">
      <c r="D76" s="30"/>
      <c r="E76" s="22"/>
      <c r="F76" s="30"/>
      <c r="G76" s="30"/>
      <c r="H76" s="30"/>
      <c r="I76" s="22"/>
      <c r="J76" s="30"/>
      <c r="L76" s="22"/>
      <c r="O76" s="30"/>
      <c r="P76" s="22"/>
    </row>
    <row r="77" spans="1:35" x14ac:dyDescent="0.25">
      <c r="D77" s="30"/>
      <c r="E77" s="22"/>
      <c r="F77" s="30"/>
      <c r="G77" s="30"/>
      <c r="H77" s="30"/>
      <c r="I77" s="22"/>
      <c r="J77" s="30"/>
      <c r="L77" s="22"/>
      <c r="O77" s="30"/>
      <c r="P77" s="22"/>
    </row>
    <row r="78" spans="1:35" x14ac:dyDescent="0.25">
      <c r="D78" s="30"/>
      <c r="E78" s="22"/>
      <c r="F78" s="30"/>
      <c r="G78" s="30"/>
      <c r="H78" s="30"/>
      <c r="I78" s="22"/>
      <c r="J78" s="30"/>
      <c r="L78" s="22"/>
      <c r="O78" s="30"/>
      <c r="P78" s="22"/>
    </row>
    <row r="79" spans="1:35" s="17" customFormat="1" ht="13" x14ac:dyDescent="0.3">
      <c r="A79" s="21"/>
      <c r="B79" s="1"/>
      <c r="C79" s="1"/>
      <c r="D79" s="30"/>
      <c r="E79" s="22"/>
      <c r="F79" s="30"/>
      <c r="G79" s="30"/>
      <c r="H79" s="30"/>
      <c r="I79" s="22"/>
      <c r="J79" s="30"/>
      <c r="K79" s="1"/>
      <c r="L79" s="22"/>
      <c r="M79" s="1"/>
      <c r="N79" s="1"/>
      <c r="O79" s="30"/>
      <c r="P79" s="22"/>
      <c r="Q79" s="1"/>
      <c r="R79" s="1"/>
      <c r="S79" s="1"/>
      <c r="T79" s="1"/>
      <c r="U79" s="1"/>
      <c r="V79" s="1"/>
      <c r="AE79" s="1"/>
    </row>
    <row r="80" spans="1:35" s="17" customFormat="1" ht="13" x14ac:dyDescent="0.3">
      <c r="A80" s="21"/>
      <c r="B80" s="1"/>
      <c r="C80" s="1"/>
      <c r="D80" s="30"/>
      <c r="E80" s="22"/>
      <c r="F80" s="30"/>
      <c r="G80" s="30"/>
      <c r="H80" s="30"/>
      <c r="I80" s="22"/>
      <c r="J80" s="30"/>
      <c r="K80" s="1"/>
      <c r="L80" s="22"/>
      <c r="M80" s="1"/>
      <c r="N80" s="1"/>
      <c r="O80" s="30"/>
      <c r="P80" s="22"/>
      <c r="Q80" s="1"/>
      <c r="R80" s="1"/>
      <c r="S80" s="1"/>
      <c r="T80" s="1"/>
      <c r="U80" s="1"/>
      <c r="V80" s="1"/>
    </row>
    <row r="81" spans="1:31" ht="13" x14ac:dyDescent="0.3">
      <c r="D81" s="30"/>
      <c r="E81" s="22"/>
      <c r="F81" s="30"/>
      <c r="G81" s="30"/>
      <c r="H81" s="30"/>
      <c r="I81" s="22"/>
      <c r="J81" s="30"/>
      <c r="L81" s="22"/>
      <c r="O81" s="30"/>
      <c r="P81" s="22"/>
      <c r="AE81" s="17"/>
    </row>
    <row r="82" spans="1:31" x14ac:dyDescent="0.25">
      <c r="D82" s="30"/>
      <c r="E82" s="22"/>
      <c r="F82" s="30"/>
      <c r="G82" s="30"/>
      <c r="H82" s="30"/>
      <c r="I82" s="22"/>
      <c r="J82" s="30"/>
      <c r="L82" s="22"/>
      <c r="O82" s="30"/>
      <c r="P82" s="22"/>
    </row>
    <row r="83" spans="1:31" x14ac:dyDescent="0.25">
      <c r="D83" s="30"/>
      <c r="E83" s="22"/>
      <c r="F83" s="30"/>
      <c r="G83" s="30"/>
      <c r="H83" s="30"/>
      <c r="I83" s="22"/>
      <c r="J83" s="30"/>
      <c r="L83" s="22"/>
      <c r="O83" s="30"/>
      <c r="P83" s="22"/>
    </row>
    <row r="84" spans="1:31" s="17" customFormat="1" ht="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AC84" s="1"/>
      <c r="AD84" s="1"/>
    </row>
    <row r="85" spans="1:31" x14ac:dyDescent="0.25">
      <c r="A85" s="33"/>
      <c r="B85" s="3"/>
      <c r="C85" s="3"/>
      <c r="D85" s="3"/>
      <c r="E85" s="3"/>
      <c r="F85" s="22"/>
      <c r="G85" s="22"/>
      <c r="H85" s="22"/>
      <c r="I85" s="22"/>
      <c r="J85" s="22"/>
      <c r="K85" s="22"/>
      <c r="L85" s="22"/>
      <c r="M85" s="22"/>
      <c r="O85" s="22"/>
      <c r="P85" s="22"/>
    </row>
    <row r="86" spans="1:31" ht="13" x14ac:dyDescent="0.3">
      <c r="A86" s="95"/>
      <c r="B86" s="17"/>
      <c r="C86" s="17"/>
      <c r="D86" s="97"/>
      <c r="E86" s="97"/>
      <c r="F86" s="97"/>
      <c r="G86" s="96"/>
      <c r="H86" s="96"/>
      <c r="I86" s="97"/>
      <c r="L86" s="22"/>
      <c r="O86" s="22"/>
      <c r="P86" s="22"/>
    </row>
    <row r="87" spans="1:31" x14ac:dyDescent="0.25">
      <c r="A87" s="1"/>
    </row>
    <row r="88" spans="1:31" x14ac:dyDescent="0.25">
      <c r="A88" s="1"/>
    </row>
    <row r="90" spans="1:31" x14ac:dyDescent="0.25">
      <c r="A90" s="1"/>
    </row>
    <row r="91" spans="1:31" x14ac:dyDescent="0.25">
      <c r="A91" s="1"/>
    </row>
    <row r="92" spans="1:31" x14ac:dyDescent="0.25">
      <c r="A92" s="1"/>
    </row>
    <row r="93" spans="1:31" x14ac:dyDescent="0.25">
      <c r="A93" s="1"/>
    </row>
    <row r="94" spans="1:31" x14ac:dyDescent="0.25">
      <c r="A94" s="1"/>
    </row>
    <row r="95" spans="1:31" x14ac:dyDescent="0.25">
      <c r="A95" s="1"/>
    </row>
    <row r="96" spans="1:3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</sheetData>
  <pageMargins left="0.25" right="0.25" top="0.75" bottom="0.75" header="0.3" footer="0.3"/>
  <pageSetup paperSize="9" orientation="landscape" r:id="rId1"/>
  <headerFooter>
    <oddHeader xml:space="preserve">&amp;C&amp;"Arial,Bold"&amp;14Kitwanga Transfer Station PPP Mega-Bag Tracking            
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3DBB-F3A2-4A54-BD9E-8B60E7D5B28F}">
  <sheetPr>
    <tabColor theme="8" tint="0.39997558519241921"/>
  </sheetPr>
  <dimension ref="A1:AG85"/>
  <sheetViews>
    <sheetView zoomScale="98" zoomScaleNormal="98" workbookViewId="0">
      <pane ySplit="1" topLeftCell="A2" activePane="bottomLeft" state="frozen"/>
      <selection pane="bottomLeft" activeCell="S11" sqref="S11"/>
    </sheetView>
  </sheetViews>
  <sheetFormatPr defaultColWidth="9.1796875" defaultRowHeight="18.75" customHeight="1" x14ac:dyDescent="0.3"/>
  <cols>
    <col min="1" max="1" width="19.54296875" style="55" bestFit="1" customWidth="1"/>
    <col min="2" max="3" width="12.54296875" style="55" hidden="1" customWidth="1"/>
    <col min="4" max="4" width="12.54296875" style="55" customWidth="1"/>
    <col min="5" max="5" width="12.26953125" style="55" bestFit="1" customWidth="1"/>
    <col min="6" max="6" width="10.7265625" style="55" hidden="1" customWidth="1"/>
    <col min="7" max="7" width="13.26953125" style="55" bestFit="1" customWidth="1"/>
    <col min="8" max="8" width="13" style="55" bestFit="1" customWidth="1"/>
    <col min="9" max="9" width="13.26953125" style="55" bestFit="1" customWidth="1"/>
    <col min="10" max="10" width="12.81640625" style="55" bestFit="1" customWidth="1"/>
    <col min="11" max="11" width="12.54296875" style="55" customWidth="1"/>
    <col min="12" max="12" width="12.54296875" style="55" hidden="1" customWidth="1"/>
    <col min="13" max="14" width="11.1796875" style="55" customWidth="1"/>
    <col min="15" max="15" width="11.54296875" style="55" customWidth="1"/>
    <col min="16" max="19" width="9.1796875" style="55"/>
    <col min="20" max="20" width="12.54296875" style="55" customWidth="1"/>
    <col min="21" max="21" width="11" style="55" bestFit="1" customWidth="1"/>
    <col min="22" max="22" width="8.1796875" style="55" bestFit="1" customWidth="1"/>
    <col min="23" max="28" width="9.1796875" style="55"/>
    <col min="29" max="30" width="9.1796875" style="55" customWidth="1"/>
    <col min="31" max="31" width="9.7265625" style="69" bestFit="1" customWidth="1"/>
    <col min="32" max="32" width="9.1796875" style="257"/>
    <col min="33" max="33" width="11.26953125" style="257" bestFit="1" customWidth="1"/>
    <col min="34" max="16384" width="9.1796875" style="55"/>
  </cols>
  <sheetData>
    <row r="1" spans="1:33" ht="91.5" thickBot="1" x14ac:dyDescent="0.35">
      <c r="A1" s="101" t="s">
        <v>141</v>
      </c>
      <c r="B1" s="106" t="s">
        <v>120</v>
      </c>
      <c r="C1" s="106" t="s">
        <v>114</v>
      </c>
      <c r="D1" s="106" t="s">
        <v>78</v>
      </c>
      <c r="E1" s="106" t="s">
        <v>121</v>
      </c>
      <c r="F1" s="106" t="s">
        <v>62</v>
      </c>
      <c r="G1" s="106" t="s">
        <v>111</v>
      </c>
      <c r="H1" s="186" t="s">
        <v>98</v>
      </c>
      <c r="I1" s="175" t="s">
        <v>18</v>
      </c>
      <c r="J1" s="175" t="s">
        <v>19</v>
      </c>
      <c r="K1" s="175" t="s">
        <v>20</v>
      </c>
      <c r="L1" s="165" t="s">
        <v>110</v>
      </c>
      <c r="M1" s="106" t="s">
        <v>109</v>
      </c>
      <c r="N1" s="106" t="s">
        <v>122</v>
      </c>
      <c r="O1" s="121" t="s">
        <v>80</v>
      </c>
      <c r="P1" s="121" t="s">
        <v>106</v>
      </c>
      <c r="Q1" s="121" t="s">
        <v>81</v>
      </c>
      <c r="R1" s="121" t="s">
        <v>105</v>
      </c>
      <c r="S1" s="121" t="s">
        <v>84</v>
      </c>
      <c r="T1" s="121" t="s">
        <v>104</v>
      </c>
      <c r="U1" s="121" t="s">
        <v>85</v>
      </c>
      <c r="V1" s="121" t="s">
        <v>86</v>
      </c>
      <c r="W1" s="121" t="s">
        <v>82</v>
      </c>
      <c r="X1" s="121" t="s">
        <v>103</v>
      </c>
      <c r="Y1" s="121" t="s">
        <v>161</v>
      </c>
      <c r="Z1" s="121" t="s">
        <v>83</v>
      </c>
      <c r="AA1" s="121" t="s">
        <v>112</v>
      </c>
      <c r="AB1" s="121" t="s">
        <v>119</v>
      </c>
      <c r="AC1" s="121" t="s">
        <v>113</v>
      </c>
      <c r="AD1" s="121" t="s">
        <v>150</v>
      </c>
      <c r="AE1" s="256" t="s">
        <v>151</v>
      </c>
      <c r="AF1" s="121" t="s">
        <v>87</v>
      </c>
      <c r="AG1" s="122" t="s">
        <v>89</v>
      </c>
    </row>
    <row r="2" spans="1:33" ht="14" x14ac:dyDescent="0.3">
      <c r="A2" s="73">
        <v>43834</v>
      </c>
      <c r="B2" s="73"/>
      <c r="C2" s="74"/>
      <c r="D2" s="74">
        <v>0.7</v>
      </c>
      <c r="E2" s="176"/>
      <c r="F2" s="78"/>
      <c r="G2" s="223">
        <f>(D2*$B$68)</f>
        <v>244.99999999999997</v>
      </c>
      <c r="H2" s="161">
        <f>SUM(E2:G2)</f>
        <v>244.99999999999997</v>
      </c>
      <c r="I2" s="176"/>
      <c r="J2" s="161"/>
      <c r="K2" s="177"/>
      <c r="L2" s="169"/>
      <c r="M2" s="74">
        <v>0.35199999999999998</v>
      </c>
      <c r="N2" s="176"/>
      <c r="O2" s="117"/>
      <c r="P2" s="117"/>
      <c r="Q2" s="117"/>
      <c r="R2" s="118"/>
      <c r="S2" s="118"/>
      <c r="T2" s="118"/>
      <c r="U2" s="118"/>
      <c r="V2" s="118"/>
      <c r="W2" s="119"/>
      <c r="X2" s="117"/>
      <c r="Y2" s="117"/>
      <c r="Z2" s="117">
        <f>X2+Y2</f>
        <v>0</v>
      </c>
      <c r="AA2" s="117"/>
      <c r="AB2" s="117"/>
      <c r="AC2" s="117"/>
      <c r="AD2" s="117"/>
      <c r="AE2" s="161"/>
      <c r="AF2" s="265">
        <f>M2+O2+Q2+AD2+AA2+S2+U2</f>
        <v>0.35199999999999998</v>
      </c>
      <c r="AG2" s="258">
        <f>P2+R2+T2+X2+Y2+AB2+AE2+N2-V2</f>
        <v>0</v>
      </c>
    </row>
    <row r="3" spans="1:33" ht="18.75" customHeight="1" x14ac:dyDescent="0.3">
      <c r="A3" s="19">
        <f>A2+7</f>
        <v>43841</v>
      </c>
      <c r="B3" s="19"/>
      <c r="C3" s="24"/>
      <c r="D3" s="24"/>
      <c r="E3" s="35"/>
      <c r="F3" s="16"/>
      <c r="G3" s="223">
        <f t="shared" ref="G3:G66" si="0">(D3*$B$68)</f>
        <v>0</v>
      </c>
      <c r="H3" s="162">
        <f>SUM(E3:G3)</f>
        <v>0</v>
      </c>
      <c r="I3" s="35"/>
      <c r="J3" s="162"/>
      <c r="K3" s="178"/>
      <c r="L3" s="170"/>
      <c r="M3" s="24"/>
      <c r="N3" s="35">
        <v>-69.97</v>
      </c>
      <c r="O3" s="115"/>
      <c r="P3" s="115"/>
      <c r="Q3" s="115"/>
      <c r="R3" s="115"/>
      <c r="S3" s="115"/>
      <c r="T3" s="115"/>
      <c r="U3" s="115"/>
      <c r="V3" s="115"/>
      <c r="W3" s="115"/>
      <c r="X3" s="114"/>
      <c r="Y3" s="115"/>
      <c r="Z3" s="117">
        <f t="shared" ref="Z3:Z65" si="1">X3+Y3</f>
        <v>0</v>
      </c>
      <c r="AA3" s="115"/>
      <c r="AB3" s="115"/>
      <c r="AC3" s="115"/>
      <c r="AD3" s="115"/>
      <c r="AE3" s="163"/>
      <c r="AF3" s="265">
        <f t="shared" ref="AF3:AF66" si="2">M3+O3+Q3+AD3+AA3+S3+U3</f>
        <v>0</v>
      </c>
      <c r="AG3" s="258">
        <f t="shared" ref="AG3:AG66" si="3">P3+R3+T3+X3+Y3+AB3+AE3+N3-V3</f>
        <v>-69.97</v>
      </c>
    </row>
    <row r="4" spans="1:33" ht="18.75" customHeight="1" x14ac:dyDescent="0.3">
      <c r="A4" s="19">
        <f>A3+7</f>
        <v>43848</v>
      </c>
      <c r="B4" s="19"/>
      <c r="C4" s="24"/>
      <c r="D4" s="24">
        <v>0.83</v>
      </c>
      <c r="E4" s="35"/>
      <c r="F4" s="16"/>
      <c r="G4" s="223">
        <f t="shared" si="0"/>
        <v>290.5</v>
      </c>
      <c r="H4" s="162">
        <f>SUM(E4:G4)</f>
        <v>290.5</v>
      </c>
      <c r="I4" s="35"/>
      <c r="J4" s="162"/>
      <c r="K4" s="178"/>
      <c r="L4" s="170"/>
      <c r="M4" s="24"/>
      <c r="N4" s="35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7">
        <f t="shared" si="1"/>
        <v>0</v>
      </c>
      <c r="AA4" s="114"/>
      <c r="AB4" s="114"/>
      <c r="AC4" s="114"/>
      <c r="AD4" s="114"/>
      <c r="AE4" s="162"/>
      <c r="AF4" s="265">
        <f t="shared" si="2"/>
        <v>0</v>
      </c>
      <c r="AG4" s="258">
        <f t="shared" si="3"/>
        <v>0</v>
      </c>
    </row>
    <row r="5" spans="1:33" ht="18.75" customHeight="1" x14ac:dyDescent="0.3">
      <c r="A5" s="19">
        <f>A4+7</f>
        <v>43855</v>
      </c>
      <c r="B5" s="19"/>
      <c r="C5" s="24"/>
      <c r="D5" s="24"/>
      <c r="E5" s="35"/>
      <c r="F5" s="35"/>
      <c r="G5" s="223">
        <f t="shared" si="0"/>
        <v>0</v>
      </c>
      <c r="H5" s="162">
        <f>SUM(E5:G5)</f>
        <v>0</v>
      </c>
      <c r="I5" s="35"/>
      <c r="J5" s="162"/>
      <c r="K5" s="178"/>
      <c r="L5" s="170"/>
      <c r="M5" s="24"/>
      <c r="N5" s="35">
        <v>-76.56</v>
      </c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7">
        <f t="shared" si="1"/>
        <v>0</v>
      </c>
      <c r="AA5" s="114"/>
      <c r="AB5" s="114"/>
      <c r="AC5" s="114"/>
      <c r="AD5" s="114"/>
      <c r="AE5" s="162"/>
      <c r="AF5" s="265">
        <f t="shared" si="2"/>
        <v>0</v>
      </c>
      <c r="AG5" s="258">
        <f t="shared" si="3"/>
        <v>-76.56</v>
      </c>
    </row>
    <row r="6" spans="1:33" ht="18.75" customHeight="1" x14ac:dyDescent="0.3">
      <c r="A6" s="27" t="s">
        <v>54</v>
      </c>
      <c r="B6" s="28">
        <f>SUBTOTAL(109,B2:B5)</f>
        <v>0</v>
      </c>
      <c r="C6" s="28">
        <f>SUBTOTAL(109,C2:C5)</f>
        <v>0</v>
      </c>
      <c r="D6" s="28">
        <f>SUBTOTAL(109,D2:D5)</f>
        <v>1.5299999999999998</v>
      </c>
      <c r="E6" s="39">
        <f>SUBTOTAL(109,E2:E5)</f>
        <v>0</v>
      </c>
      <c r="F6" s="28">
        <f>SUBTOTAL(109,F2:F5)</f>
        <v>0</v>
      </c>
      <c r="G6" s="39">
        <f t="shared" si="0"/>
        <v>535.49999999999989</v>
      </c>
      <c r="H6" s="40">
        <f>SUBTOTAL(109,H2:H5)</f>
        <v>535.5</v>
      </c>
      <c r="I6" s="39">
        <f>SUM(E6:F6)/D6</f>
        <v>0</v>
      </c>
      <c r="J6" s="40">
        <f>$B$68</f>
        <v>350</v>
      </c>
      <c r="K6" s="111">
        <f>H6/D6</f>
        <v>350.00000000000006</v>
      </c>
      <c r="L6" s="126">
        <f t="shared" ref="L6:AC6" si="4">SUBTOTAL(109,L2:L5)</f>
        <v>0</v>
      </c>
      <c r="M6" s="28">
        <f t="shared" si="4"/>
        <v>0.35199999999999998</v>
      </c>
      <c r="N6" s="28">
        <f t="shared" si="4"/>
        <v>-146.53</v>
      </c>
      <c r="O6" s="148">
        <f t="shared" si="4"/>
        <v>0</v>
      </c>
      <c r="P6" s="28">
        <f t="shared" si="4"/>
        <v>0</v>
      </c>
      <c r="Q6" s="28">
        <f t="shared" si="4"/>
        <v>0</v>
      </c>
      <c r="R6" s="28">
        <f t="shared" si="4"/>
        <v>0</v>
      </c>
      <c r="S6" s="28">
        <f t="shared" si="4"/>
        <v>0</v>
      </c>
      <c r="T6" s="28">
        <f t="shared" si="4"/>
        <v>0</v>
      </c>
      <c r="U6" s="28">
        <f t="shared" si="4"/>
        <v>0</v>
      </c>
      <c r="V6" s="28">
        <f t="shared" si="4"/>
        <v>0</v>
      </c>
      <c r="W6" s="28">
        <f t="shared" si="4"/>
        <v>0</v>
      </c>
      <c r="X6" s="28">
        <f t="shared" si="4"/>
        <v>0</v>
      </c>
      <c r="Y6" s="28">
        <f t="shared" si="4"/>
        <v>0</v>
      </c>
      <c r="Z6" s="123">
        <f t="shared" si="1"/>
        <v>0</v>
      </c>
      <c r="AA6" s="28">
        <f t="shared" si="4"/>
        <v>0</v>
      </c>
      <c r="AB6" s="28">
        <f t="shared" si="4"/>
        <v>0</v>
      </c>
      <c r="AC6" s="28">
        <f t="shared" si="4"/>
        <v>0</v>
      </c>
      <c r="AD6" s="28">
        <f>SUBTOTAL(109,AD2:AD5)</f>
        <v>0</v>
      </c>
      <c r="AE6" s="39">
        <f>SUBTOTAL(109,AE2:AE5)</f>
        <v>0</v>
      </c>
      <c r="AF6" s="266">
        <f t="shared" si="2"/>
        <v>0.35199999999999998</v>
      </c>
      <c r="AG6" s="267">
        <f t="shared" si="3"/>
        <v>-146.53</v>
      </c>
    </row>
    <row r="7" spans="1:33" ht="18.75" customHeight="1" x14ac:dyDescent="0.3">
      <c r="A7" s="19">
        <f>A5+7</f>
        <v>43862</v>
      </c>
      <c r="B7" s="19"/>
      <c r="C7" s="24"/>
      <c r="D7" s="24">
        <v>0.88</v>
      </c>
      <c r="E7" s="35"/>
      <c r="F7" s="35"/>
      <c r="G7" s="223">
        <f t="shared" si="0"/>
        <v>308</v>
      </c>
      <c r="H7" s="161">
        <f>SUM(E7:G7)</f>
        <v>308</v>
      </c>
      <c r="I7" s="35"/>
      <c r="J7" s="162"/>
      <c r="K7" s="224">
        <f t="shared" ref="K7:K66" si="5">H7/D7</f>
        <v>350</v>
      </c>
      <c r="L7" s="170"/>
      <c r="M7" s="24"/>
      <c r="N7" s="35">
        <v>-45.12</v>
      </c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7">
        <f t="shared" si="1"/>
        <v>0</v>
      </c>
      <c r="AA7" s="114"/>
      <c r="AB7" s="114"/>
      <c r="AC7" s="114"/>
      <c r="AD7" s="114"/>
      <c r="AE7" s="162"/>
      <c r="AF7" s="265">
        <f t="shared" si="2"/>
        <v>0</v>
      </c>
      <c r="AG7" s="258">
        <f t="shared" si="3"/>
        <v>-45.12</v>
      </c>
    </row>
    <row r="8" spans="1:33" ht="18.75" customHeight="1" x14ac:dyDescent="0.3">
      <c r="A8" s="19">
        <f>A7+7</f>
        <v>43869</v>
      </c>
      <c r="B8" s="19"/>
      <c r="C8" s="24"/>
      <c r="D8" s="24"/>
      <c r="E8" s="35"/>
      <c r="F8" s="35"/>
      <c r="G8" s="223">
        <f t="shared" si="0"/>
        <v>0</v>
      </c>
      <c r="H8" s="162">
        <f>SUM(E8:G8)</f>
        <v>0</v>
      </c>
      <c r="I8" s="35"/>
      <c r="J8" s="162"/>
      <c r="K8" s="224" t="e">
        <f t="shared" si="5"/>
        <v>#DIV/0!</v>
      </c>
      <c r="L8" s="170"/>
      <c r="M8" s="24"/>
      <c r="N8" s="35"/>
      <c r="O8" s="116"/>
      <c r="P8" s="115"/>
      <c r="Q8" s="115"/>
      <c r="R8" s="114"/>
      <c r="S8" s="114"/>
      <c r="T8" s="114"/>
      <c r="U8" s="114"/>
      <c r="V8" s="114"/>
      <c r="W8" s="115"/>
      <c r="X8" s="115"/>
      <c r="Y8" s="115"/>
      <c r="Z8" s="117">
        <f t="shared" si="1"/>
        <v>0</v>
      </c>
      <c r="AA8" s="115"/>
      <c r="AB8" s="115"/>
      <c r="AC8" s="115"/>
      <c r="AD8" s="115"/>
      <c r="AE8" s="163"/>
      <c r="AF8" s="265">
        <f t="shared" si="2"/>
        <v>0</v>
      </c>
      <c r="AG8" s="258">
        <f t="shared" si="3"/>
        <v>0</v>
      </c>
    </row>
    <row r="9" spans="1:33" ht="18.75" customHeight="1" x14ac:dyDescent="0.3">
      <c r="A9" s="19">
        <f>A8+7</f>
        <v>43876</v>
      </c>
      <c r="B9" s="19"/>
      <c r="C9" s="24"/>
      <c r="D9" s="24">
        <v>0.87</v>
      </c>
      <c r="E9" s="35">
        <v>965.3</v>
      </c>
      <c r="F9" s="35"/>
      <c r="G9" s="223">
        <f t="shared" si="0"/>
        <v>304.5</v>
      </c>
      <c r="H9" s="162">
        <f>SUM(E9:G9)</f>
        <v>1269.8</v>
      </c>
      <c r="I9" s="35"/>
      <c r="J9" s="162"/>
      <c r="K9" s="224">
        <f t="shared" si="5"/>
        <v>1459.5402298850574</v>
      </c>
      <c r="L9" s="170"/>
      <c r="M9" s="24"/>
      <c r="N9" s="35">
        <v>-43.63</v>
      </c>
      <c r="O9" s="114"/>
      <c r="P9" s="114"/>
      <c r="Q9" s="114"/>
      <c r="R9" s="115"/>
      <c r="S9" s="115"/>
      <c r="T9" s="115"/>
      <c r="U9" s="115"/>
      <c r="V9" s="115"/>
      <c r="W9" s="114"/>
      <c r="X9" s="114"/>
      <c r="Y9" s="114"/>
      <c r="Z9" s="117">
        <f t="shared" si="1"/>
        <v>0</v>
      </c>
      <c r="AA9" s="114"/>
      <c r="AB9" s="114"/>
      <c r="AC9" s="114"/>
      <c r="AD9" s="114"/>
      <c r="AE9" s="162"/>
      <c r="AF9" s="265">
        <f t="shared" si="2"/>
        <v>0</v>
      </c>
      <c r="AG9" s="258">
        <f t="shared" si="3"/>
        <v>-43.63</v>
      </c>
    </row>
    <row r="10" spans="1:33" ht="18.75" customHeight="1" x14ac:dyDescent="0.3">
      <c r="A10" s="19">
        <f>A9+7</f>
        <v>43883</v>
      </c>
      <c r="B10" s="19"/>
      <c r="C10" s="24"/>
      <c r="D10" s="24">
        <f>0.6+0.48</f>
        <v>1.08</v>
      </c>
      <c r="E10" s="35">
        <v>440.55</v>
      </c>
      <c r="F10" s="35"/>
      <c r="G10" s="223">
        <f t="shared" si="0"/>
        <v>378</v>
      </c>
      <c r="H10" s="162">
        <f>SUM(E10:G10)</f>
        <v>818.55</v>
      </c>
      <c r="I10" s="35"/>
      <c r="J10" s="162"/>
      <c r="K10" s="224">
        <f t="shared" si="5"/>
        <v>757.91666666666663</v>
      </c>
      <c r="L10" s="170"/>
      <c r="M10" s="24"/>
      <c r="N10" s="35">
        <v>-76.56</v>
      </c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7">
        <f t="shared" si="1"/>
        <v>0</v>
      </c>
      <c r="AA10" s="114"/>
      <c r="AB10" s="114"/>
      <c r="AC10" s="114"/>
      <c r="AD10" s="114">
        <v>1</v>
      </c>
      <c r="AE10" s="162">
        <v>-94.5</v>
      </c>
      <c r="AF10" s="265">
        <f t="shared" si="2"/>
        <v>1</v>
      </c>
      <c r="AG10" s="258">
        <f t="shared" si="3"/>
        <v>-171.06</v>
      </c>
    </row>
    <row r="11" spans="1:33" ht="18.75" customHeight="1" x14ac:dyDescent="0.3">
      <c r="A11" s="27" t="s">
        <v>55</v>
      </c>
      <c r="B11" s="28">
        <f>SUBTOTAL(109,B7:B10)</f>
        <v>0</v>
      </c>
      <c r="C11" s="28">
        <f>SUBTOTAL(109,C7:C10)</f>
        <v>0</v>
      </c>
      <c r="D11" s="28">
        <f>SUBTOTAL(109,D7:D10)</f>
        <v>2.83</v>
      </c>
      <c r="E11" s="39">
        <f>SUBTOTAL(109,E7:E10)</f>
        <v>1405.85</v>
      </c>
      <c r="F11" s="28">
        <f>SUBTOTAL(109,F7:F10)</f>
        <v>0</v>
      </c>
      <c r="G11" s="39">
        <f t="shared" si="0"/>
        <v>990.5</v>
      </c>
      <c r="H11" s="40">
        <f>SUBTOTAL(109,H7:H10)</f>
        <v>2396.35</v>
      </c>
      <c r="I11" s="39">
        <f>SUM(E11:F11)/D11</f>
        <v>496.76678445229675</v>
      </c>
      <c r="J11" s="40">
        <f>$B$68</f>
        <v>350</v>
      </c>
      <c r="K11" s="111">
        <f t="shared" si="5"/>
        <v>846.76678445229675</v>
      </c>
      <c r="L11" s="126">
        <f t="shared" ref="L11:S11" si="6">SUBTOTAL(109,L7:L10)</f>
        <v>0</v>
      </c>
      <c r="M11" s="28">
        <f t="shared" si="6"/>
        <v>0</v>
      </c>
      <c r="N11" s="28">
        <f t="shared" si="6"/>
        <v>-165.31</v>
      </c>
      <c r="O11" s="148">
        <f t="shared" si="6"/>
        <v>0</v>
      </c>
      <c r="P11" s="28">
        <f t="shared" si="6"/>
        <v>0</v>
      </c>
      <c r="Q11" s="28">
        <f t="shared" si="6"/>
        <v>0</v>
      </c>
      <c r="R11" s="28">
        <f t="shared" si="6"/>
        <v>0</v>
      </c>
      <c r="S11" s="28">
        <f t="shared" si="6"/>
        <v>0</v>
      </c>
      <c r="T11" s="28">
        <f t="shared" ref="T11:AC11" si="7">SUBTOTAL(109,T7:T10)</f>
        <v>0</v>
      </c>
      <c r="U11" s="28">
        <f t="shared" si="7"/>
        <v>0</v>
      </c>
      <c r="V11" s="28">
        <f t="shared" si="7"/>
        <v>0</v>
      </c>
      <c r="W11" s="28">
        <f t="shared" si="7"/>
        <v>0</v>
      </c>
      <c r="X11" s="28">
        <f t="shared" si="7"/>
        <v>0</v>
      </c>
      <c r="Y11" s="28">
        <f t="shared" si="7"/>
        <v>0</v>
      </c>
      <c r="Z11" s="123">
        <f t="shared" si="1"/>
        <v>0</v>
      </c>
      <c r="AA11" s="28">
        <f t="shared" si="7"/>
        <v>0</v>
      </c>
      <c r="AB11" s="28">
        <f t="shared" si="7"/>
        <v>0</v>
      </c>
      <c r="AC11" s="28">
        <f t="shared" si="7"/>
        <v>0</v>
      </c>
      <c r="AD11" s="28">
        <f>SUBTOTAL(109,AD7:AD10)</f>
        <v>1</v>
      </c>
      <c r="AE11" s="39">
        <f>SUBTOTAL(109,AE7:AE10)</f>
        <v>-94.5</v>
      </c>
      <c r="AF11" s="266">
        <f t="shared" si="2"/>
        <v>1</v>
      </c>
      <c r="AG11" s="267">
        <f t="shared" si="3"/>
        <v>-259.81</v>
      </c>
    </row>
    <row r="12" spans="1:33" ht="18.75" customHeight="1" x14ac:dyDescent="0.3">
      <c r="A12" s="19">
        <f>A10+7</f>
        <v>43890</v>
      </c>
      <c r="B12" s="19"/>
      <c r="C12" s="24"/>
      <c r="D12" s="24"/>
      <c r="E12" s="35">
        <v>538.45000000000005</v>
      </c>
      <c r="F12" s="35"/>
      <c r="G12" s="223">
        <f t="shared" si="0"/>
        <v>0</v>
      </c>
      <c r="H12" s="161">
        <f>SUM(E12:G12)</f>
        <v>538.45000000000005</v>
      </c>
      <c r="I12" s="35"/>
      <c r="J12" s="162"/>
      <c r="K12" s="225" t="e">
        <f t="shared" si="5"/>
        <v>#DIV/0!</v>
      </c>
      <c r="L12" s="170"/>
      <c r="M12" s="24"/>
      <c r="N12" s="35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7">
        <f t="shared" si="1"/>
        <v>0</v>
      </c>
      <c r="AA12" s="114"/>
      <c r="AB12" s="114"/>
      <c r="AC12" s="114"/>
      <c r="AD12" s="114"/>
      <c r="AE12" s="162"/>
      <c r="AF12" s="265">
        <f t="shared" si="2"/>
        <v>0</v>
      </c>
      <c r="AG12" s="258">
        <f t="shared" si="3"/>
        <v>0</v>
      </c>
    </row>
    <row r="13" spans="1:33" ht="18.75" customHeight="1" x14ac:dyDescent="0.3">
      <c r="A13" s="19">
        <f>A12+7</f>
        <v>43897</v>
      </c>
      <c r="B13" s="19"/>
      <c r="C13" s="24"/>
      <c r="D13" s="24">
        <v>0.44</v>
      </c>
      <c r="E13" s="35"/>
      <c r="F13" s="35"/>
      <c r="G13" s="223">
        <f t="shared" si="0"/>
        <v>154</v>
      </c>
      <c r="H13" s="162">
        <f>SUM(E13:G13)</f>
        <v>154</v>
      </c>
      <c r="I13" s="35"/>
      <c r="J13" s="162"/>
      <c r="K13" s="225">
        <f t="shared" si="5"/>
        <v>350</v>
      </c>
      <c r="L13" s="170"/>
      <c r="M13" s="24"/>
      <c r="N13" s="35"/>
      <c r="O13" s="115"/>
      <c r="P13" s="115"/>
      <c r="Q13" s="115"/>
      <c r="R13" s="114"/>
      <c r="S13" s="114"/>
      <c r="T13" s="114"/>
      <c r="U13" s="114"/>
      <c r="V13" s="114"/>
      <c r="W13" s="115"/>
      <c r="X13" s="115"/>
      <c r="Y13" s="115"/>
      <c r="Z13" s="117">
        <f t="shared" si="1"/>
        <v>0</v>
      </c>
      <c r="AA13" s="115"/>
      <c r="AB13" s="115"/>
      <c r="AC13" s="115"/>
      <c r="AD13" s="115"/>
      <c r="AE13" s="163"/>
      <c r="AF13" s="265">
        <f t="shared" si="2"/>
        <v>0</v>
      </c>
      <c r="AG13" s="258">
        <f t="shared" si="3"/>
        <v>0</v>
      </c>
    </row>
    <row r="14" spans="1:33" ht="18.75" customHeight="1" x14ac:dyDescent="0.3">
      <c r="A14" s="19">
        <f>A13+7</f>
        <v>43904</v>
      </c>
      <c r="B14" s="19"/>
      <c r="C14" s="24"/>
      <c r="D14" s="24">
        <v>0.51</v>
      </c>
      <c r="E14" s="35">
        <v>431.6</v>
      </c>
      <c r="F14" s="35"/>
      <c r="G14" s="223">
        <f t="shared" si="0"/>
        <v>178.5</v>
      </c>
      <c r="H14" s="162">
        <f>SUM(E14:G14)</f>
        <v>610.1</v>
      </c>
      <c r="I14" s="35"/>
      <c r="J14" s="162"/>
      <c r="K14" s="225">
        <f t="shared" si="5"/>
        <v>1196.2745098039215</v>
      </c>
      <c r="L14" s="170"/>
      <c r="M14" s="24">
        <v>0.66100000000000003</v>
      </c>
      <c r="N14" s="35">
        <v>-98.41</v>
      </c>
      <c r="O14" s="114"/>
      <c r="P14" s="114"/>
      <c r="Q14" s="114"/>
      <c r="R14" s="115"/>
      <c r="S14" s="115"/>
      <c r="T14" s="115"/>
      <c r="U14" s="115"/>
      <c r="V14" s="115"/>
      <c r="W14" s="114"/>
      <c r="X14" s="114"/>
      <c r="Y14" s="114"/>
      <c r="Z14" s="117">
        <f t="shared" si="1"/>
        <v>0</v>
      </c>
      <c r="AA14" s="114"/>
      <c r="AB14" s="114"/>
      <c r="AC14" s="114"/>
      <c r="AD14" s="114"/>
      <c r="AE14" s="162"/>
      <c r="AF14" s="265">
        <f t="shared" si="2"/>
        <v>0.66100000000000003</v>
      </c>
      <c r="AG14" s="258">
        <f t="shared" si="3"/>
        <v>-98.41</v>
      </c>
    </row>
    <row r="15" spans="1:33" ht="18.75" customHeight="1" x14ac:dyDescent="0.3">
      <c r="A15" s="19">
        <f>A14+7</f>
        <v>43911</v>
      </c>
      <c r="B15" s="19"/>
      <c r="C15" s="24"/>
      <c r="D15" s="24">
        <v>0.45</v>
      </c>
      <c r="E15" s="35">
        <v>431.6</v>
      </c>
      <c r="F15" s="35"/>
      <c r="G15" s="223">
        <f t="shared" si="0"/>
        <v>157.5</v>
      </c>
      <c r="H15" s="162">
        <f>SUM(E15:G15)</f>
        <v>589.1</v>
      </c>
      <c r="I15" s="35"/>
      <c r="J15" s="162"/>
      <c r="K15" s="225">
        <f t="shared" si="5"/>
        <v>1309.1111111111111</v>
      </c>
      <c r="L15" s="170"/>
      <c r="M15" s="24">
        <v>0.22600000000000001</v>
      </c>
      <c r="N15" s="35">
        <v>-7.48</v>
      </c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7">
        <f t="shared" si="1"/>
        <v>0</v>
      </c>
      <c r="AA15" s="114"/>
      <c r="AB15" s="114"/>
      <c r="AC15" s="114"/>
      <c r="AD15" s="114"/>
      <c r="AE15" s="162"/>
      <c r="AF15" s="265">
        <f t="shared" si="2"/>
        <v>0.22600000000000001</v>
      </c>
      <c r="AG15" s="258">
        <f t="shared" si="3"/>
        <v>-7.48</v>
      </c>
    </row>
    <row r="16" spans="1:33" ht="18.75" customHeight="1" x14ac:dyDescent="0.3">
      <c r="A16" s="19">
        <f>A15+7</f>
        <v>43918</v>
      </c>
      <c r="B16" s="19"/>
      <c r="C16" s="24"/>
      <c r="D16" s="114">
        <v>0.34</v>
      </c>
      <c r="E16" s="35">
        <v>431.6</v>
      </c>
      <c r="F16" s="35"/>
      <c r="G16" s="223">
        <f t="shared" si="0"/>
        <v>119.00000000000001</v>
      </c>
      <c r="H16" s="161">
        <f>SUM(E16:G16)</f>
        <v>550.6</v>
      </c>
      <c r="I16" s="35"/>
      <c r="J16" s="162"/>
      <c r="K16" s="225">
        <f t="shared" si="5"/>
        <v>1619.4117647058822</v>
      </c>
      <c r="L16" s="125"/>
      <c r="M16" s="172">
        <v>0.19700000000000001</v>
      </c>
      <c r="N16" s="178">
        <f>-19.31-76.56</f>
        <v>-95.87</v>
      </c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7">
        <f t="shared" si="1"/>
        <v>0</v>
      </c>
      <c r="AA16" s="114"/>
      <c r="AB16" s="114"/>
      <c r="AC16" s="114"/>
      <c r="AD16" s="114"/>
      <c r="AE16" s="162"/>
      <c r="AF16" s="265">
        <f t="shared" si="2"/>
        <v>0.19700000000000001</v>
      </c>
      <c r="AG16" s="258">
        <f t="shared" si="3"/>
        <v>-95.87</v>
      </c>
    </row>
    <row r="17" spans="1:33" ht="18.75" customHeight="1" x14ac:dyDescent="0.3">
      <c r="A17" s="27" t="s">
        <v>56</v>
      </c>
      <c r="B17" s="28">
        <f>SUBTOTAL(109,B12:B16)</f>
        <v>0</v>
      </c>
      <c r="C17" s="28">
        <f>SUBTOTAL(109,C12:C16)</f>
        <v>0</v>
      </c>
      <c r="D17" s="28">
        <f>SUBTOTAL(109,D12:D16)</f>
        <v>1.74</v>
      </c>
      <c r="E17" s="39">
        <f>SUBTOTAL(109,E12:E16)</f>
        <v>1833.25</v>
      </c>
      <c r="F17" s="28">
        <f>SUBTOTAL(109,F12:F16)</f>
        <v>0</v>
      </c>
      <c r="G17" s="39">
        <f t="shared" si="0"/>
        <v>609</v>
      </c>
      <c r="H17" s="40">
        <f>SUBTOTAL(109,H13:H16)</f>
        <v>1903.8000000000002</v>
      </c>
      <c r="I17" s="39">
        <f>SUM(E17:F17)/D17</f>
        <v>1053.5919540229886</v>
      </c>
      <c r="J17" s="40">
        <f>$B$68</f>
        <v>350</v>
      </c>
      <c r="K17" s="111">
        <f t="shared" si="5"/>
        <v>1094.1379310344828</v>
      </c>
      <c r="L17" s="126">
        <f>SUBTOTAL(109,L12:L16)</f>
        <v>0</v>
      </c>
      <c r="M17" s="28">
        <f>SUBTOTAL(109,M12:M16)</f>
        <v>1.0840000000000001</v>
      </c>
      <c r="N17" s="28">
        <f>SUBTOTAL(109,N12:N16)</f>
        <v>-201.76</v>
      </c>
      <c r="O17" s="28">
        <f t="shared" ref="O17:AA17" si="8">SUBTOTAL(109,O12:O16)</f>
        <v>0</v>
      </c>
      <c r="P17" s="28">
        <f t="shared" si="8"/>
        <v>0</v>
      </c>
      <c r="Q17" s="28">
        <f t="shared" si="8"/>
        <v>0</v>
      </c>
      <c r="R17" s="28">
        <f t="shared" si="8"/>
        <v>0</v>
      </c>
      <c r="S17" s="28">
        <f t="shared" si="8"/>
        <v>0</v>
      </c>
      <c r="T17" s="28">
        <f t="shared" si="8"/>
        <v>0</v>
      </c>
      <c r="U17" s="28">
        <f t="shared" si="8"/>
        <v>0</v>
      </c>
      <c r="V17" s="28">
        <f t="shared" si="8"/>
        <v>0</v>
      </c>
      <c r="W17" s="28">
        <f t="shared" si="8"/>
        <v>0</v>
      </c>
      <c r="X17" s="28">
        <f t="shared" si="8"/>
        <v>0</v>
      </c>
      <c r="Y17" s="28">
        <f t="shared" si="8"/>
        <v>0</v>
      </c>
      <c r="Z17" s="123">
        <f t="shared" si="1"/>
        <v>0</v>
      </c>
      <c r="AA17" s="28">
        <f t="shared" si="8"/>
        <v>0</v>
      </c>
      <c r="AB17" s="28">
        <f>SUBTOTAL(109,AB12:AB16)</f>
        <v>0</v>
      </c>
      <c r="AC17" s="28">
        <f>SUBTOTAL(109,AC12:AC16)</f>
        <v>0</v>
      </c>
      <c r="AD17" s="28">
        <f>SUBTOTAL(109,AD12:AD16)</f>
        <v>0</v>
      </c>
      <c r="AE17" s="39">
        <f>SUBTOTAL(109,AE12:AE16)</f>
        <v>0</v>
      </c>
      <c r="AF17" s="266">
        <f t="shared" si="2"/>
        <v>1.0840000000000001</v>
      </c>
      <c r="AG17" s="267">
        <f t="shared" si="3"/>
        <v>-201.76</v>
      </c>
    </row>
    <row r="18" spans="1:33" ht="18.75" customHeight="1" x14ac:dyDescent="0.3">
      <c r="A18" s="19">
        <f>A16+7</f>
        <v>43925</v>
      </c>
      <c r="B18" s="19"/>
      <c r="C18" s="24"/>
      <c r="D18" s="114">
        <v>0.43</v>
      </c>
      <c r="E18" s="35">
        <v>489.5</v>
      </c>
      <c r="F18" s="35"/>
      <c r="G18" s="223">
        <f t="shared" si="0"/>
        <v>150.5</v>
      </c>
      <c r="H18" s="161">
        <f>SUM(E18:G18)</f>
        <v>640</v>
      </c>
      <c r="I18" s="35"/>
      <c r="J18" s="162"/>
      <c r="K18" s="224">
        <f t="shared" si="5"/>
        <v>1488.3720930232557</v>
      </c>
      <c r="L18" s="125"/>
      <c r="M18" s="172">
        <v>0.26500000000000001</v>
      </c>
      <c r="N18" s="178"/>
      <c r="O18" s="114"/>
      <c r="P18" s="114"/>
      <c r="Q18" s="114"/>
      <c r="R18" s="115"/>
      <c r="S18" s="115"/>
      <c r="T18" s="115"/>
      <c r="U18" s="115"/>
      <c r="V18" s="115"/>
      <c r="W18" s="114"/>
      <c r="X18" s="114"/>
      <c r="Y18" s="114"/>
      <c r="Z18" s="117">
        <f t="shared" si="1"/>
        <v>0</v>
      </c>
      <c r="AA18" s="114"/>
      <c r="AB18" s="114"/>
      <c r="AC18" s="114"/>
      <c r="AD18" s="114"/>
      <c r="AE18" s="162"/>
      <c r="AF18" s="265">
        <f t="shared" si="2"/>
        <v>0.26500000000000001</v>
      </c>
      <c r="AG18" s="258">
        <f t="shared" si="3"/>
        <v>0</v>
      </c>
    </row>
    <row r="19" spans="1:33" ht="18.75" customHeight="1" x14ac:dyDescent="0.3">
      <c r="A19" s="19">
        <f>A18+7</f>
        <v>43932</v>
      </c>
      <c r="B19" s="19"/>
      <c r="C19" s="24"/>
      <c r="D19" s="114"/>
      <c r="E19" s="35"/>
      <c r="F19" s="35"/>
      <c r="G19" s="223">
        <f t="shared" si="0"/>
        <v>0</v>
      </c>
      <c r="H19" s="162">
        <f>SUM(E19:G19)</f>
        <v>0</v>
      </c>
      <c r="I19" s="35"/>
      <c r="J19" s="162"/>
      <c r="K19" s="224" t="e">
        <f t="shared" si="5"/>
        <v>#DIV/0!</v>
      </c>
      <c r="L19" s="125"/>
      <c r="M19" s="172"/>
      <c r="N19" s="178">
        <v>-37.15</v>
      </c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7">
        <f t="shared" si="1"/>
        <v>0</v>
      </c>
      <c r="AA19" s="114"/>
      <c r="AB19" s="114"/>
      <c r="AC19" s="114"/>
      <c r="AD19" s="114"/>
      <c r="AE19" s="162"/>
      <c r="AF19" s="265">
        <f t="shared" si="2"/>
        <v>0</v>
      </c>
      <c r="AG19" s="258">
        <f t="shared" si="3"/>
        <v>-37.15</v>
      </c>
    </row>
    <row r="20" spans="1:33" ht="18.75" customHeight="1" x14ac:dyDescent="0.3">
      <c r="A20" s="19">
        <f>A19+7</f>
        <v>43939</v>
      </c>
      <c r="B20" s="19"/>
      <c r="C20" s="24"/>
      <c r="D20" s="167">
        <v>0.52</v>
      </c>
      <c r="E20" s="276">
        <v>750</v>
      </c>
      <c r="F20" s="168"/>
      <c r="G20" s="223">
        <f t="shared" si="0"/>
        <v>182</v>
      </c>
      <c r="H20" s="162">
        <f>SUM(E20:G20)</f>
        <v>932</v>
      </c>
      <c r="I20" s="35"/>
      <c r="J20" s="162"/>
      <c r="K20" s="224">
        <f t="shared" si="5"/>
        <v>1792.3076923076922</v>
      </c>
      <c r="L20" s="171"/>
      <c r="M20" s="24"/>
      <c r="N20" s="35">
        <v>-99.03</v>
      </c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7">
        <f t="shared" si="1"/>
        <v>0</v>
      </c>
      <c r="AA20" s="114"/>
      <c r="AB20" s="114"/>
      <c r="AC20" s="114"/>
      <c r="AD20" s="114"/>
      <c r="AE20" s="162"/>
      <c r="AF20" s="265">
        <f t="shared" si="2"/>
        <v>0</v>
      </c>
      <c r="AG20" s="258">
        <f t="shared" si="3"/>
        <v>-99.03</v>
      </c>
    </row>
    <row r="21" spans="1:33" ht="18.75" customHeight="1" x14ac:dyDescent="0.3">
      <c r="A21" s="19">
        <f>A20+7</f>
        <v>43946</v>
      </c>
      <c r="B21" s="19"/>
      <c r="C21" s="24"/>
      <c r="D21" s="114">
        <v>0.6</v>
      </c>
      <c r="E21" s="35">
        <v>489.5</v>
      </c>
      <c r="F21" s="35"/>
      <c r="G21" s="223">
        <f t="shared" si="0"/>
        <v>210</v>
      </c>
      <c r="H21" s="162">
        <f>SUM(E21:G21)</f>
        <v>699.5</v>
      </c>
      <c r="I21" s="35"/>
      <c r="J21" s="162"/>
      <c r="K21" s="224">
        <f t="shared" si="5"/>
        <v>1165.8333333333335</v>
      </c>
      <c r="L21" s="125"/>
      <c r="M21" s="172">
        <v>0.312</v>
      </c>
      <c r="N21" s="178"/>
      <c r="O21" s="114">
        <v>1.2</v>
      </c>
      <c r="P21" s="114">
        <v>-251.12</v>
      </c>
      <c r="Q21" s="114"/>
      <c r="R21" s="114"/>
      <c r="S21" s="114"/>
      <c r="T21" s="114"/>
      <c r="U21" s="114"/>
      <c r="V21" s="114"/>
      <c r="W21" s="114"/>
      <c r="X21" s="114"/>
      <c r="Y21" s="114"/>
      <c r="Z21" s="117">
        <f t="shared" si="1"/>
        <v>0</v>
      </c>
      <c r="AA21" s="114"/>
      <c r="AB21" s="114"/>
      <c r="AC21" s="114"/>
      <c r="AD21" s="114"/>
      <c r="AE21" s="162"/>
      <c r="AF21" s="265">
        <f t="shared" si="2"/>
        <v>1.512</v>
      </c>
      <c r="AG21" s="258">
        <f t="shared" si="3"/>
        <v>-251.12</v>
      </c>
    </row>
    <row r="22" spans="1:33" ht="18.75" customHeight="1" x14ac:dyDescent="0.3">
      <c r="A22" s="27" t="s">
        <v>57</v>
      </c>
      <c r="B22" s="28">
        <f>SUBTOTAL(109,B18:B21)</f>
        <v>0</v>
      </c>
      <c r="C22" s="28">
        <f>SUBTOTAL(109,C18:C21)</f>
        <v>0</v>
      </c>
      <c r="D22" s="28">
        <f>SUBTOTAL(109,D18:D21)</f>
        <v>1.5499999999999998</v>
      </c>
      <c r="E22" s="39">
        <f>SUBTOTAL(109,E18:E21)</f>
        <v>1729</v>
      </c>
      <c r="F22" s="28">
        <f>SUBTOTAL(109,F18:F21)</f>
        <v>0</v>
      </c>
      <c r="G22" s="39">
        <f t="shared" si="0"/>
        <v>542.49999999999989</v>
      </c>
      <c r="H22" s="82">
        <f>SUBTOTAL(109,H18:H21)</f>
        <v>2271.5</v>
      </c>
      <c r="I22" s="39">
        <f>SUM(E22:F22)/D22</f>
        <v>1115.483870967742</v>
      </c>
      <c r="J22" s="82">
        <f>$B$68</f>
        <v>350</v>
      </c>
      <c r="K22" s="111">
        <f t="shared" si="5"/>
        <v>1465.4838709677422</v>
      </c>
      <c r="L22" s="126">
        <f t="shared" ref="L22:AC22" si="9">SUBTOTAL(109,L18:L21)</f>
        <v>0</v>
      </c>
      <c r="M22" s="28">
        <f t="shared" si="9"/>
        <v>0.57699999999999996</v>
      </c>
      <c r="N22" s="28">
        <f t="shared" si="9"/>
        <v>-136.18</v>
      </c>
      <c r="O22" s="148">
        <f t="shared" si="9"/>
        <v>1.2</v>
      </c>
      <c r="P22" s="28">
        <f t="shared" si="9"/>
        <v>-251.12</v>
      </c>
      <c r="Q22" s="28">
        <f t="shared" si="9"/>
        <v>0</v>
      </c>
      <c r="R22" s="28">
        <f t="shared" si="9"/>
        <v>0</v>
      </c>
      <c r="S22" s="28">
        <f t="shared" si="9"/>
        <v>0</v>
      </c>
      <c r="T22" s="28">
        <f t="shared" si="9"/>
        <v>0</v>
      </c>
      <c r="U22" s="28">
        <f t="shared" si="9"/>
        <v>0</v>
      </c>
      <c r="V22" s="28">
        <f t="shared" si="9"/>
        <v>0</v>
      </c>
      <c r="W22" s="28">
        <f t="shared" si="9"/>
        <v>0</v>
      </c>
      <c r="X22" s="28">
        <f t="shared" si="9"/>
        <v>0</v>
      </c>
      <c r="Y22" s="28">
        <f t="shared" si="9"/>
        <v>0</v>
      </c>
      <c r="Z22" s="228">
        <f t="shared" si="1"/>
        <v>0</v>
      </c>
      <c r="AA22" s="28">
        <f t="shared" si="9"/>
        <v>0</v>
      </c>
      <c r="AB22" s="28">
        <f t="shared" si="9"/>
        <v>0</v>
      </c>
      <c r="AC22" s="28">
        <f t="shared" si="9"/>
        <v>0</v>
      </c>
      <c r="AD22" s="28">
        <f>SUBTOTAL(109,AD18:AD21)</f>
        <v>0</v>
      </c>
      <c r="AE22" s="39">
        <f>SUBTOTAL(109,AE18:AE21)</f>
        <v>0</v>
      </c>
      <c r="AF22" s="266">
        <f t="shared" si="2"/>
        <v>1.7769999999999999</v>
      </c>
      <c r="AG22" s="267">
        <f t="shared" si="3"/>
        <v>-387.3</v>
      </c>
    </row>
    <row r="23" spans="1:33" s="237" customFormat="1" ht="18.75" customHeight="1" x14ac:dyDescent="0.3">
      <c r="A23" s="235">
        <f>A21+7</f>
        <v>43953</v>
      </c>
      <c r="B23" s="235"/>
      <c r="C23" s="231"/>
      <c r="D23" s="231">
        <v>0.33</v>
      </c>
      <c r="E23" s="236">
        <v>377.65</v>
      </c>
      <c r="F23" s="232"/>
      <c r="G23" s="223">
        <f t="shared" si="0"/>
        <v>115.5</v>
      </c>
      <c r="H23" s="232">
        <f>SUM(E23:G23)</f>
        <v>493.15</v>
      </c>
      <c r="I23" s="232"/>
      <c r="J23" s="232"/>
      <c r="K23" s="224">
        <f t="shared" si="5"/>
        <v>1494.3939393939393</v>
      </c>
      <c r="L23" s="231"/>
      <c r="M23" s="231"/>
      <c r="N23" s="232"/>
      <c r="O23" s="231"/>
      <c r="P23" s="231"/>
      <c r="Q23" s="231"/>
      <c r="R23" s="233"/>
      <c r="S23" s="233"/>
      <c r="T23" s="233"/>
      <c r="U23" s="233"/>
      <c r="V23" s="233"/>
      <c r="W23" s="231"/>
      <c r="X23" s="231"/>
      <c r="Y23" s="231"/>
      <c r="Z23" s="231">
        <f t="shared" si="1"/>
        <v>0</v>
      </c>
      <c r="AA23" s="231"/>
      <c r="AB23" s="231"/>
      <c r="AC23" s="231"/>
      <c r="AD23" s="231"/>
      <c r="AE23" s="236"/>
      <c r="AF23" s="265">
        <f t="shared" si="2"/>
        <v>0</v>
      </c>
      <c r="AG23" s="258">
        <f t="shared" si="3"/>
        <v>0</v>
      </c>
    </row>
    <row r="24" spans="1:33" s="237" customFormat="1" ht="18.75" customHeight="1" x14ac:dyDescent="0.3">
      <c r="A24" s="235">
        <f>A23+7</f>
        <v>43960</v>
      </c>
      <c r="B24" s="235"/>
      <c r="C24" s="231"/>
      <c r="D24" s="231">
        <v>0.53</v>
      </c>
      <c r="E24" s="236">
        <v>489.5</v>
      </c>
      <c r="F24" s="232"/>
      <c r="G24" s="223">
        <f t="shared" si="0"/>
        <v>185.5</v>
      </c>
      <c r="H24" s="232">
        <f>SUM(E24:G24)</f>
        <v>675</v>
      </c>
      <c r="I24" s="232"/>
      <c r="J24" s="232"/>
      <c r="K24" s="224">
        <f t="shared" si="5"/>
        <v>1273.5849056603772</v>
      </c>
      <c r="L24" s="231"/>
      <c r="M24" s="231">
        <v>0.26400000000000001</v>
      </c>
      <c r="N24" s="232"/>
      <c r="O24" s="231"/>
      <c r="P24" s="231"/>
      <c r="Q24" s="231"/>
      <c r="R24" s="231"/>
      <c r="S24" s="231"/>
      <c r="T24" s="231"/>
      <c r="U24" s="231"/>
      <c r="V24" s="231"/>
      <c r="W24" s="231"/>
      <c r="X24" s="231"/>
      <c r="Y24" s="231"/>
      <c r="Z24" s="231">
        <f t="shared" si="1"/>
        <v>0</v>
      </c>
      <c r="AA24" s="231"/>
      <c r="AB24" s="231"/>
      <c r="AC24" s="231"/>
      <c r="AD24" s="231"/>
      <c r="AE24" s="236"/>
      <c r="AF24" s="265">
        <f t="shared" si="2"/>
        <v>0.26400000000000001</v>
      </c>
      <c r="AG24" s="258">
        <f t="shared" si="3"/>
        <v>0</v>
      </c>
    </row>
    <row r="25" spans="1:33" ht="18.75" customHeight="1" x14ac:dyDescent="0.3">
      <c r="A25" s="19">
        <f>A24+7</f>
        <v>43967</v>
      </c>
      <c r="B25" s="19"/>
      <c r="C25" s="24"/>
      <c r="D25" s="24">
        <v>0.48</v>
      </c>
      <c r="E25" s="35">
        <v>538.45000000000005</v>
      </c>
      <c r="F25" s="35"/>
      <c r="G25" s="223">
        <f t="shared" si="0"/>
        <v>168</v>
      </c>
      <c r="H25" s="162">
        <f>SUM(E25:G25)</f>
        <v>706.45</v>
      </c>
      <c r="I25" s="35"/>
      <c r="J25" s="162"/>
      <c r="K25" s="224">
        <f t="shared" si="5"/>
        <v>1471.7708333333335</v>
      </c>
      <c r="L25" s="230"/>
      <c r="M25" s="74"/>
      <c r="N25" s="176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>
        <f t="shared" si="1"/>
        <v>0</v>
      </c>
      <c r="AA25" s="117"/>
      <c r="AB25" s="117"/>
      <c r="AC25" s="117"/>
      <c r="AD25" s="117"/>
      <c r="AE25" s="161"/>
      <c r="AF25" s="265">
        <f t="shared" si="2"/>
        <v>0</v>
      </c>
      <c r="AG25" s="258">
        <f t="shared" si="3"/>
        <v>0</v>
      </c>
    </row>
    <row r="26" spans="1:33" ht="18.75" customHeight="1" x14ac:dyDescent="0.3">
      <c r="A26" s="19">
        <f>A25+7</f>
        <v>43974</v>
      </c>
      <c r="B26" s="19"/>
      <c r="C26" s="24"/>
      <c r="D26" s="24">
        <v>0.49</v>
      </c>
      <c r="E26" s="35"/>
      <c r="F26" s="35"/>
      <c r="G26" s="223">
        <f t="shared" si="0"/>
        <v>171.5</v>
      </c>
      <c r="H26" s="162">
        <f>SUM(E26:G26)</f>
        <v>171.5</v>
      </c>
      <c r="I26" s="35"/>
      <c r="J26" s="162"/>
      <c r="K26" s="224">
        <f t="shared" si="5"/>
        <v>350</v>
      </c>
      <c r="L26" s="125"/>
      <c r="M26" s="24"/>
      <c r="N26" s="35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7">
        <f t="shared" si="1"/>
        <v>0</v>
      </c>
      <c r="AA26" s="114"/>
      <c r="AB26" s="114"/>
      <c r="AC26" s="114"/>
      <c r="AD26" s="114"/>
      <c r="AE26" s="162"/>
      <c r="AF26" s="265">
        <f t="shared" si="2"/>
        <v>0</v>
      </c>
      <c r="AG26" s="258">
        <f t="shared" si="3"/>
        <v>0</v>
      </c>
    </row>
    <row r="27" spans="1:33" ht="18.75" customHeight="1" x14ac:dyDescent="0.3">
      <c r="A27" s="19">
        <f>A26+7</f>
        <v>43981</v>
      </c>
      <c r="B27" s="19"/>
      <c r="C27" s="24"/>
      <c r="D27" s="24">
        <v>0.49</v>
      </c>
      <c r="E27" s="35"/>
      <c r="F27" s="35"/>
      <c r="G27" s="223">
        <f>(D27*$B$68)</f>
        <v>171.5</v>
      </c>
      <c r="H27" s="161">
        <f>SUM(E27:G27)</f>
        <v>171.5</v>
      </c>
      <c r="I27" s="35"/>
      <c r="J27" s="162"/>
      <c r="K27" s="224">
        <f>H27/D27</f>
        <v>350</v>
      </c>
      <c r="L27" s="170"/>
      <c r="M27" s="24"/>
      <c r="N27" s="35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7">
        <f t="shared" si="1"/>
        <v>0</v>
      </c>
      <c r="AA27" s="114"/>
      <c r="AB27" s="114"/>
      <c r="AC27" s="114"/>
      <c r="AD27" s="114"/>
      <c r="AE27" s="162">
        <v>-195.56</v>
      </c>
      <c r="AF27" s="265">
        <f t="shared" si="2"/>
        <v>0</v>
      </c>
      <c r="AG27" s="258">
        <f t="shared" si="3"/>
        <v>-195.56</v>
      </c>
    </row>
    <row r="28" spans="1:33" ht="18.75" customHeight="1" x14ac:dyDescent="0.3">
      <c r="A28" s="27" t="s">
        <v>58</v>
      </c>
      <c r="B28" s="28">
        <f>SUBTOTAL(109,B23:B27)</f>
        <v>0</v>
      </c>
      <c r="C28" s="28">
        <f>SUBTOTAL(109,C23:C27)</f>
        <v>0</v>
      </c>
      <c r="D28" s="28">
        <f>SUBTOTAL(109,D23:D27)</f>
        <v>2.3200000000000003</v>
      </c>
      <c r="E28" s="39">
        <f>SUBTOTAL(109,E23:E27)</f>
        <v>1405.6</v>
      </c>
      <c r="F28" s="28">
        <f>SUBTOTAL(109,F23:F27)</f>
        <v>0</v>
      </c>
      <c r="G28" s="39">
        <f t="shared" si="0"/>
        <v>812.00000000000011</v>
      </c>
      <c r="H28" s="40">
        <f>SUBTOTAL(109,H24:H27)</f>
        <v>1724.45</v>
      </c>
      <c r="I28" s="39">
        <f>SUM(E28:F28)/D28</f>
        <v>605.8620689655171</v>
      </c>
      <c r="J28" s="40">
        <f>$B$68</f>
        <v>350</v>
      </c>
      <c r="K28" s="111">
        <f t="shared" si="5"/>
        <v>743.29741379310337</v>
      </c>
      <c r="L28" s="126">
        <f t="shared" ref="L28:Y28" si="10">SUBTOTAL(109,L23:L27)</f>
        <v>0</v>
      </c>
      <c r="M28" s="28">
        <f t="shared" si="10"/>
        <v>0.26400000000000001</v>
      </c>
      <c r="N28" s="28">
        <f t="shared" si="10"/>
        <v>0</v>
      </c>
      <c r="O28" s="28">
        <f t="shared" si="10"/>
        <v>0</v>
      </c>
      <c r="P28" s="28">
        <f t="shared" si="10"/>
        <v>0</v>
      </c>
      <c r="Q28" s="28">
        <f t="shared" si="10"/>
        <v>0</v>
      </c>
      <c r="R28" s="28">
        <f t="shared" si="10"/>
        <v>0</v>
      </c>
      <c r="S28" s="28">
        <f t="shared" si="10"/>
        <v>0</v>
      </c>
      <c r="T28" s="28">
        <f t="shared" si="10"/>
        <v>0</v>
      </c>
      <c r="U28" s="28">
        <f t="shared" si="10"/>
        <v>0</v>
      </c>
      <c r="V28" s="28">
        <f t="shared" si="10"/>
        <v>0</v>
      </c>
      <c r="W28" s="28">
        <f t="shared" si="10"/>
        <v>0</v>
      </c>
      <c r="X28" s="28">
        <f t="shared" si="10"/>
        <v>0</v>
      </c>
      <c r="Y28" s="28">
        <f t="shared" si="10"/>
        <v>0</v>
      </c>
      <c r="Z28" s="123">
        <f>X28+Y28</f>
        <v>0</v>
      </c>
      <c r="AA28" s="28">
        <f>SUBTOTAL(109,AA23:AA27)</f>
        <v>0</v>
      </c>
      <c r="AB28" s="28">
        <f>SUBTOTAL(109,AB23:AB27)</f>
        <v>0</v>
      </c>
      <c r="AC28" s="28">
        <f>SUBTOTAL(109,AC23:AC27)</f>
        <v>0</v>
      </c>
      <c r="AD28" s="28">
        <f>SUBTOTAL(109,AD23:AD27)</f>
        <v>0</v>
      </c>
      <c r="AE28" s="39">
        <f>SUBTOTAL(109,AE23:AE27)</f>
        <v>-195.56</v>
      </c>
      <c r="AF28" s="266">
        <f t="shared" si="2"/>
        <v>0.26400000000000001</v>
      </c>
      <c r="AG28" s="267">
        <f t="shared" si="3"/>
        <v>-195.56</v>
      </c>
    </row>
    <row r="29" spans="1:33" ht="18.75" customHeight="1" x14ac:dyDescent="0.3">
      <c r="A29" s="19">
        <f>A27+7</f>
        <v>43988</v>
      </c>
      <c r="B29" s="19"/>
      <c r="C29" s="24"/>
      <c r="D29" s="24">
        <v>0.69</v>
      </c>
      <c r="E29" s="35">
        <v>489.5</v>
      </c>
      <c r="F29" s="35"/>
      <c r="G29" s="223">
        <f>(D29*$B$68)</f>
        <v>241.49999999999997</v>
      </c>
      <c r="H29" s="161">
        <f>SUM(E29:G29)</f>
        <v>731</v>
      </c>
      <c r="I29" s="35"/>
      <c r="J29" s="162"/>
      <c r="K29" s="224">
        <f>H29/D29</f>
        <v>1059.4202898550725</v>
      </c>
      <c r="L29" s="170"/>
      <c r="M29" s="24">
        <v>0.23300000000000001</v>
      </c>
      <c r="N29" s="35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7">
        <f t="shared" si="1"/>
        <v>0</v>
      </c>
      <c r="AA29" s="114"/>
      <c r="AB29" s="114"/>
      <c r="AC29" s="114"/>
      <c r="AD29" s="114">
        <v>0.5</v>
      </c>
      <c r="AE29" s="162">
        <v>-2.63</v>
      </c>
      <c r="AF29" s="265">
        <f t="shared" si="2"/>
        <v>0.73299999999999998</v>
      </c>
      <c r="AG29" s="258">
        <f t="shared" si="3"/>
        <v>-2.63</v>
      </c>
    </row>
    <row r="30" spans="1:33" ht="18.75" customHeight="1" x14ac:dyDescent="0.3">
      <c r="A30" s="19">
        <f>A29+7</f>
        <v>43995</v>
      </c>
      <c r="B30" s="19"/>
      <c r="C30" s="24"/>
      <c r="D30" s="24">
        <v>0.45</v>
      </c>
      <c r="E30" s="35">
        <v>440.55</v>
      </c>
      <c r="F30" s="35"/>
      <c r="G30" s="223">
        <f t="shared" si="0"/>
        <v>157.5</v>
      </c>
      <c r="H30" s="162">
        <f>SUM(E30:G30)</f>
        <v>598.04999999999995</v>
      </c>
      <c r="I30" s="35"/>
      <c r="J30" s="162"/>
      <c r="K30" s="224">
        <f t="shared" si="5"/>
        <v>1328.9999999999998</v>
      </c>
      <c r="L30" s="170"/>
      <c r="M30" s="24"/>
      <c r="N30" s="35">
        <v>-13.7</v>
      </c>
      <c r="O30" s="115"/>
      <c r="P30" s="115"/>
      <c r="Q30" s="115"/>
      <c r="R30" s="114"/>
      <c r="S30" s="114"/>
      <c r="T30" s="114"/>
      <c r="U30" s="114"/>
      <c r="V30" s="114"/>
      <c r="W30" s="115">
        <v>21.1</v>
      </c>
      <c r="X30" s="115"/>
      <c r="Y30" s="115"/>
      <c r="Z30" s="117">
        <f t="shared" si="1"/>
        <v>0</v>
      </c>
      <c r="AA30" s="115"/>
      <c r="AB30" s="115"/>
      <c r="AC30" s="115"/>
      <c r="AD30" s="115"/>
      <c r="AE30" s="163"/>
      <c r="AF30" s="265">
        <f t="shared" si="2"/>
        <v>0</v>
      </c>
      <c r="AG30" s="258">
        <f t="shared" si="3"/>
        <v>-13.7</v>
      </c>
    </row>
    <row r="31" spans="1:33" ht="18.75" customHeight="1" x14ac:dyDescent="0.3">
      <c r="A31" s="19">
        <f>A30+7</f>
        <v>44002</v>
      </c>
      <c r="B31" s="19"/>
      <c r="C31" s="24"/>
      <c r="D31" s="24"/>
      <c r="E31" s="35">
        <v>538.45000000000005</v>
      </c>
      <c r="F31" s="35"/>
      <c r="G31" s="223">
        <f t="shared" si="0"/>
        <v>0</v>
      </c>
      <c r="H31" s="162">
        <f>SUM(E31:G31)</f>
        <v>538.45000000000005</v>
      </c>
      <c r="I31" s="35"/>
      <c r="J31" s="162"/>
      <c r="K31" s="224" t="e">
        <f t="shared" si="5"/>
        <v>#DIV/0!</v>
      </c>
      <c r="L31" s="170"/>
      <c r="M31" s="24">
        <v>0.48499999999999999</v>
      </c>
      <c r="N31" s="35"/>
      <c r="O31" s="114"/>
      <c r="P31" s="114"/>
      <c r="Q31" s="114"/>
      <c r="R31" s="115"/>
      <c r="S31" s="115"/>
      <c r="T31" s="115"/>
      <c r="U31" s="115"/>
      <c r="V31" s="115"/>
      <c r="W31" s="114"/>
      <c r="X31" s="114"/>
      <c r="Y31" s="114"/>
      <c r="Z31" s="117">
        <f t="shared" si="1"/>
        <v>0</v>
      </c>
      <c r="AA31" s="114"/>
      <c r="AB31" s="114"/>
      <c r="AC31" s="114"/>
      <c r="AD31" s="114"/>
      <c r="AE31" s="162"/>
      <c r="AF31" s="265">
        <f t="shared" si="2"/>
        <v>0.48499999999999999</v>
      </c>
      <c r="AG31" s="258">
        <f t="shared" si="3"/>
        <v>0</v>
      </c>
    </row>
    <row r="32" spans="1:33" ht="18.75" customHeight="1" x14ac:dyDescent="0.3">
      <c r="A32" s="19">
        <f>A31+7</f>
        <v>44009</v>
      </c>
      <c r="B32" s="19"/>
      <c r="C32" s="24"/>
      <c r="D32" s="24">
        <v>0.55000000000000004</v>
      </c>
      <c r="E32" s="35">
        <v>489.5</v>
      </c>
      <c r="F32" s="35"/>
      <c r="G32" s="223">
        <f t="shared" si="0"/>
        <v>192.50000000000003</v>
      </c>
      <c r="H32" s="162">
        <f>SUM(E32:G32)</f>
        <v>682</v>
      </c>
      <c r="I32" s="35"/>
      <c r="J32" s="162"/>
      <c r="K32" s="224">
        <f t="shared" si="5"/>
        <v>1240</v>
      </c>
      <c r="L32" s="170"/>
      <c r="M32" s="24"/>
      <c r="N32" s="35">
        <v>-76.56</v>
      </c>
      <c r="O32" s="114"/>
      <c r="P32" s="114"/>
      <c r="Q32" s="114">
        <v>0.72599999999999998</v>
      </c>
      <c r="R32" s="114">
        <v>-166.94</v>
      </c>
      <c r="S32" s="114"/>
      <c r="T32" s="114"/>
      <c r="U32" s="114"/>
      <c r="V32" s="114"/>
      <c r="W32" s="114"/>
      <c r="X32" s="114"/>
      <c r="Y32" s="114"/>
      <c r="Z32" s="117">
        <f t="shared" si="1"/>
        <v>0</v>
      </c>
      <c r="AA32" s="114"/>
      <c r="AB32" s="114"/>
      <c r="AC32" s="114"/>
      <c r="AD32" s="114"/>
      <c r="AE32" s="162"/>
      <c r="AF32" s="265">
        <f t="shared" si="2"/>
        <v>0.72599999999999998</v>
      </c>
      <c r="AG32" s="258">
        <f t="shared" si="3"/>
        <v>-243.5</v>
      </c>
    </row>
    <row r="33" spans="1:33" ht="18.75" customHeight="1" x14ac:dyDescent="0.3">
      <c r="A33" s="27" t="s">
        <v>59</v>
      </c>
      <c r="B33" s="28">
        <f>SUBTOTAL(109,B29:B32)</f>
        <v>0</v>
      </c>
      <c r="C33" s="28">
        <f>SUBTOTAL(109,C29:C32)</f>
        <v>0</v>
      </c>
      <c r="D33" s="28">
        <f>SUBTOTAL(109,D29:D32)</f>
        <v>1.69</v>
      </c>
      <c r="E33" s="39">
        <f>SUBTOTAL(109,E29:E32)</f>
        <v>1958</v>
      </c>
      <c r="F33" s="28">
        <f>SUBTOTAL(109,F29:F32)</f>
        <v>0</v>
      </c>
      <c r="G33" s="39">
        <f t="shared" si="0"/>
        <v>591.5</v>
      </c>
      <c r="H33" s="40">
        <f>SUBTOTAL(109,H29:H32)</f>
        <v>2549.5</v>
      </c>
      <c r="I33" s="39">
        <f>SUM(E33:F33)/D33</f>
        <v>1158.5798816568047</v>
      </c>
      <c r="J33" s="40">
        <f>$B$68</f>
        <v>350</v>
      </c>
      <c r="K33" s="111">
        <f t="shared" si="5"/>
        <v>1508.5798816568047</v>
      </c>
      <c r="L33" s="126">
        <f t="shared" ref="L33:AC33" si="11">SUBTOTAL(109,L29:L32)</f>
        <v>0</v>
      </c>
      <c r="M33" s="28">
        <f t="shared" si="11"/>
        <v>0.71799999999999997</v>
      </c>
      <c r="N33" s="28">
        <f t="shared" si="11"/>
        <v>-90.26</v>
      </c>
      <c r="O33" s="148">
        <f t="shared" si="11"/>
        <v>0</v>
      </c>
      <c r="P33" s="28">
        <f t="shared" si="11"/>
        <v>0</v>
      </c>
      <c r="Q33" s="28">
        <f t="shared" si="11"/>
        <v>0.72599999999999998</v>
      </c>
      <c r="R33" s="28">
        <f t="shared" si="11"/>
        <v>-166.94</v>
      </c>
      <c r="S33" s="28">
        <f t="shared" si="11"/>
        <v>0</v>
      </c>
      <c r="T33" s="28">
        <f t="shared" si="11"/>
        <v>0</v>
      </c>
      <c r="U33" s="28">
        <f t="shared" si="11"/>
        <v>0</v>
      </c>
      <c r="V33" s="28">
        <f t="shared" si="11"/>
        <v>0</v>
      </c>
      <c r="W33" s="28">
        <f t="shared" si="11"/>
        <v>21.1</v>
      </c>
      <c r="X33" s="28">
        <f t="shared" si="11"/>
        <v>0</v>
      </c>
      <c r="Y33" s="28">
        <f t="shared" si="11"/>
        <v>0</v>
      </c>
      <c r="Z33" s="123">
        <f t="shared" si="1"/>
        <v>0</v>
      </c>
      <c r="AA33" s="28">
        <f t="shared" si="11"/>
        <v>0</v>
      </c>
      <c r="AB33" s="28">
        <f t="shared" si="11"/>
        <v>0</v>
      </c>
      <c r="AC33" s="28">
        <f t="shared" si="11"/>
        <v>0</v>
      </c>
      <c r="AD33" s="28">
        <f>SUBTOTAL(109,AD29:AD32)</f>
        <v>0.5</v>
      </c>
      <c r="AE33" s="39">
        <f>SUBTOTAL(109,AE29:AE32)</f>
        <v>-2.63</v>
      </c>
      <c r="AF33" s="266">
        <f t="shared" si="2"/>
        <v>1.944</v>
      </c>
      <c r="AG33" s="267">
        <f t="shared" si="3"/>
        <v>-259.83</v>
      </c>
    </row>
    <row r="34" spans="1:33" ht="18.75" customHeight="1" x14ac:dyDescent="0.3">
      <c r="A34" s="19">
        <f>A32+7</f>
        <v>44016</v>
      </c>
      <c r="B34" s="19"/>
      <c r="C34" s="24"/>
      <c r="D34" s="24">
        <v>0.5</v>
      </c>
      <c r="E34" s="35">
        <v>431.6</v>
      </c>
      <c r="F34" s="35"/>
      <c r="G34" s="223">
        <f t="shared" si="0"/>
        <v>175</v>
      </c>
      <c r="H34" s="161">
        <f>SUM(E34:G34)</f>
        <v>606.6</v>
      </c>
      <c r="I34" s="35"/>
      <c r="J34" s="162"/>
      <c r="K34" s="224">
        <f t="shared" si="5"/>
        <v>1213.2</v>
      </c>
      <c r="L34" s="170"/>
      <c r="M34" s="24">
        <v>0.46500000000000002</v>
      </c>
      <c r="N34" s="35">
        <v>-70.849999999999994</v>
      </c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7">
        <f t="shared" si="1"/>
        <v>0</v>
      </c>
      <c r="AA34" s="114"/>
      <c r="AB34" s="114"/>
      <c r="AC34" s="114"/>
      <c r="AD34" s="114"/>
      <c r="AE34" s="162"/>
      <c r="AF34" s="265">
        <f t="shared" si="2"/>
        <v>0.46500000000000002</v>
      </c>
      <c r="AG34" s="258">
        <f t="shared" si="3"/>
        <v>-70.849999999999994</v>
      </c>
    </row>
    <row r="35" spans="1:33" ht="18.75" customHeight="1" x14ac:dyDescent="0.3">
      <c r="A35" s="19">
        <f>A34+7</f>
        <v>44023</v>
      </c>
      <c r="B35" s="19"/>
      <c r="C35" s="24"/>
      <c r="D35" s="24"/>
      <c r="E35" s="35"/>
      <c r="F35" s="35"/>
      <c r="G35" s="223">
        <f t="shared" si="0"/>
        <v>0</v>
      </c>
      <c r="H35" s="162">
        <f>SUM(E35:G35)</f>
        <v>0</v>
      </c>
      <c r="I35" s="35"/>
      <c r="J35" s="162"/>
      <c r="K35" s="224" t="e">
        <f t="shared" si="5"/>
        <v>#DIV/0!</v>
      </c>
      <c r="L35" s="170"/>
      <c r="M35" s="24"/>
      <c r="N35" s="35"/>
      <c r="O35" s="115"/>
      <c r="P35" s="115"/>
      <c r="Q35" s="115"/>
      <c r="R35" s="114"/>
      <c r="S35" s="114"/>
      <c r="T35" s="114"/>
      <c r="U35" s="114"/>
      <c r="V35" s="114"/>
      <c r="W35" s="115"/>
      <c r="X35" s="115"/>
      <c r="Y35" s="115"/>
      <c r="Z35" s="117">
        <f t="shared" si="1"/>
        <v>0</v>
      </c>
      <c r="AA35" s="115"/>
      <c r="AB35" s="115"/>
      <c r="AC35" s="115"/>
      <c r="AD35" s="115"/>
      <c r="AE35" s="163"/>
      <c r="AF35" s="265">
        <f t="shared" si="2"/>
        <v>0</v>
      </c>
      <c r="AG35" s="258">
        <f t="shared" si="3"/>
        <v>0</v>
      </c>
    </row>
    <row r="36" spans="1:33" ht="18.75" customHeight="1" x14ac:dyDescent="0.3">
      <c r="A36" s="19">
        <f>A35+7</f>
        <v>44030</v>
      </c>
      <c r="B36" s="19"/>
      <c r="C36" s="24"/>
      <c r="D36" s="24"/>
      <c r="E36" s="35"/>
      <c r="F36" s="35"/>
      <c r="G36" s="223">
        <f t="shared" si="0"/>
        <v>0</v>
      </c>
      <c r="H36" s="162">
        <f>SUM(E36:G36)</f>
        <v>0</v>
      </c>
      <c r="I36" s="35"/>
      <c r="J36" s="162"/>
      <c r="K36" s="224" t="e">
        <f t="shared" si="5"/>
        <v>#DIV/0!</v>
      </c>
      <c r="L36" s="170"/>
      <c r="M36" s="24"/>
      <c r="N36" s="35">
        <v>-52.62</v>
      </c>
      <c r="O36" s="114"/>
      <c r="P36" s="114"/>
      <c r="Q36" s="114"/>
      <c r="R36" s="115"/>
      <c r="S36" s="115"/>
      <c r="T36" s="115"/>
      <c r="U36" s="115"/>
      <c r="V36" s="115"/>
      <c r="W36" s="114"/>
      <c r="X36" s="114"/>
      <c r="Y36" s="114"/>
      <c r="Z36" s="117">
        <f t="shared" si="1"/>
        <v>0</v>
      </c>
      <c r="AA36" s="114"/>
      <c r="AB36" s="114"/>
      <c r="AC36" s="114"/>
      <c r="AD36" s="114"/>
      <c r="AE36" s="162"/>
      <c r="AF36" s="265">
        <f t="shared" si="2"/>
        <v>0</v>
      </c>
      <c r="AG36" s="258">
        <f t="shared" si="3"/>
        <v>-52.62</v>
      </c>
    </row>
    <row r="37" spans="1:33" ht="18.75" customHeight="1" x14ac:dyDescent="0.3">
      <c r="A37" s="19">
        <f>A36+7</f>
        <v>44037</v>
      </c>
      <c r="B37" s="19"/>
      <c r="C37" s="24"/>
      <c r="D37" s="24"/>
      <c r="E37" s="35"/>
      <c r="F37" s="35"/>
      <c r="G37" s="223">
        <f t="shared" si="0"/>
        <v>0</v>
      </c>
      <c r="H37" s="162">
        <f>SUM(E37:G37)</f>
        <v>0</v>
      </c>
      <c r="I37" s="35"/>
      <c r="J37" s="162"/>
      <c r="K37" s="224" t="e">
        <f t="shared" si="5"/>
        <v>#DIV/0!</v>
      </c>
      <c r="L37" s="170"/>
      <c r="M37" s="24">
        <v>0.61099999999999999</v>
      </c>
      <c r="N37" s="35">
        <f>-43.39-76.56</f>
        <v>-119.95</v>
      </c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7">
        <f t="shared" si="1"/>
        <v>0</v>
      </c>
      <c r="AA37" s="114"/>
      <c r="AB37" s="114"/>
      <c r="AC37" s="114"/>
      <c r="AD37" s="114"/>
      <c r="AE37" s="162"/>
      <c r="AF37" s="265">
        <f t="shared" si="2"/>
        <v>0.61099999999999999</v>
      </c>
      <c r="AG37" s="258">
        <f t="shared" si="3"/>
        <v>-119.95</v>
      </c>
    </row>
    <row r="38" spans="1:33" ht="18.75" customHeight="1" x14ac:dyDescent="0.3">
      <c r="A38" s="27" t="s">
        <v>64</v>
      </c>
      <c r="B38" s="28">
        <f>SUBTOTAL(109,B34:B37)</f>
        <v>0</v>
      </c>
      <c r="C38" s="28">
        <f>SUBTOTAL(109,C34:C37)</f>
        <v>0</v>
      </c>
      <c r="D38" s="28">
        <f>SUBTOTAL(109,D34:D37)</f>
        <v>0.5</v>
      </c>
      <c r="E38" s="39">
        <f>SUBTOTAL(109,E34:E37)</f>
        <v>431.6</v>
      </c>
      <c r="F38" s="28">
        <f>SUBTOTAL(109,F34:F37)</f>
        <v>0</v>
      </c>
      <c r="G38" s="39">
        <f t="shared" si="0"/>
        <v>175</v>
      </c>
      <c r="H38" s="40">
        <f>SUBTOTAL(109,H34:H37)</f>
        <v>606.6</v>
      </c>
      <c r="I38" s="39">
        <f>SUM(E38:F38)/D38</f>
        <v>863.2</v>
      </c>
      <c r="J38" s="40">
        <f>$B$68</f>
        <v>350</v>
      </c>
      <c r="K38" s="111">
        <f t="shared" si="5"/>
        <v>1213.2</v>
      </c>
      <c r="L38" s="126">
        <f t="shared" ref="L38:AC38" si="12">SUBTOTAL(109,L34:L37)</f>
        <v>0</v>
      </c>
      <c r="M38" s="28">
        <f t="shared" si="12"/>
        <v>1.0760000000000001</v>
      </c>
      <c r="N38" s="39">
        <f>SUBTOTAL(109,N34:N37)</f>
        <v>-243.42000000000002</v>
      </c>
      <c r="O38" s="148">
        <f t="shared" si="12"/>
        <v>0</v>
      </c>
      <c r="P38" s="28">
        <f t="shared" si="12"/>
        <v>0</v>
      </c>
      <c r="Q38" s="28">
        <f t="shared" si="12"/>
        <v>0</v>
      </c>
      <c r="R38" s="28">
        <f t="shared" si="12"/>
        <v>0</v>
      </c>
      <c r="S38" s="28">
        <f t="shared" si="12"/>
        <v>0</v>
      </c>
      <c r="T38" s="28">
        <f t="shared" si="12"/>
        <v>0</v>
      </c>
      <c r="U38" s="28">
        <f t="shared" si="12"/>
        <v>0</v>
      </c>
      <c r="V38" s="28">
        <f t="shared" si="12"/>
        <v>0</v>
      </c>
      <c r="W38" s="28">
        <f t="shared" si="12"/>
        <v>0</v>
      </c>
      <c r="X38" s="28">
        <f t="shared" si="12"/>
        <v>0</v>
      </c>
      <c r="Y38" s="28">
        <f t="shared" si="12"/>
        <v>0</v>
      </c>
      <c r="Z38" s="123">
        <f t="shared" si="1"/>
        <v>0</v>
      </c>
      <c r="AA38" s="28">
        <f t="shared" si="12"/>
        <v>0</v>
      </c>
      <c r="AB38" s="28">
        <f t="shared" si="12"/>
        <v>0</v>
      </c>
      <c r="AC38" s="28">
        <f t="shared" si="12"/>
        <v>0</v>
      </c>
      <c r="AD38" s="28">
        <f>SUBTOTAL(109,AD34:AD37)</f>
        <v>0</v>
      </c>
      <c r="AE38" s="39">
        <f>SUBTOTAL(109,AE34:AE37)</f>
        <v>0</v>
      </c>
      <c r="AF38" s="266">
        <f t="shared" si="2"/>
        <v>1.0760000000000001</v>
      </c>
      <c r="AG38" s="267">
        <f t="shared" si="3"/>
        <v>-243.42000000000002</v>
      </c>
    </row>
    <row r="39" spans="1:33" ht="18.75" customHeight="1" x14ac:dyDescent="0.3">
      <c r="A39" s="19">
        <f>A37+7</f>
        <v>44044</v>
      </c>
      <c r="B39" s="19"/>
      <c r="C39" s="24"/>
      <c r="D39" s="24">
        <v>2.13</v>
      </c>
      <c r="E39" s="35">
        <v>750</v>
      </c>
      <c r="F39" s="35"/>
      <c r="G39" s="223">
        <f t="shared" si="0"/>
        <v>745.5</v>
      </c>
      <c r="H39" s="161">
        <f>SUM(E39:G39)</f>
        <v>1495.5</v>
      </c>
      <c r="I39" s="35"/>
      <c r="J39" s="162"/>
      <c r="K39" s="224">
        <f t="shared" si="5"/>
        <v>702.11267605633805</v>
      </c>
      <c r="L39" s="170"/>
      <c r="M39" s="24">
        <v>0.81100000000000005</v>
      </c>
      <c r="N39" s="35"/>
      <c r="O39" s="115"/>
      <c r="P39" s="115"/>
      <c r="Q39" s="115"/>
      <c r="R39" s="114"/>
      <c r="S39" s="114"/>
      <c r="T39" s="114"/>
      <c r="U39" s="114"/>
      <c r="V39" s="114"/>
      <c r="W39" s="115"/>
      <c r="X39" s="115"/>
      <c r="Y39" s="115"/>
      <c r="Z39" s="117">
        <f t="shared" si="1"/>
        <v>0</v>
      </c>
      <c r="AA39" s="115"/>
      <c r="AB39" s="115"/>
      <c r="AC39" s="115"/>
      <c r="AD39" s="115"/>
      <c r="AE39" s="163"/>
      <c r="AF39" s="265">
        <f t="shared" si="2"/>
        <v>0.81100000000000005</v>
      </c>
      <c r="AG39" s="258">
        <f t="shared" si="3"/>
        <v>0</v>
      </c>
    </row>
    <row r="40" spans="1:33" ht="18.75" customHeight="1" x14ac:dyDescent="0.3">
      <c r="A40" s="19">
        <f>A39+7</f>
        <v>44051</v>
      </c>
      <c r="B40" s="19"/>
      <c r="C40" s="24"/>
      <c r="D40" s="24">
        <v>0.55000000000000004</v>
      </c>
      <c r="E40" s="35">
        <v>269.75</v>
      </c>
      <c r="F40" s="35"/>
      <c r="G40" s="223">
        <f t="shared" si="0"/>
        <v>192.50000000000003</v>
      </c>
      <c r="H40" s="162">
        <f>SUM(E40:G40)</f>
        <v>462.25</v>
      </c>
      <c r="I40" s="35"/>
      <c r="J40" s="162"/>
      <c r="K40" s="224">
        <f t="shared" si="5"/>
        <v>840.45454545454538</v>
      </c>
      <c r="L40" s="170"/>
      <c r="M40" s="24">
        <v>0.41199999999999998</v>
      </c>
      <c r="N40" s="35"/>
      <c r="O40" s="114"/>
      <c r="P40" s="114"/>
      <c r="Q40" s="114"/>
      <c r="R40" s="115"/>
      <c r="S40" s="115"/>
      <c r="T40" s="115"/>
      <c r="U40" s="115"/>
      <c r="V40" s="115"/>
      <c r="W40" s="114"/>
      <c r="X40" s="114"/>
      <c r="Y40" s="114"/>
      <c r="Z40" s="117">
        <f t="shared" si="1"/>
        <v>0</v>
      </c>
      <c r="AA40" s="114"/>
      <c r="AB40" s="114"/>
      <c r="AC40" s="114"/>
      <c r="AD40" s="114"/>
      <c r="AE40" s="162"/>
      <c r="AF40" s="265">
        <f t="shared" si="2"/>
        <v>0.41199999999999998</v>
      </c>
      <c r="AG40" s="258">
        <f t="shared" si="3"/>
        <v>0</v>
      </c>
    </row>
    <row r="41" spans="1:33" ht="18.75" customHeight="1" x14ac:dyDescent="0.3">
      <c r="A41" s="19">
        <f>A40+7</f>
        <v>44058</v>
      </c>
      <c r="B41" s="19"/>
      <c r="C41" s="24"/>
      <c r="D41" s="24"/>
      <c r="E41" s="35">
        <v>377.65</v>
      </c>
      <c r="F41" s="35"/>
      <c r="G41" s="223">
        <f t="shared" si="0"/>
        <v>0</v>
      </c>
      <c r="H41" s="162">
        <f>SUM(E41:G41)</f>
        <v>377.65</v>
      </c>
      <c r="I41" s="35"/>
      <c r="J41" s="162"/>
      <c r="K41" s="224" t="e">
        <f t="shared" si="5"/>
        <v>#DIV/0!</v>
      </c>
      <c r="L41" s="170"/>
      <c r="M41" s="24"/>
      <c r="N41" s="35">
        <v>-162.12</v>
      </c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7">
        <f t="shared" si="1"/>
        <v>0</v>
      </c>
      <c r="AA41" s="114"/>
      <c r="AB41" s="114"/>
      <c r="AC41" s="114"/>
      <c r="AD41" s="114"/>
      <c r="AE41" s="162"/>
      <c r="AF41" s="265">
        <f t="shared" si="2"/>
        <v>0</v>
      </c>
      <c r="AG41" s="258">
        <f t="shared" si="3"/>
        <v>-162.12</v>
      </c>
    </row>
    <row r="42" spans="1:33" ht="18.75" customHeight="1" x14ac:dyDescent="0.3">
      <c r="A42" s="19">
        <f>A41+7</f>
        <v>44065</v>
      </c>
      <c r="B42" s="19"/>
      <c r="C42" s="24"/>
      <c r="D42" s="24">
        <v>0.42</v>
      </c>
      <c r="E42" s="35">
        <v>431.6</v>
      </c>
      <c r="F42" s="35"/>
      <c r="G42" s="223">
        <f t="shared" si="0"/>
        <v>147</v>
      </c>
      <c r="H42" s="162">
        <f>SUM(E42:G42)</f>
        <v>578.6</v>
      </c>
      <c r="I42" s="35"/>
      <c r="J42" s="162"/>
      <c r="K42" s="224">
        <f t="shared" si="5"/>
        <v>1377.6190476190477</v>
      </c>
      <c r="L42" s="170"/>
      <c r="M42" s="24"/>
      <c r="N42" s="35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7">
        <f t="shared" si="1"/>
        <v>0</v>
      </c>
      <c r="AA42" s="114"/>
      <c r="AB42" s="114"/>
      <c r="AC42" s="114"/>
      <c r="AD42" s="114"/>
      <c r="AE42" s="162"/>
      <c r="AF42" s="265">
        <f t="shared" si="2"/>
        <v>0</v>
      </c>
      <c r="AG42" s="258">
        <f t="shared" si="3"/>
        <v>0</v>
      </c>
    </row>
    <row r="43" spans="1:33" ht="18.75" customHeight="1" x14ac:dyDescent="0.3">
      <c r="A43" s="19">
        <f>A42+7</f>
        <v>44072</v>
      </c>
      <c r="B43" s="19"/>
      <c r="C43" s="24"/>
      <c r="D43" s="24"/>
      <c r="E43" s="35"/>
      <c r="F43" s="35"/>
      <c r="G43" s="223">
        <f t="shared" si="0"/>
        <v>0</v>
      </c>
      <c r="H43" s="161">
        <f>SUM(E43:G43)</f>
        <v>0</v>
      </c>
      <c r="I43" s="35"/>
      <c r="J43" s="162"/>
      <c r="K43" s="224" t="e">
        <f t="shared" si="5"/>
        <v>#DIV/0!</v>
      </c>
      <c r="L43" s="170"/>
      <c r="M43" s="24">
        <v>0.25800000000000001</v>
      </c>
      <c r="N43" s="55">
        <v>-76.56</v>
      </c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7">
        <f t="shared" si="1"/>
        <v>0</v>
      </c>
      <c r="AA43" s="114"/>
      <c r="AB43" s="114"/>
      <c r="AC43" s="114"/>
      <c r="AD43" s="114"/>
      <c r="AE43" s="162"/>
      <c r="AF43" s="265">
        <f t="shared" si="2"/>
        <v>0.25800000000000001</v>
      </c>
      <c r="AG43" s="258">
        <f t="shared" si="3"/>
        <v>-76.56</v>
      </c>
    </row>
    <row r="44" spans="1:33" ht="18.75" customHeight="1" x14ac:dyDescent="0.3">
      <c r="A44" s="27" t="s">
        <v>65</v>
      </c>
      <c r="B44" s="28">
        <f>SUBTOTAL(109,B39:B43)</f>
        <v>0</v>
      </c>
      <c r="C44" s="28">
        <f>SUBTOTAL(109,C39:C43)</f>
        <v>0</v>
      </c>
      <c r="D44" s="28">
        <f>SUBTOTAL(109,D39:D43)</f>
        <v>3.0999999999999996</v>
      </c>
      <c r="E44" s="39">
        <f>SUBTOTAL(109,E39:E43)</f>
        <v>1829</v>
      </c>
      <c r="F44" s="28">
        <f>SUBTOTAL(109,F39:F43)</f>
        <v>0</v>
      </c>
      <c r="G44" s="39">
        <f t="shared" si="0"/>
        <v>1084.9999999999998</v>
      </c>
      <c r="H44" s="40">
        <f>SUBTOTAL(109,H40:H43)</f>
        <v>1418.5</v>
      </c>
      <c r="I44" s="39">
        <f>SUM(E44:F44)/D44</f>
        <v>590.00000000000011</v>
      </c>
      <c r="J44" s="40">
        <f>$B$68</f>
        <v>350</v>
      </c>
      <c r="K44" s="111">
        <f t="shared" si="5"/>
        <v>457.58064516129036</v>
      </c>
      <c r="L44" s="126">
        <f t="shared" ref="L44:Y44" si="13">SUBTOTAL(109,L39:L43)</f>
        <v>0</v>
      </c>
      <c r="M44" s="28">
        <f t="shared" si="13"/>
        <v>1.4810000000000001</v>
      </c>
      <c r="N44" s="28">
        <f t="shared" si="13"/>
        <v>-238.68</v>
      </c>
      <c r="O44" s="28">
        <f t="shared" si="13"/>
        <v>0</v>
      </c>
      <c r="P44" s="28">
        <f t="shared" si="13"/>
        <v>0</v>
      </c>
      <c r="Q44" s="28">
        <f t="shared" si="13"/>
        <v>0</v>
      </c>
      <c r="R44" s="28">
        <f t="shared" si="13"/>
        <v>0</v>
      </c>
      <c r="S44" s="28">
        <f t="shared" si="13"/>
        <v>0</v>
      </c>
      <c r="T44" s="28">
        <f t="shared" si="13"/>
        <v>0</v>
      </c>
      <c r="U44" s="28">
        <f t="shared" si="13"/>
        <v>0</v>
      </c>
      <c r="V44" s="28">
        <f t="shared" si="13"/>
        <v>0</v>
      </c>
      <c r="W44" s="28">
        <f t="shared" si="13"/>
        <v>0</v>
      </c>
      <c r="X44" s="28">
        <f t="shared" si="13"/>
        <v>0</v>
      </c>
      <c r="Y44" s="28">
        <f t="shared" si="13"/>
        <v>0</v>
      </c>
      <c r="Z44" s="123">
        <f>X44+Y44</f>
        <v>0</v>
      </c>
      <c r="AA44" s="28">
        <f>SUBTOTAL(109,AA39:AA43)</f>
        <v>0</v>
      </c>
      <c r="AB44" s="28">
        <f>SUBTOTAL(109,AB39:AB43)</f>
        <v>0</v>
      </c>
      <c r="AC44" s="28">
        <f>SUBTOTAL(109,AC39:AC43)</f>
        <v>0</v>
      </c>
      <c r="AD44" s="28">
        <f>SUBTOTAL(109,AD39:AD43)</f>
        <v>0</v>
      </c>
      <c r="AE44" s="39">
        <f>SUBTOTAL(109,AE39:AE43)</f>
        <v>0</v>
      </c>
      <c r="AF44" s="266">
        <f t="shared" si="2"/>
        <v>1.4810000000000001</v>
      </c>
      <c r="AG44" s="267">
        <f t="shared" si="3"/>
        <v>-238.68</v>
      </c>
    </row>
    <row r="45" spans="1:33" ht="18.75" customHeight="1" x14ac:dyDescent="0.3">
      <c r="A45" s="19">
        <f>A43+7</f>
        <v>44079</v>
      </c>
      <c r="B45" s="19"/>
      <c r="C45" s="24"/>
      <c r="D45" s="24"/>
      <c r="E45" s="35">
        <v>431.6</v>
      </c>
      <c r="F45" s="35"/>
      <c r="G45" s="223">
        <f t="shared" si="0"/>
        <v>0</v>
      </c>
      <c r="H45" s="161">
        <f>SUM(E45:G45)</f>
        <v>431.6</v>
      </c>
      <c r="I45" s="35"/>
      <c r="J45" s="162"/>
      <c r="K45" s="224" t="e">
        <f t="shared" si="5"/>
        <v>#DIV/0!</v>
      </c>
      <c r="L45" s="170"/>
      <c r="M45" s="24"/>
      <c r="N45" s="35">
        <f>-76.56-53.09</f>
        <v>-129.65</v>
      </c>
      <c r="O45" s="115"/>
      <c r="P45" s="115"/>
      <c r="Q45" s="115"/>
      <c r="R45" s="114"/>
      <c r="S45" s="114"/>
      <c r="T45" s="114"/>
      <c r="U45" s="114"/>
      <c r="V45" s="114"/>
      <c r="W45" s="115"/>
      <c r="X45" s="115"/>
      <c r="Y45" s="115"/>
      <c r="Z45" s="117">
        <f t="shared" si="1"/>
        <v>0</v>
      </c>
      <c r="AA45" s="115"/>
      <c r="AB45" s="115"/>
      <c r="AC45" s="115"/>
      <c r="AD45" s="115"/>
      <c r="AE45" s="163"/>
      <c r="AF45" s="265">
        <f t="shared" si="2"/>
        <v>0</v>
      </c>
      <c r="AG45" s="258">
        <f t="shared" si="3"/>
        <v>-129.65</v>
      </c>
    </row>
    <row r="46" spans="1:33" ht="18.75" customHeight="1" x14ac:dyDescent="0.3">
      <c r="A46" s="19">
        <f>A45+7</f>
        <v>44086</v>
      </c>
      <c r="B46" s="19"/>
      <c r="C46" s="24"/>
      <c r="D46" s="24">
        <f>0.46+0.59</f>
        <v>1.05</v>
      </c>
      <c r="E46" s="35">
        <v>440.55</v>
      </c>
      <c r="F46" s="35"/>
      <c r="G46" s="223">
        <f t="shared" si="0"/>
        <v>367.5</v>
      </c>
      <c r="H46" s="162">
        <f>SUM(E46:G46)</f>
        <v>808.05</v>
      </c>
      <c r="I46" s="35"/>
      <c r="J46" s="162"/>
      <c r="K46" s="224">
        <f t="shared" si="5"/>
        <v>769.57142857142844</v>
      </c>
      <c r="L46" s="170"/>
      <c r="M46" s="24">
        <v>0.20599999999999999</v>
      </c>
      <c r="N46" s="35"/>
      <c r="O46" s="114"/>
      <c r="P46" s="114"/>
      <c r="Q46" s="114"/>
      <c r="R46" s="115"/>
      <c r="S46" s="115"/>
      <c r="T46" s="115"/>
      <c r="U46" s="115"/>
      <c r="V46" s="115"/>
      <c r="W46" s="114"/>
      <c r="X46" s="114"/>
      <c r="Y46" s="114"/>
      <c r="Z46" s="117">
        <f t="shared" si="1"/>
        <v>0</v>
      </c>
      <c r="AA46" s="114"/>
      <c r="AB46" s="114"/>
      <c r="AC46" s="114"/>
      <c r="AD46" s="114"/>
      <c r="AE46" s="162"/>
      <c r="AF46" s="265">
        <f t="shared" si="2"/>
        <v>0.20599999999999999</v>
      </c>
      <c r="AG46" s="258">
        <f t="shared" si="3"/>
        <v>0</v>
      </c>
    </row>
    <row r="47" spans="1:33" ht="18.75" customHeight="1" x14ac:dyDescent="0.3">
      <c r="A47" s="19">
        <f>A46+7</f>
        <v>44093</v>
      </c>
      <c r="B47" s="19"/>
      <c r="C47" s="24"/>
      <c r="D47" s="24">
        <v>0.61</v>
      </c>
      <c r="E47" s="35">
        <v>538.45000000000005</v>
      </c>
      <c r="F47" s="35"/>
      <c r="G47" s="223">
        <f t="shared" si="0"/>
        <v>213.5</v>
      </c>
      <c r="H47" s="162">
        <f>SUM(E47:G47)</f>
        <v>751.95</v>
      </c>
      <c r="I47" s="35"/>
      <c r="J47" s="162"/>
      <c r="K47" s="224">
        <f t="shared" si="5"/>
        <v>1232.704918032787</v>
      </c>
      <c r="L47" s="170"/>
      <c r="M47" s="24"/>
      <c r="N47" s="35"/>
      <c r="O47" s="114"/>
      <c r="P47" s="114"/>
      <c r="Q47" s="114"/>
      <c r="R47" s="115"/>
      <c r="S47" s="115"/>
      <c r="T47" s="115"/>
      <c r="U47" s="115"/>
      <c r="V47" s="115"/>
      <c r="W47" s="114">
        <f>19.2+19.8</f>
        <v>39</v>
      </c>
      <c r="X47" s="114"/>
      <c r="Y47" s="114"/>
      <c r="Z47" s="117">
        <f t="shared" si="1"/>
        <v>0</v>
      </c>
      <c r="AA47" s="114"/>
      <c r="AB47" s="114"/>
      <c r="AC47" s="114"/>
      <c r="AD47" s="114"/>
      <c r="AE47" s="162"/>
      <c r="AF47" s="265">
        <f t="shared" si="2"/>
        <v>0</v>
      </c>
      <c r="AG47" s="258">
        <f t="shared" si="3"/>
        <v>0</v>
      </c>
    </row>
    <row r="48" spans="1:33" ht="18.75" customHeight="1" x14ac:dyDescent="0.3">
      <c r="A48" s="19">
        <f>A47+7</f>
        <v>44100</v>
      </c>
      <c r="B48" s="19"/>
      <c r="C48" s="24"/>
      <c r="D48" s="24">
        <v>1.74</v>
      </c>
      <c r="E48" s="35">
        <f>440.55+440.55</f>
        <v>881.1</v>
      </c>
      <c r="F48" s="35"/>
      <c r="G48" s="223">
        <f t="shared" si="0"/>
        <v>609</v>
      </c>
      <c r="H48" s="162">
        <f>SUM(E48:G48)</f>
        <v>1490.1</v>
      </c>
      <c r="I48" s="35"/>
      <c r="J48" s="162"/>
      <c r="K48" s="224">
        <f t="shared" si="5"/>
        <v>856.37931034482756</v>
      </c>
      <c r="L48" s="170"/>
      <c r="M48" s="24"/>
      <c r="N48" s="35"/>
      <c r="O48" s="114"/>
      <c r="P48" s="114"/>
      <c r="Q48" s="114"/>
      <c r="R48" s="114"/>
      <c r="S48" s="114"/>
      <c r="T48" s="114"/>
      <c r="U48" s="114"/>
      <c r="V48" s="114"/>
      <c r="W48" s="114">
        <v>29.7</v>
      </c>
      <c r="X48" s="114"/>
      <c r="Y48" s="114"/>
      <c r="Z48" s="117">
        <f t="shared" si="1"/>
        <v>0</v>
      </c>
      <c r="AA48" s="114"/>
      <c r="AB48" s="114"/>
      <c r="AC48" s="114"/>
      <c r="AD48" s="114"/>
      <c r="AE48" s="162"/>
      <c r="AF48" s="265">
        <f t="shared" si="2"/>
        <v>0</v>
      </c>
      <c r="AG48" s="258">
        <f t="shared" si="3"/>
        <v>0</v>
      </c>
    </row>
    <row r="49" spans="1:33" ht="18.75" customHeight="1" x14ac:dyDescent="0.3">
      <c r="A49" s="68" t="s">
        <v>66</v>
      </c>
      <c r="B49" s="28">
        <f>SUBTOTAL(109,B45:B48)</f>
        <v>0</v>
      </c>
      <c r="C49" s="28">
        <f>SUBTOTAL(109,C45:C48)</f>
        <v>0</v>
      </c>
      <c r="D49" s="28">
        <f>SUBTOTAL(109,D45:D48)</f>
        <v>3.4000000000000004</v>
      </c>
      <c r="E49" s="39">
        <f>SUBTOTAL(109,E45:E48)</f>
        <v>2291.7000000000003</v>
      </c>
      <c r="F49" s="28">
        <f>SUBTOTAL(109,F45:F48)</f>
        <v>0</v>
      </c>
      <c r="G49" s="39">
        <f t="shared" si="0"/>
        <v>1190.0000000000002</v>
      </c>
      <c r="H49" s="40">
        <f>SUBTOTAL(109,H45:H48)</f>
        <v>3481.7</v>
      </c>
      <c r="I49" s="39">
        <f>SUM(E49:F49)/D49</f>
        <v>674.02941176470586</v>
      </c>
      <c r="J49" s="40">
        <f>$B$68</f>
        <v>350</v>
      </c>
      <c r="K49" s="111">
        <f t="shared" si="5"/>
        <v>1024.0294117647056</v>
      </c>
      <c r="L49" s="126">
        <f t="shared" ref="L49:AC49" si="14">SUBTOTAL(109,L45:L48)</f>
        <v>0</v>
      </c>
      <c r="M49" s="28">
        <f t="shared" si="14"/>
        <v>0.20599999999999999</v>
      </c>
      <c r="N49" s="28">
        <f t="shared" si="14"/>
        <v>-129.65</v>
      </c>
      <c r="O49" s="148">
        <f t="shared" si="14"/>
        <v>0</v>
      </c>
      <c r="P49" s="28">
        <f t="shared" si="14"/>
        <v>0</v>
      </c>
      <c r="Q49" s="28">
        <f t="shared" si="14"/>
        <v>0</v>
      </c>
      <c r="R49" s="28">
        <f t="shared" si="14"/>
        <v>0</v>
      </c>
      <c r="S49" s="28">
        <f t="shared" si="14"/>
        <v>0</v>
      </c>
      <c r="T49" s="28">
        <f t="shared" si="14"/>
        <v>0</v>
      </c>
      <c r="U49" s="28">
        <f t="shared" si="14"/>
        <v>0</v>
      </c>
      <c r="V49" s="28">
        <f t="shared" si="14"/>
        <v>0</v>
      </c>
      <c r="W49" s="28">
        <f t="shared" si="14"/>
        <v>68.7</v>
      </c>
      <c r="X49" s="28">
        <f t="shared" si="14"/>
        <v>0</v>
      </c>
      <c r="Y49" s="28">
        <f t="shared" si="14"/>
        <v>0</v>
      </c>
      <c r="Z49" s="123">
        <f t="shared" si="1"/>
        <v>0</v>
      </c>
      <c r="AA49" s="28">
        <f t="shared" si="14"/>
        <v>0</v>
      </c>
      <c r="AB49" s="28">
        <f t="shared" si="14"/>
        <v>0</v>
      </c>
      <c r="AC49" s="28">
        <f t="shared" si="14"/>
        <v>0</v>
      </c>
      <c r="AD49" s="28">
        <f>SUBTOTAL(109,AD45:AD48)</f>
        <v>0</v>
      </c>
      <c r="AE49" s="39">
        <f>SUBTOTAL(109,AE45:AE48)</f>
        <v>0</v>
      </c>
      <c r="AF49" s="266">
        <f t="shared" si="2"/>
        <v>0.20599999999999999</v>
      </c>
      <c r="AG49" s="267">
        <f t="shared" si="3"/>
        <v>-129.65</v>
      </c>
    </row>
    <row r="50" spans="1:33" ht="18.75" customHeight="1" x14ac:dyDescent="0.3">
      <c r="A50" s="19">
        <f>A48+7</f>
        <v>44107</v>
      </c>
      <c r="B50" s="19"/>
      <c r="C50" s="24"/>
      <c r="D50" s="24">
        <v>1.19</v>
      </c>
      <c r="E50" s="35">
        <v>538.45000000000005</v>
      </c>
      <c r="F50" s="35"/>
      <c r="G50" s="223">
        <f t="shared" si="0"/>
        <v>416.5</v>
      </c>
      <c r="H50" s="161">
        <f>SUM(E50:G50)</f>
        <v>954.95</v>
      </c>
      <c r="I50" s="35"/>
      <c r="J50" s="162"/>
      <c r="K50" s="224">
        <f t="shared" si="5"/>
        <v>802.47899159663871</v>
      </c>
      <c r="L50" s="170"/>
      <c r="M50" s="24"/>
      <c r="N50" s="35">
        <v>-43.37</v>
      </c>
      <c r="O50" s="115"/>
      <c r="P50" s="115"/>
      <c r="Q50" s="115"/>
      <c r="R50" s="114"/>
      <c r="S50" s="114"/>
      <c r="T50" s="114"/>
      <c r="U50" s="114"/>
      <c r="V50" s="114"/>
      <c r="W50" s="115"/>
      <c r="X50" s="115"/>
      <c r="Y50" s="115"/>
      <c r="Z50" s="117">
        <f t="shared" si="1"/>
        <v>0</v>
      </c>
      <c r="AA50" s="115"/>
      <c r="AB50" s="115">
        <v>-382.5</v>
      </c>
      <c r="AC50" s="115"/>
      <c r="AD50" s="115"/>
      <c r="AE50" s="163"/>
      <c r="AF50" s="265">
        <f t="shared" si="2"/>
        <v>0</v>
      </c>
      <c r="AG50" s="258">
        <f t="shared" si="3"/>
        <v>-425.87</v>
      </c>
    </row>
    <row r="51" spans="1:33" ht="18.75" customHeight="1" x14ac:dyDescent="0.3">
      <c r="A51" s="19">
        <f>A50+7</f>
        <v>44114</v>
      </c>
      <c r="B51" s="19"/>
      <c r="C51" s="24"/>
      <c r="D51" s="24">
        <v>0.96</v>
      </c>
      <c r="E51" s="35">
        <v>431.6</v>
      </c>
      <c r="F51" s="35"/>
      <c r="G51" s="223">
        <f t="shared" si="0"/>
        <v>336</v>
      </c>
      <c r="H51" s="162">
        <f>SUM(E51:G51)</f>
        <v>767.6</v>
      </c>
      <c r="I51" s="35"/>
      <c r="J51" s="162"/>
      <c r="K51" s="224">
        <f t="shared" si="5"/>
        <v>799.58333333333337</v>
      </c>
      <c r="L51" s="170"/>
      <c r="M51" s="24"/>
      <c r="N51" s="35"/>
      <c r="O51" s="114"/>
      <c r="P51" s="114"/>
      <c r="Q51" s="114"/>
      <c r="R51" s="115"/>
      <c r="S51" s="115"/>
      <c r="T51" s="115"/>
      <c r="U51" s="115"/>
      <c r="V51" s="115"/>
      <c r="W51" s="114"/>
      <c r="X51" s="114"/>
      <c r="Y51" s="114"/>
      <c r="Z51" s="117">
        <f t="shared" si="1"/>
        <v>0</v>
      </c>
      <c r="AA51" s="114"/>
      <c r="AB51" s="114"/>
      <c r="AC51" s="114"/>
      <c r="AD51" s="114"/>
      <c r="AE51" s="162"/>
      <c r="AF51" s="265">
        <f t="shared" si="2"/>
        <v>0</v>
      </c>
      <c r="AG51" s="258">
        <f t="shared" si="3"/>
        <v>0</v>
      </c>
    </row>
    <row r="52" spans="1:33" ht="18.75" customHeight="1" x14ac:dyDescent="0.3">
      <c r="A52" s="19">
        <f>A51+7</f>
        <v>44121</v>
      </c>
      <c r="B52" s="19"/>
      <c r="C52" s="24"/>
      <c r="D52" s="24"/>
      <c r="E52" s="35">
        <v>489.5</v>
      </c>
      <c r="F52" s="35"/>
      <c r="G52" s="223">
        <f t="shared" si="0"/>
        <v>0</v>
      </c>
      <c r="H52" s="162">
        <f>SUM(E52:G52)</f>
        <v>489.5</v>
      </c>
      <c r="I52" s="35"/>
      <c r="J52" s="162"/>
      <c r="K52" s="224" t="e">
        <f t="shared" si="5"/>
        <v>#DIV/0!</v>
      </c>
      <c r="L52" s="170"/>
      <c r="M52" s="24"/>
      <c r="N52" s="35">
        <v>-149.47999999999999</v>
      </c>
      <c r="O52" s="114"/>
      <c r="P52" s="114"/>
      <c r="Q52" s="114">
        <v>1.05</v>
      </c>
      <c r="R52" s="114">
        <v>-240.99</v>
      </c>
      <c r="S52" s="114"/>
      <c r="T52" s="114"/>
      <c r="U52" s="114"/>
      <c r="V52" s="114"/>
      <c r="W52" s="114"/>
      <c r="X52" s="114"/>
      <c r="Y52" s="114"/>
      <c r="Z52" s="117">
        <f t="shared" si="1"/>
        <v>0</v>
      </c>
      <c r="AA52" s="114"/>
      <c r="AB52" s="114"/>
      <c r="AC52" s="114"/>
      <c r="AD52" s="114"/>
      <c r="AE52" s="162"/>
      <c r="AF52" s="265">
        <f t="shared" si="2"/>
        <v>1.05</v>
      </c>
      <c r="AG52" s="258">
        <f t="shared" si="3"/>
        <v>-390.47</v>
      </c>
    </row>
    <row r="53" spans="1:33" ht="18.75" customHeight="1" x14ac:dyDescent="0.3">
      <c r="A53" s="19">
        <f>A52+7</f>
        <v>44128</v>
      </c>
      <c r="B53" s="19"/>
      <c r="C53" s="24"/>
      <c r="D53" s="24">
        <v>0.7</v>
      </c>
      <c r="E53" s="35">
        <v>440.55</v>
      </c>
      <c r="F53" s="35"/>
      <c r="G53" s="223">
        <f t="shared" si="0"/>
        <v>244.99999999999997</v>
      </c>
      <c r="H53" s="162">
        <f>SUM(E53:G53)</f>
        <v>685.55</v>
      </c>
      <c r="I53" s="35"/>
      <c r="J53" s="162"/>
      <c r="K53" s="224">
        <f t="shared" si="5"/>
        <v>979.35714285714289</v>
      </c>
      <c r="L53" s="170"/>
      <c r="M53" s="24">
        <v>1.4570000000000001</v>
      </c>
      <c r="N53" s="35">
        <v>-13.52</v>
      </c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7">
        <f t="shared" si="1"/>
        <v>0</v>
      </c>
      <c r="AA53" s="114"/>
      <c r="AB53" s="114"/>
      <c r="AC53" s="114"/>
      <c r="AD53" s="114">
        <v>1.5</v>
      </c>
      <c r="AE53" s="162">
        <v>-141.75</v>
      </c>
      <c r="AF53" s="265">
        <f t="shared" si="2"/>
        <v>2.9569999999999999</v>
      </c>
      <c r="AG53" s="258">
        <f t="shared" si="3"/>
        <v>-155.27000000000001</v>
      </c>
    </row>
    <row r="54" spans="1:33" ht="18.75" customHeight="1" x14ac:dyDescent="0.3">
      <c r="A54" s="27" t="s">
        <v>51</v>
      </c>
      <c r="B54" s="28">
        <f>SUBTOTAL(109,B50:B53)</f>
        <v>0</v>
      </c>
      <c r="C54" s="28">
        <f>SUBTOTAL(109,C50:C53)</f>
        <v>0</v>
      </c>
      <c r="D54" s="28">
        <f>SUBTOTAL(109,D50:D53)</f>
        <v>2.8499999999999996</v>
      </c>
      <c r="E54" s="39">
        <f>SUBTOTAL(109,E50:E53)</f>
        <v>1900.1000000000001</v>
      </c>
      <c r="F54" s="28">
        <f>SUBTOTAL(109,F50:F53)</f>
        <v>0</v>
      </c>
      <c r="G54" s="39">
        <f t="shared" si="0"/>
        <v>997.49999999999989</v>
      </c>
      <c r="H54" s="40">
        <f>SUBTOTAL(109,H50:H53)</f>
        <v>2897.6000000000004</v>
      </c>
      <c r="I54" s="39">
        <f>SUM(E54:F54)/D54</f>
        <v>666.70175438596505</v>
      </c>
      <c r="J54" s="40">
        <f>$B$68</f>
        <v>350</v>
      </c>
      <c r="K54" s="111">
        <f t="shared" si="5"/>
        <v>1016.7017543859652</v>
      </c>
      <c r="L54" s="126">
        <f t="shared" ref="L54:AC54" si="15">SUBTOTAL(109,L50:L53)</f>
        <v>0</v>
      </c>
      <c r="M54" s="28">
        <f t="shared" si="15"/>
        <v>1.4570000000000001</v>
      </c>
      <c r="N54" s="28">
        <f t="shared" si="15"/>
        <v>-206.37</v>
      </c>
      <c r="O54" s="148">
        <f t="shared" si="15"/>
        <v>0</v>
      </c>
      <c r="P54" s="28">
        <f t="shared" si="15"/>
        <v>0</v>
      </c>
      <c r="Q54" s="28">
        <f t="shared" si="15"/>
        <v>1.05</v>
      </c>
      <c r="R54" s="28">
        <f t="shared" si="15"/>
        <v>-240.99</v>
      </c>
      <c r="S54" s="28">
        <f t="shared" si="15"/>
        <v>0</v>
      </c>
      <c r="T54" s="28">
        <f t="shared" si="15"/>
        <v>0</v>
      </c>
      <c r="U54" s="28">
        <f t="shared" si="15"/>
        <v>0</v>
      </c>
      <c r="V54" s="28">
        <f t="shared" si="15"/>
        <v>0</v>
      </c>
      <c r="W54" s="28">
        <f t="shared" si="15"/>
        <v>0</v>
      </c>
      <c r="X54" s="28">
        <f t="shared" si="15"/>
        <v>0</v>
      </c>
      <c r="Y54" s="28">
        <f t="shared" si="15"/>
        <v>0</v>
      </c>
      <c r="Z54" s="123">
        <f t="shared" si="1"/>
        <v>0</v>
      </c>
      <c r="AA54" s="28">
        <f t="shared" si="15"/>
        <v>0</v>
      </c>
      <c r="AB54" s="28">
        <f t="shared" si="15"/>
        <v>-382.5</v>
      </c>
      <c r="AC54" s="28">
        <f t="shared" si="15"/>
        <v>0</v>
      </c>
      <c r="AD54" s="28">
        <f>SUBTOTAL(109,AD50:AD53)</f>
        <v>1.5</v>
      </c>
      <c r="AE54" s="39">
        <f>SUBTOTAL(109,AE50:AE53)</f>
        <v>-141.75</v>
      </c>
      <c r="AF54" s="266">
        <f t="shared" si="2"/>
        <v>4.0069999999999997</v>
      </c>
      <c r="AG54" s="267">
        <f t="shared" si="3"/>
        <v>-971.61</v>
      </c>
    </row>
    <row r="55" spans="1:33" ht="18.75" customHeight="1" x14ac:dyDescent="0.3">
      <c r="A55" s="19">
        <f>A53+7</f>
        <v>44135</v>
      </c>
      <c r="B55" s="19"/>
      <c r="C55" s="24"/>
      <c r="D55" s="24">
        <v>0.76</v>
      </c>
      <c r="E55" s="35">
        <v>538.45000000000005</v>
      </c>
      <c r="F55" s="35"/>
      <c r="G55" s="223">
        <f t="shared" si="0"/>
        <v>266</v>
      </c>
      <c r="H55" s="161">
        <f>SUM(E55:G55)</f>
        <v>804.45</v>
      </c>
      <c r="I55" s="35"/>
      <c r="J55" s="162"/>
      <c r="K55" s="224">
        <f t="shared" si="5"/>
        <v>1058.4868421052631</v>
      </c>
      <c r="L55" s="170"/>
      <c r="M55" s="24"/>
      <c r="N55" s="35">
        <v>-76.56</v>
      </c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7">
        <f t="shared" si="1"/>
        <v>0</v>
      </c>
      <c r="AA55" s="114"/>
      <c r="AB55" s="114"/>
      <c r="AC55" s="114"/>
      <c r="AD55" s="114"/>
      <c r="AE55" s="162"/>
      <c r="AF55" s="265">
        <f t="shared" si="2"/>
        <v>0</v>
      </c>
      <c r="AG55" s="258">
        <f t="shared" si="3"/>
        <v>-76.56</v>
      </c>
    </row>
    <row r="56" spans="1:33" ht="18.75" customHeight="1" x14ac:dyDescent="0.3">
      <c r="A56" s="19">
        <f>A55+7</f>
        <v>44142</v>
      </c>
      <c r="B56" s="19"/>
      <c r="C56" s="24"/>
      <c r="D56" s="24">
        <v>0.72</v>
      </c>
      <c r="E56" s="35">
        <v>431.6</v>
      </c>
      <c r="F56" s="35"/>
      <c r="G56" s="223">
        <f>(D56*$B$68)</f>
        <v>252</v>
      </c>
      <c r="H56" s="162">
        <f>SUM(E56:G56)</f>
        <v>683.6</v>
      </c>
      <c r="I56" s="35"/>
      <c r="J56" s="162"/>
      <c r="K56" s="224">
        <f>H56/D56</f>
        <v>949.44444444444446</v>
      </c>
      <c r="L56" s="170"/>
      <c r="M56" s="24"/>
      <c r="N56" s="35">
        <v>-120.38</v>
      </c>
      <c r="O56" s="115">
        <v>0.83699999999999997</v>
      </c>
      <c r="P56" s="115">
        <v>-276.56</v>
      </c>
      <c r="Q56" s="115"/>
      <c r="R56" s="114"/>
      <c r="S56" s="114"/>
      <c r="T56" s="114"/>
      <c r="U56" s="114"/>
      <c r="V56" s="114"/>
      <c r="W56" s="115"/>
      <c r="X56" s="115"/>
      <c r="Y56" s="115"/>
      <c r="Z56" s="117">
        <f t="shared" si="1"/>
        <v>0</v>
      </c>
      <c r="AA56" s="115"/>
      <c r="AB56" s="115"/>
      <c r="AC56" s="115"/>
      <c r="AD56" s="115"/>
      <c r="AE56" s="163"/>
      <c r="AF56" s="265">
        <f t="shared" si="2"/>
        <v>0.83699999999999997</v>
      </c>
      <c r="AG56" s="258">
        <f t="shared" si="3"/>
        <v>-396.94</v>
      </c>
    </row>
    <row r="57" spans="1:33" ht="18.75" customHeight="1" x14ac:dyDescent="0.3">
      <c r="A57" s="19">
        <f>A56+7</f>
        <v>44149</v>
      </c>
      <c r="B57" s="19"/>
      <c r="C57" s="24"/>
      <c r="D57" s="24">
        <v>0.53</v>
      </c>
      <c r="E57" s="35">
        <v>431.6</v>
      </c>
      <c r="F57" s="35"/>
      <c r="G57" s="223">
        <f>(D57*$B$68)</f>
        <v>185.5</v>
      </c>
      <c r="H57" s="162">
        <f>SUM(E57:G57)</f>
        <v>617.1</v>
      </c>
      <c r="I57" s="35"/>
      <c r="J57" s="162"/>
      <c r="K57" s="224">
        <f>H57/D57</f>
        <v>1164.3396226415093</v>
      </c>
      <c r="L57" s="170"/>
      <c r="M57" s="24"/>
      <c r="N57" s="35">
        <v>-93.1</v>
      </c>
      <c r="O57" s="114"/>
      <c r="P57" s="114"/>
      <c r="Q57" s="114"/>
      <c r="R57" s="115"/>
      <c r="S57" s="115"/>
      <c r="T57" s="115"/>
      <c r="U57" s="115"/>
      <c r="V57" s="115"/>
      <c r="W57" s="114"/>
      <c r="X57" s="114"/>
      <c r="Y57" s="114"/>
      <c r="Z57" s="117">
        <f t="shared" si="1"/>
        <v>0</v>
      </c>
      <c r="AA57" s="114"/>
      <c r="AB57" s="114"/>
      <c r="AC57" s="114"/>
      <c r="AD57" s="114"/>
      <c r="AE57" s="162"/>
      <c r="AF57" s="265">
        <f t="shared" si="2"/>
        <v>0</v>
      </c>
      <c r="AG57" s="258">
        <f t="shared" si="3"/>
        <v>-93.1</v>
      </c>
    </row>
    <row r="58" spans="1:33" ht="18.75" customHeight="1" x14ac:dyDescent="0.3">
      <c r="A58" s="19">
        <f>A57+7</f>
        <v>44156</v>
      </c>
      <c r="B58" s="19"/>
      <c r="C58" s="24"/>
      <c r="D58" s="24">
        <v>0.7</v>
      </c>
      <c r="E58" s="35">
        <v>431.6</v>
      </c>
      <c r="F58" s="35"/>
      <c r="G58" s="223">
        <f t="shared" si="0"/>
        <v>244.99999999999997</v>
      </c>
      <c r="H58" s="162">
        <f>SUM(E58:G58)</f>
        <v>676.6</v>
      </c>
      <c r="I58" s="35"/>
      <c r="J58" s="162"/>
      <c r="K58" s="224">
        <f t="shared" si="5"/>
        <v>966.57142857142867</v>
      </c>
      <c r="L58" s="170"/>
      <c r="M58" s="24"/>
      <c r="N58" s="35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7">
        <f t="shared" si="1"/>
        <v>0</v>
      </c>
      <c r="AA58" s="114"/>
      <c r="AB58" s="114"/>
      <c r="AC58" s="114"/>
      <c r="AD58" s="114"/>
      <c r="AE58" s="162"/>
      <c r="AF58" s="265">
        <f t="shared" si="2"/>
        <v>0</v>
      </c>
      <c r="AG58" s="258">
        <f t="shared" si="3"/>
        <v>0</v>
      </c>
    </row>
    <row r="59" spans="1:33" ht="18.75" customHeight="1" x14ac:dyDescent="0.3">
      <c r="A59" s="19">
        <f>A58+7</f>
        <v>44163</v>
      </c>
      <c r="B59" s="19"/>
      <c r="C59" s="24"/>
      <c r="D59" s="24">
        <v>0.6</v>
      </c>
      <c r="E59" s="35">
        <v>440.55</v>
      </c>
      <c r="F59" s="35"/>
      <c r="G59" s="223">
        <f t="shared" si="0"/>
        <v>210</v>
      </c>
      <c r="H59" s="161">
        <f>SUM(E59:G59)</f>
        <v>650.54999999999995</v>
      </c>
      <c r="I59" s="35"/>
      <c r="J59" s="162"/>
      <c r="K59" s="224">
        <f t="shared" si="5"/>
        <v>1084.25</v>
      </c>
      <c r="L59" s="170"/>
      <c r="M59" s="24">
        <v>0.90900000000000003</v>
      </c>
      <c r="N59" s="35">
        <v>-76.56</v>
      </c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7">
        <f t="shared" si="1"/>
        <v>0</v>
      </c>
      <c r="AA59" s="114"/>
      <c r="AB59" s="114"/>
      <c r="AC59" s="114"/>
      <c r="AD59" s="114"/>
      <c r="AE59" s="162"/>
      <c r="AF59" s="265">
        <f t="shared" si="2"/>
        <v>0.90900000000000003</v>
      </c>
      <c r="AG59" s="258">
        <f t="shared" si="3"/>
        <v>-76.56</v>
      </c>
    </row>
    <row r="60" spans="1:33" ht="18.75" customHeight="1" x14ac:dyDescent="0.3">
      <c r="A60" s="27" t="s">
        <v>11</v>
      </c>
      <c r="B60" s="28">
        <f>SUBTOTAL(109,B55:B59)</f>
        <v>0</v>
      </c>
      <c r="C60" s="28">
        <f>SUBTOTAL(109,C55:C59)</f>
        <v>0</v>
      </c>
      <c r="D60" s="28">
        <f>SUBTOTAL(109,D55:D59)</f>
        <v>3.31</v>
      </c>
      <c r="E60" s="39">
        <f>SUBTOTAL(109,E55:E59)</f>
        <v>2273.8000000000002</v>
      </c>
      <c r="F60" s="28">
        <f>SUBTOTAL(109,F55:F59)</f>
        <v>0</v>
      </c>
      <c r="G60" s="39">
        <f t="shared" si="0"/>
        <v>1158.5</v>
      </c>
      <c r="H60" s="40">
        <f>SUBTOTAL(109,H56:H59)</f>
        <v>2627.8500000000004</v>
      </c>
      <c r="I60" s="39">
        <f>SUM(E60:F60)/D60</f>
        <v>686.94864048338377</v>
      </c>
      <c r="J60" s="40">
        <f>$B$68</f>
        <v>350</v>
      </c>
      <c r="K60" s="111">
        <f t="shared" si="5"/>
        <v>793.91238670694872</v>
      </c>
      <c r="L60" s="126">
        <f t="shared" ref="L60:Y60" si="16">SUBTOTAL(109,L55:L59)</f>
        <v>0</v>
      </c>
      <c r="M60" s="28">
        <f t="shared" si="16"/>
        <v>0.90900000000000003</v>
      </c>
      <c r="N60" s="28">
        <f t="shared" si="16"/>
        <v>-366.59999999999997</v>
      </c>
      <c r="O60" s="28">
        <f t="shared" si="16"/>
        <v>0.83699999999999997</v>
      </c>
      <c r="P60" s="28">
        <f t="shared" si="16"/>
        <v>-276.56</v>
      </c>
      <c r="Q60" s="28">
        <f t="shared" si="16"/>
        <v>0</v>
      </c>
      <c r="R60" s="28">
        <f t="shared" si="16"/>
        <v>0</v>
      </c>
      <c r="S60" s="28">
        <f t="shared" si="16"/>
        <v>0</v>
      </c>
      <c r="T60" s="28">
        <f t="shared" si="16"/>
        <v>0</v>
      </c>
      <c r="U60" s="28">
        <f t="shared" si="16"/>
        <v>0</v>
      </c>
      <c r="V60" s="28">
        <f t="shared" si="16"/>
        <v>0</v>
      </c>
      <c r="W60" s="28">
        <f t="shared" si="16"/>
        <v>0</v>
      </c>
      <c r="X60" s="28">
        <f t="shared" si="16"/>
        <v>0</v>
      </c>
      <c r="Y60" s="28">
        <f t="shared" si="16"/>
        <v>0</v>
      </c>
      <c r="Z60" s="123">
        <f>X60+Y60</f>
        <v>0</v>
      </c>
      <c r="AA60" s="28">
        <f>SUBTOTAL(109,AA55:AA59)</f>
        <v>0</v>
      </c>
      <c r="AB60" s="28">
        <f>SUBTOTAL(109,AB55:AB59)</f>
        <v>0</v>
      </c>
      <c r="AC60" s="28">
        <f>SUBTOTAL(109,AC55:AC59)</f>
        <v>0</v>
      </c>
      <c r="AD60" s="28">
        <f>SUBTOTAL(109,AD55:AD59)</f>
        <v>0</v>
      </c>
      <c r="AE60" s="39">
        <f>SUBTOTAL(109,AE55:AE59)</f>
        <v>0</v>
      </c>
      <c r="AF60" s="266">
        <f t="shared" si="2"/>
        <v>1.746</v>
      </c>
      <c r="AG60" s="267">
        <f t="shared" si="3"/>
        <v>-643.16</v>
      </c>
    </row>
    <row r="61" spans="1:33" ht="18.75" customHeight="1" x14ac:dyDescent="0.3">
      <c r="A61" s="19">
        <f>A59+7</f>
        <v>44170</v>
      </c>
      <c r="B61" s="19"/>
      <c r="C61" s="24"/>
      <c r="D61" s="24">
        <v>0.6</v>
      </c>
      <c r="E61" s="35"/>
      <c r="F61" s="35"/>
      <c r="G61" s="223">
        <f t="shared" si="0"/>
        <v>210</v>
      </c>
      <c r="H61" s="161">
        <f>SUM(E61:G61)</f>
        <v>210</v>
      </c>
      <c r="I61" s="35"/>
      <c r="J61" s="162"/>
      <c r="K61" s="224">
        <f t="shared" si="5"/>
        <v>350</v>
      </c>
      <c r="L61" s="170"/>
      <c r="M61" s="24"/>
      <c r="N61" s="35">
        <v>-87.38</v>
      </c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7">
        <f t="shared" si="1"/>
        <v>0</v>
      </c>
      <c r="AA61" s="114"/>
      <c r="AB61" s="114"/>
      <c r="AC61" s="114"/>
      <c r="AD61" s="114"/>
      <c r="AE61" s="162"/>
      <c r="AF61" s="265">
        <f t="shared" si="2"/>
        <v>0</v>
      </c>
      <c r="AG61" s="258">
        <f t="shared" si="3"/>
        <v>-87.38</v>
      </c>
    </row>
    <row r="62" spans="1:33" ht="18.75" customHeight="1" x14ac:dyDescent="0.3">
      <c r="A62" s="19">
        <f>A61+7</f>
        <v>44177</v>
      </c>
      <c r="B62" s="19"/>
      <c r="C62" s="24"/>
      <c r="D62" s="24">
        <v>0.59</v>
      </c>
      <c r="E62" s="35"/>
      <c r="F62" s="35"/>
      <c r="G62" s="223">
        <f t="shared" si="0"/>
        <v>206.5</v>
      </c>
      <c r="H62" s="162">
        <f>SUM(E62:G62)</f>
        <v>206.5</v>
      </c>
      <c r="I62" s="35"/>
      <c r="J62" s="162"/>
      <c r="K62" s="224">
        <f t="shared" si="5"/>
        <v>350</v>
      </c>
      <c r="L62" s="170"/>
      <c r="M62" s="24"/>
      <c r="N62" s="35"/>
      <c r="O62" s="115"/>
      <c r="P62" s="115"/>
      <c r="Q62" s="115"/>
      <c r="R62" s="114"/>
      <c r="S62" s="114"/>
      <c r="T62" s="114"/>
      <c r="U62" s="114"/>
      <c r="V62" s="114"/>
      <c r="W62" s="115"/>
      <c r="X62" s="115"/>
      <c r="Y62" s="115"/>
      <c r="Z62" s="117">
        <f t="shared" si="1"/>
        <v>0</v>
      </c>
      <c r="AA62" s="115"/>
      <c r="AB62" s="115"/>
      <c r="AC62" s="115"/>
      <c r="AD62" s="115"/>
      <c r="AE62" s="163"/>
      <c r="AF62" s="265">
        <f t="shared" si="2"/>
        <v>0</v>
      </c>
      <c r="AG62" s="258">
        <f t="shared" si="3"/>
        <v>0</v>
      </c>
    </row>
    <row r="63" spans="1:33" ht="18.75" customHeight="1" x14ac:dyDescent="0.3">
      <c r="A63" s="19">
        <f>A62+7</f>
        <v>44184</v>
      </c>
      <c r="B63" s="19"/>
      <c r="C63" s="24"/>
      <c r="D63" s="24">
        <v>0.51</v>
      </c>
      <c r="E63" s="35">
        <v>440.55</v>
      </c>
      <c r="F63" s="35"/>
      <c r="G63" s="223">
        <f>(D63*$B$68)</f>
        <v>178.5</v>
      </c>
      <c r="H63" s="162">
        <f>SUM(E63:G63)</f>
        <v>619.04999999999995</v>
      </c>
      <c r="I63" s="35"/>
      <c r="J63" s="162"/>
      <c r="K63" s="224">
        <f t="shared" si="5"/>
        <v>1213.8235294117646</v>
      </c>
      <c r="L63" s="170"/>
      <c r="M63" s="24">
        <v>0.77800000000000002</v>
      </c>
      <c r="N63" s="35">
        <v>-100.73</v>
      </c>
      <c r="O63" s="114"/>
      <c r="P63" s="114"/>
      <c r="Q63" s="114"/>
      <c r="R63" s="115"/>
      <c r="S63" s="115"/>
      <c r="T63" s="115"/>
      <c r="U63" s="115"/>
      <c r="V63" s="115"/>
      <c r="W63" s="114"/>
      <c r="X63" s="114"/>
      <c r="Y63" s="114"/>
      <c r="Z63" s="117">
        <f t="shared" si="1"/>
        <v>0</v>
      </c>
      <c r="AA63" s="114"/>
      <c r="AB63" s="114"/>
      <c r="AC63" s="114"/>
      <c r="AD63" s="114"/>
      <c r="AE63" s="162"/>
      <c r="AF63" s="265">
        <f t="shared" si="2"/>
        <v>0.77800000000000002</v>
      </c>
      <c r="AG63" s="258">
        <f t="shared" si="3"/>
        <v>-100.73</v>
      </c>
    </row>
    <row r="64" spans="1:33" ht="18.75" customHeight="1" x14ac:dyDescent="0.3">
      <c r="A64" s="19">
        <f>A63+7</f>
        <v>44191</v>
      </c>
      <c r="B64" s="19"/>
      <c r="C64" s="24"/>
      <c r="D64" s="24"/>
      <c r="E64" s="35"/>
      <c r="F64" s="35"/>
      <c r="G64" s="223">
        <f t="shared" si="0"/>
        <v>0</v>
      </c>
      <c r="H64" s="162">
        <f>SUM(E64:G64)</f>
        <v>0</v>
      </c>
      <c r="I64" s="35"/>
      <c r="J64" s="162"/>
      <c r="K64" s="224" t="e">
        <f t="shared" si="5"/>
        <v>#DIV/0!</v>
      </c>
      <c r="L64" s="170"/>
      <c r="M64" s="24"/>
      <c r="N64" s="35">
        <v>-76.56</v>
      </c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7">
        <f t="shared" si="1"/>
        <v>0</v>
      </c>
      <c r="AA64" s="114"/>
      <c r="AB64" s="114"/>
      <c r="AC64" s="114"/>
      <c r="AD64" s="114"/>
      <c r="AE64" s="162"/>
      <c r="AF64" s="265">
        <f t="shared" si="2"/>
        <v>0</v>
      </c>
      <c r="AG64" s="258">
        <f t="shared" si="3"/>
        <v>-76.56</v>
      </c>
    </row>
    <row r="65" spans="1:33" ht="18.75" customHeight="1" thickBot="1" x14ac:dyDescent="0.35">
      <c r="A65" s="27" t="s">
        <v>12</v>
      </c>
      <c r="B65" s="28">
        <f>SUBTOTAL(109,B61:B64)</f>
        <v>0</v>
      </c>
      <c r="C65" s="28">
        <f>SUBTOTAL(109,C61:C64)</f>
        <v>0</v>
      </c>
      <c r="D65" s="28">
        <f>SUBTOTAL(109,D61:D64)</f>
        <v>1.7</v>
      </c>
      <c r="E65" s="39">
        <f>SUBTOTAL(109,E61:E64)</f>
        <v>440.55</v>
      </c>
      <c r="F65" s="28">
        <f>SUBTOTAL(109,F61:F64)</f>
        <v>0</v>
      </c>
      <c r="G65" s="39">
        <f t="shared" si="0"/>
        <v>595</v>
      </c>
      <c r="H65" s="39">
        <f>SUBTOTAL(109,H61:H64)</f>
        <v>1035.55</v>
      </c>
      <c r="I65" s="39">
        <f>SUM(E65:F65)/D65</f>
        <v>259.14705882352945</v>
      </c>
      <c r="J65" s="63">
        <f>$B$68</f>
        <v>350</v>
      </c>
      <c r="K65" s="111">
        <f t="shared" si="5"/>
        <v>609.14705882352939</v>
      </c>
      <c r="L65" s="128">
        <f t="shared" ref="L65:AC65" si="17">SUBTOTAL(109,L61:L64)</f>
        <v>0</v>
      </c>
      <c r="M65" s="129">
        <f t="shared" si="17"/>
        <v>0.77800000000000002</v>
      </c>
      <c r="N65" s="129">
        <f t="shared" si="17"/>
        <v>-264.67</v>
      </c>
      <c r="O65" s="149">
        <f t="shared" si="17"/>
        <v>0</v>
      </c>
      <c r="P65" s="129">
        <f t="shared" si="17"/>
        <v>0</v>
      </c>
      <c r="Q65" s="129">
        <f t="shared" si="17"/>
        <v>0</v>
      </c>
      <c r="R65" s="129">
        <f t="shared" si="17"/>
        <v>0</v>
      </c>
      <c r="S65" s="129">
        <f t="shared" si="17"/>
        <v>0</v>
      </c>
      <c r="T65" s="129">
        <f t="shared" si="17"/>
        <v>0</v>
      </c>
      <c r="U65" s="129">
        <f t="shared" si="17"/>
        <v>0</v>
      </c>
      <c r="V65" s="129">
        <f t="shared" si="17"/>
        <v>0</v>
      </c>
      <c r="W65" s="129">
        <f t="shared" si="17"/>
        <v>0</v>
      </c>
      <c r="X65" s="129">
        <f t="shared" si="17"/>
        <v>0</v>
      </c>
      <c r="Y65" s="129">
        <f t="shared" si="17"/>
        <v>0</v>
      </c>
      <c r="Z65" s="130">
        <f t="shared" si="1"/>
        <v>0</v>
      </c>
      <c r="AA65" s="129">
        <f t="shared" si="17"/>
        <v>0</v>
      </c>
      <c r="AB65" s="129">
        <f t="shared" si="17"/>
        <v>0</v>
      </c>
      <c r="AC65" s="129">
        <f t="shared" si="17"/>
        <v>0</v>
      </c>
      <c r="AD65" s="129">
        <f>SUBTOTAL(109,AD61:AD64)</f>
        <v>0</v>
      </c>
      <c r="AE65" s="112">
        <f>SUBTOTAL(109,AE61:AE64)</f>
        <v>0</v>
      </c>
      <c r="AF65" s="266">
        <f t="shared" si="2"/>
        <v>0.77800000000000002</v>
      </c>
      <c r="AG65" s="267">
        <f t="shared" si="3"/>
        <v>-264.67</v>
      </c>
    </row>
    <row r="66" spans="1:33" ht="18.75" customHeight="1" thickBot="1" x14ac:dyDescent="0.35">
      <c r="A66" s="270" t="s">
        <v>145</v>
      </c>
      <c r="B66" s="99">
        <f>SUBTOTAL(109,B2:B64)</f>
        <v>0</v>
      </c>
      <c r="C66" s="99">
        <f>SUBTOTAL(109,C2:C64)</f>
        <v>0</v>
      </c>
      <c r="D66" s="271">
        <f>SUBTOTAL(109,D2:D64)</f>
        <v>26.520000000000003</v>
      </c>
      <c r="E66" s="274">
        <f>SUBTOTAL(109,E2:E64)</f>
        <v>17498.45</v>
      </c>
      <c r="F66" s="271">
        <f>SUBTOTAL(109,F2:F64)</f>
        <v>0</v>
      </c>
      <c r="G66" s="272">
        <f t="shared" si="0"/>
        <v>9282.0000000000018</v>
      </c>
      <c r="H66" s="273">
        <f>SUBTOTAL(109,H2:H65)</f>
        <v>26780.449999999993</v>
      </c>
      <c r="I66" s="274">
        <f>F66/D66</f>
        <v>0</v>
      </c>
      <c r="J66" s="274">
        <f>$B$68</f>
        <v>350</v>
      </c>
      <c r="K66" s="275">
        <f t="shared" si="5"/>
        <v>1009.820889894419</v>
      </c>
      <c r="L66" s="131">
        <f t="shared" ref="L66:Z66" si="18">SUBTOTAL(109,L2:L64)</f>
        <v>0</v>
      </c>
      <c r="M66" s="271">
        <f t="shared" si="18"/>
        <v>8.902000000000001</v>
      </c>
      <c r="N66" s="271">
        <f t="shared" si="18"/>
        <v>-2189.4299999999998</v>
      </c>
      <c r="O66" s="173">
        <f t="shared" si="18"/>
        <v>2.0369999999999999</v>
      </c>
      <c r="P66" s="11">
        <f t="shared" si="18"/>
        <v>-527.68000000000006</v>
      </c>
      <c r="Q66" s="11">
        <f t="shared" si="18"/>
        <v>1.776</v>
      </c>
      <c r="R66" s="11">
        <f t="shared" si="18"/>
        <v>-407.93</v>
      </c>
      <c r="S66" s="11">
        <f t="shared" si="18"/>
        <v>0</v>
      </c>
      <c r="T66" s="11">
        <f t="shared" si="18"/>
        <v>0</v>
      </c>
      <c r="U66" s="11">
        <f t="shared" si="18"/>
        <v>0</v>
      </c>
      <c r="V66" s="11">
        <f t="shared" si="18"/>
        <v>0</v>
      </c>
      <c r="W66" s="11">
        <f t="shared" si="18"/>
        <v>89.8</v>
      </c>
      <c r="X66" s="11">
        <f t="shared" si="18"/>
        <v>0</v>
      </c>
      <c r="Y66" s="11">
        <f t="shared" si="18"/>
        <v>0</v>
      </c>
      <c r="Z66" s="11">
        <f t="shared" si="18"/>
        <v>0</v>
      </c>
      <c r="AA66" s="11">
        <f>SUBTOTAL(109,AA2:AA64)</f>
        <v>0</v>
      </c>
      <c r="AB66" s="11">
        <f>SUBTOTAL(109,AB2:AB64)</f>
        <v>-382.5</v>
      </c>
      <c r="AC66" s="11">
        <f>SUBTOTAL(109,AC2:AC64)</f>
        <v>0</v>
      </c>
      <c r="AD66" s="11">
        <f>SUBTOTAL(109,AD2:AD64)</f>
        <v>3</v>
      </c>
      <c r="AE66" s="164">
        <f>SUBTOTAL(109,AE2:AE64)</f>
        <v>-434.44</v>
      </c>
      <c r="AF66" s="269">
        <f t="shared" si="2"/>
        <v>15.715</v>
      </c>
      <c r="AG66" s="268">
        <f t="shared" si="3"/>
        <v>-3941.98</v>
      </c>
    </row>
    <row r="68" spans="1:33" ht="18.75" customHeight="1" x14ac:dyDescent="0.3">
      <c r="A68" s="95" t="s">
        <v>115</v>
      </c>
      <c r="B68" s="62">
        <v>350</v>
      </c>
      <c r="C68" s="21" t="s">
        <v>14</v>
      </c>
      <c r="D68" s="1"/>
    </row>
    <row r="70" spans="1:33" ht="26" x14ac:dyDescent="0.3">
      <c r="A70" s="31" t="s">
        <v>23</v>
      </c>
      <c r="B70" s="32" t="s">
        <v>36</v>
      </c>
      <c r="C70" s="32" t="s">
        <v>98</v>
      </c>
      <c r="D70" s="32" t="s">
        <v>108</v>
      </c>
      <c r="E70" s="32" t="s">
        <v>37</v>
      </c>
      <c r="F70" s="32"/>
      <c r="G70" s="32" t="s">
        <v>116</v>
      </c>
      <c r="H70" s="32" t="s">
        <v>117</v>
      </c>
      <c r="I70" s="32" t="s">
        <v>92</v>
      </c>
      <c r="J70" s="32" t="s">
        <v>93</v>
      </c>
      <c r="K70" s="32" t="s">
        <v>94</v>
      </c>
      <c r="L70" s="32" t="s">
        <v>95</v>
      </c>
      <c r="M70" s="32" t="s">
        <v>96</v>
      </c>
      <c r="N70" s="32"/>
      <c r="O70" s="32"/>
      <c r="P70" s="32"/>
      <c r="Q70" s="32"/>
    </row>
    <row r="71" spans="1:33" ht="18.75" customHeight="1" x14ac:dyDescent="0.3">
      <c r="A71" s="21" t="s">
        <v>27</v>
      </c>
      <c r="B71" s="1">
        <f>D6</f>
        <v>1.5299999999999998</v>
      </c>
      <c r="C71" s="30">
        <f>H6</f>
        <v>535.5</v>
      </c>
      <c r="D71" s="22">
        <f t="shared" ref="D71:D82" si="19">C71/B71</f>
        <v>350.00000000000006</v>
      </c>
      <c r="E71" s="200">
        <f>M6</f>
        <v>0.35199999999999998</v>
      </c>
      <c r="F71" s="1"/>
      <c r="G71" s="1">
        <f>AF6-E71</f>
        <v>0</v>
      </c>
      <c r="H71" s="1">
        <f>AF6</f>
        <v>0.35199999999999998</v>
      </c>
      <c r="I71" s="22">
        <f>AG6</f>
        <v>-146.53</v>
      </c>
      <c r="J71" s="1">
        <f>I71/H71</f>
        <v>-416.27840909090912</v>
      </c>
      <c r="K71" s="1">
        <f>B71+H71</f>
        <v>1.8819999999999997</v>
      </c>
      <c r="L71" s="30">
        <f>C71+I71</f>
        <v>388.97</v>
      </c>
      <c r="M71" s="179">
        <f>L71/K71</f>
        <v>206.67906482465466</v>
      </c>
      <c r="N71" s="179"/>
      <c r="O71" s="1"/>
      <c r="P71" s="30"/>
      <c r="Q71" s="1"/>
    </row>
    <row r="72" spans="1:33" ht="18.75" customHeight="1" x14ac:dyDescent="0.3">
      <c r="A72" s="21" t="s">
        <v>28</v>
      </c>
      <c r="B72" s="1">
        <f>D11</f>
        <v>2.83</v>
      </c>
      <c r="C72" s="22">
        <f>H11</f>
        <v>2396.35</v>
      </c>
      <c r="D72" s="22">
        <f t="shared" si="19"/>
        <v>846.76678445229675</v>
      </c>
      <c r="E72" s="200">
        <f>M11</f>
        <v>0</v>
      </c>
      <c r="F72" s="1"/>
      <c r="G72" s="1">
        <f>AF11-E72</f>
        <v>1</v>
      </c>
      <c r="H72" s="1">
        <f>AF11</f>
        <v>1</v>
      </c>
      <c r="I72" s="22">
        <f>AG11</f>
        <v>-259.81</v>
      </c>
      <c r="J72" s="1">
        <f t="shared" ref="J72:J82" si="20">I72/H72</f>
        <v>-259.81</v>
      </c>
      <c r="K72" s="1">
        <f t="shared" ref="K72:L82" si="21">B72+H72</f>
        <v>3.83</v>
      </c>
      <c r="L72" s="30">
        <f t="shared" si="21"/>
        <v>2136.54</v>
      </c>
      <c r="M72" s="179">
        <f t="shared" ref="M72:M82" si="22">L72/K72</f>
        <v>557.84334203655351</v>
      </c>
      <c r="N72" s="179"/>
      <c r="O72" s="1"/>
      <c r="P72" s="30"/>
      <c r="Q72" s="1"/>
    </row>
    <row r="73" spans="1:33" ht="18.75" customHeight="1" x14ac:dyDescent="0.3">
      <c r="A73" s="21" t="s">
        <v>29</v>
      </c>
      <c r="B73" s="1">
        <f>D17</f>
        <v>1.74</v>
      </c>
      <c r="C73" s="22">
        <f>H17</f>
        <v>1903.8000000000002</v>
      </c>
      <c r="D73" s="22">
        <f t="shared" si="19"/>
        <v>1094.1379310344828</v>
      </c>
      <c r="E73" s="200">
        <f>M17</f>
        <v>1.0840000000000001</v>
      </c>
      <c r="F73" s="1"/>
      <c r="G73" s="1">
        <f>AF17-E73</f>
        <v>0</v>
      </c>
      <c r="H73" s="1">
        <f>AF17</f>
        <v>1.0840000000000001</v>
      </c>
      <c r="I73" s="22">
        <f>AG17</f>
        <v>-201.76</v>
      </c>
      <c r="J73" s="1">
        <f t="shared" si="20"/>
        <v>-186.12546125461253</v>
      </c>
      <c r="K73" s="1">
        <f t="shared" si="21"/>
        <v>2.8239999999999998</v>
      </c>
      <c r="L73" s="30">
        <f t="shared" si="21"/>
        <v>1702.0400000000002</v>
      </c>
      <c r="M73" s="179">
        <f t="shared" si="22"/>
        <v>602.70538243626072</v>
      </c>
      <c r="N73" s="179"/>
      <c r="O73" s="1"/>
      <c r="P73" s="30"/>
      <c r="Q73" s="1"/>
    </row>
    <row r="74" spans="1:33" ht="18.75" customHeight="1" x14ac:dyDescent="0.3">
      <c r="A74" s="21" t="s">
        <v>30</v>
      </c>
      <c r="B74" s="1">
        <f>D22</f>
        <v>1.5499999999999998</v>
      </c>
      <c r="C74" s="22">
        <f>H22</f>
        <v>2271.5</v>
      </c>
      <c r="D74" s="22">
        <f t="shared" si="19"/>
        <v>1465.4838709677422</v>
      </c>
      <c r="E74" s="200">
        <f>M22</f>
        <v>0.57699999999999996</v>
      </c>
      <c r="F74" s="1"/>
      <c r="G74" s="1">
        <f>AF22-E74</f>
        <v>1.2</v>
      </c>
      <c r="H74" s="1">
        <f>AF22</f>
        <v>1.7769999999999999</v>
      </c>
      <c r="I74" s="22">
        <f>AG22</f>
        <v>-387.3</v>
      </c>
      <c r="J74" s="1">
        <f t="shared" si="20"/>
        <v>-217.95160382667419</v>
      </c>
      <c r="K74" s="1">
        <f t="shared" si="21"/>
        <v>3.327</v>
      </c>
      <c r="L74" s="30">
        <f t="shared" si="21"/>
        <v>1884.2</v>
      </c>
      <c r="M74" s="179">
        <f t="shared" si="22"/>
        <v>566.33603847309894</v>
      </c>
      <c r="N74" s="179"/>
      <c r="O74" s="1"/>
      <c r="P74" s="30"/>
      <c r="Q74" s="1"/>
    </row>
    <row r="75" spans="1:33" ht="18.75" customHeight="1" x14ac:dyDescent="0.3">
      <c r="A75" s="21" t="s">
        <v>31</v>
      </c>
      <c r="B75" s="1">
        <f>D28</f>
        <v>2.3200000000000003</v>
      </c>
      <c r="C75" s="22">
        <f>H28</f>
        <v>1724.45</v>
      </c>
      <c r="D75" s="22">
        <f t="shared" si="19"/>
        <v>743.29741379310337</v>
      </c>
      <c r="E75" s="200">
        <f>M28</f>
        <v>0.26400000000000001</v>
      </c>
      <c r="F75" s="1"/>
      <c r="G75" s="1">
        <f>AF28-E75</f>
        <v>0</v>
      </c>
      <c r="H75" s="1">
        <f>AF28</f>
        <v>0.26400000000000001</v>
      </c>
      <c r="I75" s="22">
        <f>AG28</f>
        <v>-195.56</v>
      </c>
      <c r="J75" s="1">
        <f t="shared" si="20"/>
        <v>-740.75757575757575</v>
      </c>
      <c r="K75" s="1">
        <f t="shared" si="21"/>
        <v>2.5840000000000005</v>
      </c>
      <c r="L75" s="30">
        <f t="shared" si="21"/>
        <v>1528.89</v>
      </c>
      <c r="M75" s="179">
        <f t="shared" si="22"/>
        <v>591.67569659442711</v>
      </c>
      <c r="N75" s="179"/>
      <c r="O75" s="1"/>
      <c r="P75" s="30"/>
      <c r="Q75" s="1"/>
    </row>
    <row r="76" spans="1:33" ht="18.75" customHeight="1" x14ac:dyDescent="0.3">
      <c r="A76" s="21" t="s">
        <v>32</v>
      </c>
      <c r="B76" s="1">
        <f>D33</f>
        <v>1.69</v>
      </c>
      <c r="C76" s="22">
        <f>H33</f>
        <v>2549.5</v>
      </c>
      <c r="D76" s="22">
        <f t="shared" si="19"/>
        <v>1508.5798816568047</v>
      </c>
      <c r="E76" s="200">
        <f>M33</f>
        <v>0.71799999999999997</v>
      </c>
      <c r="F76" s="1"/>
      <c r="G76" s="1">
        <f>AF33-E76</f>
        <v>1.226</v>
      </c>
      <c r="H76" s="1">
        <f>AF33</f>
        <v>1.944</v>
      </c>
      <c r="I76" s="22">
        <f>AG33</f>
        <v>-259.83</v>
      </c>
      <c r="J76" s="1">
        <f t="shared" si="20"/>
        <v>-133.65740740740739</v>
      </c>
      <c r="K76" s="1">
        <f t="shared" si="21"/>
        <v>3.6339999999999999</v>
      </c>
      <c r="L76" s="30">
        <f t="shared" si="21"/>
        <v>2289.67</v>
      </c>
      <c r="M76" s="179">
        <f t="shared" si="22"/>
        <v>630.06879471656578</v>
      </c>
      <c r="N76" s="179"/>
      <c r="O76" s="1"/>
      <c r="P76" s="30"/>
      <c r="Q76" s="1"/>
    </row>
    <row r="77" spans="1:33" ht="18.75" customHeight="1" x14ac:dyDescent="0.3">
      <c r="A77" s="21" t="s">
        <v>33</v>
      </c>
      <c r="B77" s="1">
        <f>D38</f>
        <v>0.5</v>
      </c>
      <c r="C77" s="22">
        <f>H38</f>
        <v>606.6</v>
      </c>
      <c r="D77" s="22">
        <f t="shared" si="19"/>
        <v>1213.2</v>
      </c>
      <c r="E77" s="200">
        <f>M38</f>
        <v>1.0760000000000001</v>
      </c>
      <c r="F77" s="1"/>
      <c r="G77" s="1">
        <f>AF38-E77</f>
        <v>0</v>
      </c>
      <c r="H77" s="1">
        <f>AF38</f>
        <v>1.0760000000000001</v>
      </c>
      <c r="I77" s="22">
        <f>AG38</f>
        <v>-243.42000000000002</v>
      </c>
      <c r="J77" s="1">
        <f t="shared" si="20"/>
        <v>-226.2267657992565</v>
      </c>
      <c r="K77" s="1">
        <f t="shared" si="21"/>
        <v>1.5760000000000001</v>
      </c>
      <c r="L77" s="30">
        <f t="shared" si="21"/>
        <v>363.18</v>
      </c>
      <c r="M77" s="179">
        <f t="shared" si="22"/>
        <v>230.44416243654823</v>
      </c>
      <c r="N77" s="179"/>
      <c r="O77" s="1"/>
      <c r="P77" s="30"/>
      <c r="Q77" s="1"/>
    </row>
    <row r="78" spans="1:33" ht="18.75" customHeight="1" x14ac:dyDescent="0.3">
      <c r="A78" s="21" t="s">
        <v>34</v>
      </c>
      <c r="B78" s="1">
        <f>D44</f>
        <v>3.0999999999999996</v>
      </c>
      <c r="C78" s="22">
        <f>H44</f>
        <v>1418.5</v>
      </c>
      <c r="D78" s="22">
        <f t="shared" si="19"/>
        <v>457.58064516129036</v>
      </c>
      <c r="E78" s="200">
        <f>M44</f>
        <v>1.4810000000000001</v>
      </c>
      <c r="F78" s="1"/>
      <c r="G78" s="1">
        <f>AF44-E78</f>
        <v>0</v>
      </c>
      <c r="H78" s="1">
        <f>AF44</f>
        <v>1.4810000000000001</v>
      </c>
      <c r="I78" s="22">
        <f>AG44</f>
        <v>-238.68</v>
      </c>
      <c r="J78" s="1">
        <f t="shared" si="20"/>
        <v>-161.16137744767047</v>
      </c>
      <c r="K78" s="1">
        <f t="shared" si="21"/>
        <v>4.5809999999999995</v>
      </c>
      <c r="L78" s="30">
        <f t="shared" si="21"/>
        <v>1179.82</v>
      </c>
      <c r="M78" s="179">
        <f t="shared" si="22"/>
        <v>257.54638725169178</v>
      </c>
      <c r="N78" s="179"/>
      <c r="O78" s="1"/>
      <c r="P78" s="30"/>
      <c r="Q78" s="1"/>
    </row>
    <row r="79" spans="1:33" ht="18.75" customHeight="1" x14ac:dyDescent="0.3">
      <c r="A79" s="21" t="s">
        <v>35</v>
      </c>
      <c r="B79" s="1">
        <f>D49</f>
        <v>3.4000000000000004</v>
      </c>
      <c r="C79" s="22">
        <f>H49</f>
        <v>3481.7</v>
      </c>
      <c r="D79" s="22">
        <f t="shared" si="19"/>
        <v>1024.0294117647056</v>
      </c>
      <c r="E79" s="200">
        <f>M49</f>
        <v>0.20599999999999999</v>
      </c>
      <c r="F79" s="1"/>
      <c r="G79" s="1">
        <f>AF49-E79</f>
        <v>0</v>
      </c>
      <c r="H79" s="1">
        <f>AF49</f>
        <v>0.20599999999999999</v>
      </c>
      <c r="I79" s="22">
        <f>AG49</f>
        <v>-129.65</v>
      </c>
      <c r="J79" s="1">
        <f t="shared" si="20"/>
        <v>-629.36893203883506</v>
      </c>
      <c r="K79" s="1">
        <f t="shared" si="21"/>
        <v>3.6060000000000003</v>
      </c>
      <c r="L79" s="30">
        <f t="shared" si="21"/>
        <v>3352.0499999999997</v>
      </c>
      <c r="M79" s="179">
        <f t="shared" si="22"/>
        <v>929.57570715474196</v>
      </c>
      <c r="N79" s="179"/>
      <c r="O79" s="1"/>
      <c r="P79" s="30"/>
      <c r="Q79" s="1"/>
    </row>
    <row r="80" spans="1:33" ht="18.75" customHeight="1" x14ac:dyDescent="0.3">
      <c r="A80" s="21" t="s">
        <v>24</v>
      </c>
      <c r="B80" s="1">
        <f>D54</f>
        <v>2.8499999999999996</v>
      </c>
      <c r="C80" s="22">
        <f>H54</f>
        <v>2897.6000000000004</v>
      </c>
      <c r="D80" s="22">
        <f t="shared" si="19"/>
        <v>1016.7017543859652</v>
      </c>
      <c r="E80" s="200">
        <f>M54</f>
        <v>1.4570000000000001</v>
      </c>
      <c r="F80" s="1"/>
      <c r="G80" s="1">
        <f>AF54-E80</f>
        <v>2.5499999999999998</v>
      </c>
      <c r="H80" s="1">
        <f>AF54</f>
        <v>4.0069999999999997</v>
      </c>
      <c r="I80" s="22">
        <f>AG54</f>
        <v>-971.61</v>
      </c>
      <c r="J80" s="1">
        <f t="shared" si="20"/>
        <v>-242.47816321437486</v>
      </c>
      <c r="K80" s="1">
        <f t="shared" si="21"/>
        <v>6.8569999999999993</v>
      </c>
      <c r="L80" s="30">
        <f t="shared" si="21"/>
        <v>1925.9900000000002</v>
      </c>
      <c r="M80" s="179">
        <f t="shared" si="22"/>
        <v>280.87939332069425</v>
      </c>
      <c r="N80" s="179"/>
      <c r="O80" s="1"/>
      <c r="P80" s="30"/>
      <c r="Q80" s="1"/>
    </row>
    <row r="81" spans="1:17" ht="18.75" customHeight="1" x14ac:dyDescent="0.3">
      <c r="A81" s="21" t="s">
        <v>25</v>
      </c>
      <c r="B81" s="1">
        <f>D60</f>
        <v>3.31</v>
      </c>
      <c r="C81" s="22">
        <f>H60</f>
        <v>2627.8500000000004</v>
      </c>
      <c r="D81" s="22">
        <f t="shared" si="19"/>
        <v>793.91238670694872</v>
      </c>
      <c r="E81" s="200">
        <f>M60</f>
        <v>0.90900000000000003</v>
      </c>
      <c r="F81" s="1"/>
      <c r="G81" s="1">
        <f>AF60-E81</f>
        <v>0.83699999999999997</v>
      </c>
      <c r="H81" s="1">
        <f>AF60</f>
        <v>1.746</v>
      </c>
      <c r="I81" s="22">
        <f>AG60</f>
        <v>-643.16</v>
      </c>
      <c r="J81" s="1">
        <f t="shared" si="20"/>
        <v>-368.36197021764031</v>
      </c>
      <c r="K81" s="1">
        <f t="shared" si="21"/>
        <v>5.056</v>
      </c>
      <c r="L81" s="30">
        <f t="shared" si="21"/>
        <v>1984.6900000000005</v>
      </c>
      <c r="M81" s="179">
        <f t="shared" si="22"/>
        <v>392.54153481012668</v>
      </c>
      <c r="N81" s="179"/>
      <c r="O81" s="1"/>
      <c r="P81" s="30"/>
      <c r="Q81" s="1"/>
    </row>
    <row r="82" spans="1:17" ht="18.75" customHeight="1" x14ac:dyDescent="0.3">
      <c r="A82" s="21" t="s">
        <v>26</v>
      </c>
      <c r="B82" s="1">
        <f>D65</f>
        <v>1.7</v>
      </c>
      <c r="C82" s="22">
        <f>H65</f>
        <v>1035.55</v>
      </c>
      <c r="D82" s="22">
        <f t="shared" si="19"/>
        <v>609.14705882352939</v>
      </c>
      <c r="E82" s="200">
        <f>M65</f>
        <v>0.77800000000000002</v>
      </c>
      <c r="F82" s="1"/>
      <c r="G82" s="1">
        <f>AF65-E82</f>
        <v>0</v>
      </c>
      <c r="H82" s="1">
        <f>AF65</f>
        <v>0.77800000000000002</v>
      </c>
      <c r="I82" s="22">
        <f>AG65</f>
        <v>-264.67</v>
      </c>
      <c r="J82" s="1">
        <f t="shared" si="20"/>
        <v>-340.19280205655525</v>
      </c>
      <c r="K82" s="1">
        <f t="shared" si="21"/>
        <v>2.4779999999999998</v>
      </c>
      <c r="L82" s="30">
        <f t="shared" si="21"/>
        <v>770.87999999999988</v>
      </c>
      <c r="M82" s="179">
        <f t="shared" si="22"/>
        <v>311.08958837772394</v>
      </c>
      <c r="N82" s="179"/>
      <c r="O82" s="1"/>
      <c r="P82" s="30"/>
      <c r="Q82" s="1"/>
    </row>
    <row r="83" spans="1:17" ht="18.75" customHeight="1" x14ac:dyDescent="0.3">
      <c r="A83" s="1"/>
      <c r="B83" s="1"/>
      <c r="C83" s="22"/>
      <c r="D83" s="22"/>
      <c r="E83" s="201"/>
      <c r="I83" s="1"/>
      <c r="J83" s="1"/>
      <c r="K83" s="1"/>
      <c r="L83" s="1"/>
      <c r="M83" s="1"/>
      <c r="N83" s="1"/>
      <c r="O83" s="17"/>
      <c r="P83" s="17"/>
      <c r="Q83" s="17"/>
    </row>
    <row r="84" spans="1:17" ht="25.5" x14ac:dyDescent="0.3">
      <c r="A84" s="33" t="s">
        <v>146</v>
      </c>
      <c r="B84" s="3">
        <f>AVERAGEIF(B71:B82,"&lt;&gt;0")</f>
        <v>2.2099999999999995</v>
      </c>
      <c r="C84" s="22">
        <f>AVERAGEIF(C71:C82,"&lt;&gt;0")</f>
        <v>1954.0749999999998</v>
      </c>
      <c r="D84" s="22">
        <f>AVERAGEIF(D71:D82,"&lt;&gt;0")</f>
        <v>926.90309489557251</v>
      </c>
      <c r="E84" s="179">
        <f>AVERAGEIF(E71:E82,"&lt;&gt;0")</f>
        <v>0.80927272727272737</v>
      </c>
      <c r="F84" s="22"/>
      <c r="G84" s="22">
        <f>AVERAGEIF(G71:G82,"&lt;&gt;0")</f>
        <v>1.3626</v>
      </c>
      <c r="H84" s="22">
        <f>AVERAGEIF(H71:H82,"&lt;&gt;0")</f>
        <v>1.3095833333333333</v>
      </c>
      <c r="I84" s="22">
        <f>AVERAGE(IF(ISNUMBER(I71:I82),I71:I82))</f>
        <v>0</v>
      </c>
      <c r="J84" s="22">
        <f>AVERAGE(IF(ISNUMBER(J71:J82),J71:J82))</f>
        <v>0</v>
      </c>
      <c r="K84" s="1">
        <f>AVERAGE(IF(ISNUMBER(K71:K82),K71:K82))</f>
        <v>0</v>
      </c>
      <c r="L84" s="22">
        <f>AVERAGE(IF(ISNUMBER(L71:L82),L71:L82))</f>
        <v>0</v>
      </c>
      <c r="M84" s="22">
        <f>AVERAGE(IF(ISNUMBER(M71:M82),M71:M82))</f>
        <v>0</v>
      </c>
      <c r="N84" s="22"/>
      <c r="O84" s="3"/>
      <c r="P84" s="3"/>
      <c r="Q84" s="3"/>
    </row>
    <row r="85" spans="1:17" ht="18.75" customHeight="1" x14ac:dyDescent="0.3">
      <c r="A85" s="95" t="s">
        <v>147</v>
      </c>
      <c r="B85" s="17">
        <f>SUM(B71:B82)</f>
        <v>26.519999999999996</v>
      </c>
      <c r="C85" s="97">
        <f>SUM(C71:C82)</f>
        <v>23448.899999999998</v>
      </c>
      <c r="D85" s="97">
        <f>SUM(D71:D82)</f>
        <v>11122.837138746871</v>
      </c>
      <c r="E85" s="202">
        <f>SUM(E71:E82)</f>
        <v>8.902000000000001</v>
      </c>
      <c r="F85" s="97"/>
      <c r="G85" s="97">
        <f>SUM(G71:G82)</f>
        <v>6.8129999999999997</v>
      </c>
      <c r="H85" s="97">
        <f>SUM(H71:H82)</f>
        <v>15.715</v>
      </c>
      <c r="I85" s="22">
        <f>SUM(I71:I82)</f>
        <v>-3941.98</v>
      </c>
      <c r="J85" s="1">
        <f>I85/H85</f>
        <v>-250.84187082405344</v>
      </c>
      <c r="K85" s="1">
        <f>SUM(K71:K82)</f>
        <v>42.234999999999999</v>
      </c>
      <c r="L85" s="22">
        <f>SUM(L71:L82)</f>
        <v>19506.920000000002</v>
      </c>
      <c r="M85" s="22">
        <f>L85/K85</f>
        <v>461.86622469515811</v>
      </c>
      <c r="N85" s="22"/>
      <c r="O85" s="17"/>
      <c r="P85" s="17"/>
      <c r="Q85" s="1"/>
    </row>
  </sheetData>
  <pageMargins left="0.25" right="0.25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108E-C994-4052-8433-A0284D64D9C6}">
  <sheetPr>
    <tabColor theme="8" tint="0.39997558519241921"/>
  </sheetPr>
  <dimension ref="A1:W141"/>
  <sheetViews>
    <sheetView workbookViewId="0">
      <pane ySplit="1" topLeftCell="A68" activePane="bottomLeft" state="frozen"/>
      <selection pane="bottomLeft" activeCell="E66" sqref="E66"/>
    </sheetView>
  </sheetViews>
  <sheetFormatPr defaultColWidth="9.1796875" defaultRowHeight="18.75" customHeight="1" x14ac:dyDescent="0.3"/>
  <cols>
    <col min="1" max="1" width="22.453125" style="21" customWidth="1"/>
    <col min="2" max="2" width="16.453125" style="21" bestFit="1" customWidth="1"/>
    <col min="3" max="3" width="16.453125" style="21" customWidth="1"/>
    <col min="4" max="4" width="15.453125" style="69" customWidth="1"/>
    <col min="5" max="6" width="12.54296875" style="1" customWidth="1"/>
    <col min="7" max="7" width="14.453125" style="1" customWidth="1"/>
    <col min="8" max="10" width="12.54296875" style="1" customWidth="1"/>
    <col min="11" max="11" width="12.453125" style="1" bestFit="1" customWidth="1"/>
    <col min="12" max="16384" width="9.1796875" style="55"/>
  </cols>
  <sheetData>
    <row r="1" spans="1:23" ht="67.5" customHeight="1" x14ac:dyDescent="0.3">
      <c r="A1" s="218" t="s">
        <v>0</v>
      </c>
      <c r="B1" s="219" t="s">
        <v>197</v>
      </c>
      <c r="C1" s="219" t="s">
        <v>125</v>
      </c>
      <c r="D1" s="220" t="s">
        <v>124</v>
      </c>
      <c r="E1" s="219" t="s">
        <v>82</v>
      </c>
      <c r="F1" s="219" t="s">
        <v>118</v>
      </c>
      <c r="G1" s="219" t="s">
        <v>103</v>
      </c>
      <c r="H1" s="219" t="s">
        <v>102</v>
      </c>
      <c r="I1" s="221" t="s">
        <v>139</v>
      </c>
      <c r="J1" s="219" t="s">
        <v>85</v>
      </c>
      <c r="K1" s="219" t="s">
        <v>86</v>
      </c>
    </row>
    <row r="2" spans="1:23" ht="18.75" customHeight="1" x14ac:dyDescent="0.35">
      <c r="A2" s="141">
        <v>43834</v>
      </c>
      <c r="B2" s="193">
        <v>4</v>
      </c>
      <c r="C2" s="362">
        <f>B2*$B$68/1000</f>
        <v>1.8461538461538463</v>
      </c>
      <c r="D2" s="146"/>
      <c r="E2" s="139"/>
      <c r="F2" s="119"/>
      <c r="G2" s="161"/>
      <c r="H2" s="161"/>
      <c r="I2" s="151">
        <f>F2+G2+H2</f>
        <v>0</v>
      </c>
      <c r="J2" s="133"/>
      <c r="K2" s="155"/>
      <c r="N2" t="s">
        <v>135</v>
      </c>
    </row>
    <row r="3" spans="1:23" ht="18.75" customHeight="1" x14ac:dyDescent="0.35">
      <c r="A3" s="142">
        <f>A2+7</f>
        <v>43841</v>
      </c>
      <c r="B3" s="193">
        <v>4</v>
      </c>
      <c r="C3" s="289">
        <f>B3*$B$68/1000</f>
        <v>1.8461538461538463</v>
      </c>
      <c r="D3" s="146"/>
      <c r="E3" s="124"/>
      <c r="F3" s="115"/>
      <c r="G3" s="162"/>
      <c r="H3" s="163"/>
      <c r="I3" s="151">
        <f>F3+G3+H3</f>
        <v>0</v>
      </c>
      <c r="J3" s="134"/>
      <c r="K3" s="156"/>
      <c r="N3" s="55">
        <f>0.1*1000</f>
        <v>100</v>
      </c>
      <c r="O3" s="55" t="s">
        <v>126</v>
      </c>
      <c r="P3" s="55" t="s">
        <v>127</v>
      </c>
      <c r="Q3" s="55" t="s">
        <v>130</v>
      </c>
      <c r="W3"/>
    </row>
    <row r="4" spans="1:23" ht="18.75" customHeight="1" x14ac:dyDescent="0.3">
      <c r="A4" s="142">
        <f>A3+7</f>
        <v>43848</v>
      </c>
      <c r="B4" s="193">
        <v>4</v>
      </c>
      <c r="C4" s="289">
        <f>B4*$B$68/1000</f>
        <v>1.8461538461538463</v>
      </c>
      <c r="D4" s="146"/>
      <c r="E4" s="125"/>
      <c r="F4" s="114"/>
      <c r="G4" s="162"/>
      <c r="H4" s="162"/>
      <c r="I4" s="151">
        <f>F4+G4+H4</f>
        <v>0</v>
      </c>
      <c r="J4" s="135"/>
      <c r="K4" s="157"/>
      <c r="N4" s="55">
        <v>1</v>
      </c>
      <c r="O4" s="55" t="s">
        <v>130</v>
      </c>
      <c r="P4" s="195" t="s">
        <v>131</v>
      </c>
      <c r="Q4" s="55">
        <v>1.3</v>
      </c>
      <c r="R4" s="55" t="s">
        <v>132</v>
      </c>
    </row>
    <row r="5" spans="1:23" ht="18.75" customHeight="1" x14ac:dyDescent="0.3">
      <c r="A5" s="142">
        <f>A4+7</f>
        <v>43855</v>
      </c>
      <c r="B5" s="193">
        <v>4</v>
      </c>
      <c r="C5" s="289">
        <f>B5*$B$68/1000</f>
        <v>1.8461538461538463</v>
      </c>
      <c r="D5" s="146">
        <v>749.43</v>
      </c>
      <c r="E5" s="125"/>
      <c r="F5" s="114"/>
      <c r="G5" s="162">
        <v>-58.8</v>
      </c>
      <c r="H5" s="162"/>
      <c r="I5" s="151">
        <f>F5+G5+H5</f>
        <v>-58.8</v>
      </c>
      <c r="J5" s="135"/>
      <c r="K5" s="157"/>
      <c r="N5" s="55">
        <f>N3/Q4</f>
        <v>76.92307692307692</v>
      </c>
      <c r="O5" s="55" t="s">
        <v>128</v>
      </c>
      <c r="P5" s="55" t="s">
        <v>127</v>
      </c>
      <c r="Q5" s="55" t="s">
        <v>132</v>
      </c>
    </row>
    <row r="6" spans="1:23" ht="18.75" customHeight="1" x14ac:dyDescent="0.3">
      <c r="A6" s="143" t="s">
        <v>54</v>
      </c>
      <c r="B6" s="148">
        <f t="shared" ref="B6:K6" si="0">SUBTOTAL(109,B2:B5)</f>
        <v>16</v>
      </c>
      <c r="C6" s="339">
        <f t="shared" si="0"/>
        <v>7.384615384615385</v>
      </c>
      <c r="D6" s="191">
        <f>SUBTOTAL(109,D2:D5)</f>
        <v>749.43</v>
      </c>
      <c r="E6" s="126">
        <f t="shared" si="0"/>
        <v>0</v>
      </c>
      <c r="F6" s="28">
        <f t="shared" si="0"/>
        <v>0</v>
      </c>
      <c r="G6" s="39">
        <f>SUBTOTAL(109,G2:G5)</f>
        <v>-58.8</v>
      </c>
      <c r="H6" s="39">
        <f t="shared" si="0"/>
        <v>0</v>
      </c>
      <c r="I6" s="189">
        <f t="shared" si="0"/>
        <v>-58.8</v>
      </c>
      <c r="J6" s="136">
        <f t="shared" si="0"/>
        <v>0</v>
      </c>
      <c r="K6" s="158">
        <f t="shared" si="0"/>
        <v>0</v>
      </c>
      <c r="N6" s="55">
        <f>N5*6</f>
        <v>461.53846153846155</v>
      </c>
      <c r="O6" s="55" t="s">
        <v>126</v>
      </c>
      <c r="P6" s="55" t="s">
        <v>129</v>
      </c>
      <c r="Q6" s="55" t="s">
        <v>133</v>
      </c>
    </row>
    <row r="7" spans="1:23" ht="18.75" customHeight="1" x14ac:dyDescent="0.3">
      <c r="A7" s="142">
        <f>A5+7</f>
        <v>43862</v>
      </c>
      <c r="B7" s="167">
        <v>4</v>
      </c>
      <c r="C7" s="289">
        <f>B7*$B$68/1000</f>
        <v>1.8461538461538463</v>
      </c>
      <c r="D7" s="146"/>
      <c r="E7" s="125"/>
      <c r="F7" s="114"/>
      <c r="G7" s="162"/>
      <c r="H7" s="162"/>
      <c r="I7" s="151">
        <f>F7+G7+H7</f>
        <v>0</v>
      </c>
      <c r="J7" s="135"/>
      <c r="K7" s="157"/>
    </row>
    <row r="8" spans="1:23" ht="18.75" customHeight="1" x14ac:dyDescent="0.3">
      <c r="A8" s="142">
        <f>A7+7</f>
        <v>43869</v>
      </c>
      <c r="B8" s="167">
        <v>4</v>
      </c>
      <c r="C8" s="289">
        <f>B8*$B$68/1000</f>
        <v>1.8461538461538463</v>
      </c>
      <c r="D8" s="146"/>
      <c r="E8" s="124"/>
      <c r="F8" s="115"/>
      <c r="G8" s="163"/>
      <c r="H8" s="163"/>
      <c r="I8" s="151">
        <f>F8+G8+H8</f>
        <v>0</v>
      </c>
      <c r="J8" s="135"/>
      <c r="K8" s="157"/>
    </row>
    <row r="9" spans="1:23" ht="18.75" customHeight="1" x14ac:dyDescent="0.3">
      <c r="A9" s="142">
        <f>A8+7</f>
        <v>43876</v>
      </c>
      <c r="B9" s="167">
        <v>4</v>
      </c>
      <c r="C9" s="289">
        <f>B9*$B$68/1000</f>
        <v>1.8461538461538463</v>
      </c>
      <c r="D9" s="146"/>
      <c r="E9" s="125"/>
      <c r="F9" s="114"/>
      <c r="G9" s="162"/>
      <c r="H9" s="162"/>
      <c r="I9" s="151">
        <f>F9+G9+H9</f>
        <v>0</v>
      </c>
      <c r="J9" s="134"/>
      <c r="K9" s="156"/>
    </row>
    <row r="10" spans="1:23" ht="18.75" customHeight="1" x14ac:dyDescent="0.3">
      <c r="A10" s="142">
        <f>A9+7</f>
        <v>43883</v>
      </c>
      <c r="B10" s="167">
        <v>4</v>
      </c>
      <c r="C10" s="289">
        <f>B10*$B$68/1000</f>
        <v>1.8461538461538463</v>
      </c>
      <c r="D10" s="146">
        <v>749.43</v>
      </c>
      <c r="E10" s="125"/>
      <c r="F10" s="114"/>
      <c r="G10" s="162">
        <v>-84</v>
      </c>
      <c r="H10" s="162"/>
      <c r="I10" s="151">
        <f>F10+G10+H10</f>
        <v>-84</v>
      </c>
      <c r="J10" s="135"/>
      <c r="K10" s="157"/>
    </row>
    <row r="11" spans="1:23" ht="18.75" customHeight="1" x14ac:dyDescent="0.3">
      <c r="A11" s="143" t="s">
        <v>55</v>
      </c>
      <c r="B11" s="148">
        <f>SUBTOTAL(109,B7:B10)</f>
        <v>16</v>
      </c>
      <c r="C11" s="339">
        <f>SUBTOTAL(109,C7:C10)</f>
        <v>7.384615384615385</v>
      </c>
      <c r="D11" s="191">
        <f>SUBTOTAL(109,D7:D10)</f>
        <v>749.43</v>
      </c>
      <c r="E11" s="126">
        <f t="shared" ref="E11:K11" si="1">SUBTOTAL(109,E7:E10)</f>
        <v>0</v>
      </c>
      <c r="F11" s="28">
        <f t="shared" si="1"/>
        <v>0</v>
      </c>
      <c r="G11" s="39">
        <f>SUBTOTAL(109,G7:G10)</f>
        <v>-84</v>
      </c>
      <c r="H11" s="39">
        <f t="shared" si="1"/>
        <v>0</v>
      </c>
      <c r="I11" s="189">
        <f t="shared" si="1"/>
        <v>-84</v>
      </c>
      <c r="J11" s="136">
        <f t="shared" si="1"/>
        <v>0</v>
      </c>
      <c r="K11" s="158">
        <f t="shared" si="1"/>
        <v>0</v>
      </c>
    </row>
    <row r="12" spans="1:23" ht="18.75" customHeight="1" x14ac:dyDescent="0.3">
      <c r="A12" s="142">
        <f>A10+7</f>
        <v>43890</v>
      </c>
      <c r="B12" s="167">
        <v>4</v>
      </c>
      <c r="C12" s="289">
        <f>B12*$B$68/1000</f>
        <v>1.8461538461538463</v>
      </c>
      <c r="D12" s="146"/>
      <c r="E12" s="125"/>
      <c r="F12" s="114"/>
      <c r="G12" s="162"/>
      <c r="H12" s="162"/>
      <c r="I12" s="151">
        <f>F12+G12+H12</f>
        <v>0</v>
      </c>
      <c r="J12" s="135"/>
      <c r="K12" s="157"/>
    </row>
    <row r="13" spans="1:23" ht="18.75" customHeight="1" x14ac:dyDescent="0.3">
      <c r="A13" s="142">
        <f>A12+7</f>
        <v>43897</v>
      </c>
      <c r="B13" s="167">
        <v>4</v>
      </c>
      <c r="C13" s="289">
        <f>B13*$B$68/1000</f>
        <v>1.8461538461538463</v>
      </c>
      <c r="D13" s="146"/>
      <c r="E13" s="124"/>
      <c r="F13" s="115"/>
      <c r="G13" s="163"/>
      <c r="H13" s="163"/>
      <c r="I13" s="151">
        <f>F13+G13+H13</f>
        <v>0</v>
      </c>
      <c r="J13" s="135"/>
      <c r="K13" s="157"/>
    </row>
    <row r="14" spans="1:23" ht="18.75" customHeight="1" x14ac:dyDescent="0.3">
      <c r="A14" s="142">
        <f>A13+7</f>
        <v>43904</v>
      </c>
      <c r="B14" s="167">
        <v>4</v>
      </c>
      <c r="C14" s="289">
        <f>B14*$B$68/1000</f>
        <v>1.8461538461538463</v>
      </c>
      <c r="D14" s="146"/>
      <c r="E14" s="125"/>
      <c r="F14" s="114"/>
      <c r="G14" s="162"/>
      <c r="H14" s="162"/>
      <c r="I14" s="151">
        <f>F14+G14+H14</f>
        <v>0</v>
      </c>
      <c r="J14" s="134"/>
      <c r="K14" s="156"/>
    </row>
    <row r="15" spans="1:23" ht="18.75" customHeight="1" x14ac:dyDescent="0.3">
      <c r="A15" s="142">
        <f>A14+7</f>
        <v>43911</v>
      </c>
      <c r="B15" s="167">
        <v>4</v>
      </c>
      <c r="C15" s="289">
        <f>B15*$B$68/1000</f>
        <v>1.8461538461538463</v>
      </c>
      <c r="D15" s="146"/>
      <c r="E15" s="125"/>
      <c r="F15" s="114"/>
      <c r="G15" s="162"/>
      <c r="H15" s="162"/>
      <c r="I15" s="151">
        <f>F15+G15+H15</f>
        <v>0</v>
      </c>
      <c r="J15" s="135"/>
      <c r="K15" s="157"/>
    </row>
    <row r="16" spans="1:23" ht="18.75" customHeight="1" x14ac:dyDescent="0.3">
      <c r="A16" s="142">
        <f>A15+7</f>
        <v>43918</v>
      </c>
      <c r="B16" s="167">
        <v>4</v>
      </c>
      <c r="C16" s="289">
        <f>B16*$B$68/1000</f>
        <v>1.8461538461538463</v>
      </c>
      <c r="D16" s="146">
        <v>749.43</v>
      </c>
      <c r="E16" s="125"/>
      <c r="F16" s="114"/>
      <c r="G16" s="162"/>
      <c r="H16" s="162"/>
      <c r="I16" s="151">
        <f>F16+G16+H16</f>
        <v>0</v>
      </c>
      <c r="J16" s="135"/>
      <c r="K16" s="157"/>
    </row>
    <row r="17" spans="1:11" ht="18.75" customHeight="1" x14ac:dyDescent="0.3">
      <c r="A17" s="143" t="s">
        <v>56</v>
      </c>
      <c r="B17" s="148">
        <f>SUBTOTAL(109,B12:B16)</f>
        <v>20</v>
      </c>
      <c r="C17" s="339">
        <f>SUBTOTAL(109,C12:C16)</f>
        <v>9.2307692307692317</v>
      </c>
      <c r="D17" s="191">
        <f>SUBTOTAL(109,D12:D16)</f>
        <v>749.43</v>
      </c>
      <c r="E17" s="126">
        <f t="shared" ref="E17:K17" si="2">SUBTOTAL(109,E12:E16)</f>
        <v>0</v>
      </c>
      <c r="F17" s="126">
        <f t="shared" si="2"/>
        <v>0</v>
      </c>
      <c r="G17" s="39">
        <f t="shared" si="2"/>
        <v>0</v>
      </c>
      <c r="H17" s="39">
        <f t="shared" si="2"/>
        <v>0</v>
      </c>
      <c r="I17" s="189">
        <f t="shared" si="2"/>
        <v>0</v>
      </c>
      <c r="J17" s="136">
        <f t="shared" si="2"/>
        <v>0</v>
      </c>
      <c r="K17" s="158">
        <f t="shared" si="2"/>
        <v>0</v>
      </c>
    </row>
    <row r="18" spans="1:11" ht="18.75" customHeight="1" x14ac:dyDescent="0.3">
      <c r="A18" s="142">
        <f>A16+7</f>
        <v>43925</v>
      </c>
      <c r="B18" s="167">
        <v>4</v>
      </c>
      <c r="C18" s="289">
        <f>B18*$B$68/1000</f>
        <v>1.8461538461538463</v>
      </c>
      <c r="D18" s="146"/>
      <c r="E18" s="125"/>
      <c r="F18" s="114"/>
      <c r="G18" s="162"/>
      <c r="H18" s="162"/>
      <c r="I18" s="151">
        <f>F18+G18+H18</f>
        <v>0</v>
      </c>
      <c r="J18" s="134"/>
      <c r="K18" s="156"/>
    </row>
    <row r="19" spans="1:11" ht="18.75" customHeight="1" x14ac:dyDescent="0.3">
      <c r="A19" s="142">
        <f>A18+7</f>
        <v>43932</v>
      </c>
      <c r="B19" s="167">
        <v>4</v>
      </c>
      <c r="C19" s="289">
        <f>B19*$B$68/1000</f>
        <v>1.8461538461538463</v>
      </c>
      <c r="D19" s="146"/>
      <c r="E19" s="125"/>
      <c r="F19" s="114"/>
      <c r="G19" s="162"/>
      <c r="H19" s="162"/>
      <c r="I19" s="151">
        <f>F19+G19+H19</f>
        <v>0</v>
      </c>
      <c r="J19" s="135"/>
      <c r="K19" s="157"/>
    </row>
    <row r="20" spans="1:11" ht="18.75" customHeight="1" x14ac:dyDescent="0.3">
      <c r="A20" s="142">
        <f>A19+7</f>
        <v>43939</v>
      </c>
      <c r="B20" s="167">
        <v>4</v>
      </c>
      <c r="C20" s="289">
        <f>B20*$B$68/1000</f>
        <v>1.8461538461538463</v>
      </c>
      <c r="D20" s="146"/>
      <c r="E20" s="125"/>
      <c r="F20" s="114"/>
      <c r="G20" s="162"/>
      <c r="H20" s="162"/>
      <c r="I20" s="151">
        <f>F20+G20+H20</f>
        <v>0</v>
      </c>
      <c r="J20" s="135"/>
      <c r="K20" s="157"/>
    </row>
    <row r="21" spans="1:11" ht="18.75" customHeight="1" x14ac:dyDescent="0.3">
      <c r="A21" s="142">
        <f>A20+7</f>
        <v>43946</v>
      </c>
      <c r="B21" s="167">
        <v>4</v>
      </c>
      <c r="C21" s="289">
        <f>B21*$B$68/1000</f>
        <v>1.8461538461538463</v>
      </c>
      <c r="D21" s="146">
        <v>749.73</v>
      </c>
      <c r="E21" s="125"/>
      <c r="F21" s="114">
        <v>838</v>
      </c>
      <c r="G21" s="162"/>
      <c r="H21" s="162"/>
      <c r="I21" s="151">
        <f>F21+G21+H21</f>
        <v>838</v>
      </c>
      <c r="J21" s="135"/>
      <c r="K21" s="157"/>
    </row>
    <row r="22" spans="1:11" ht="18.75" customHeight="1" x14ac:dyDescent="0.3">
      <c r="A22" s="143" t="s">
        <v>57</v>
      </c>
      <c r="B22" s="148">
        <f t="shared" ref="B22:K22" si="3">SUBTOTAL(109,B18:B21)</f>
        <v>16</v>
      </c>
      <c r="C22" s="339">
        <f t="shared" si="3"/>
        <v>7.384615384615385</v>
      </c>
      <c r="D22" s="191">
        <f>SUBTOTAL(109,D18:D21)</f>
        <v>749.73</v>
      </c>
      <c r="E22" s="126">
        <f t="shared" si="3"/>
        <v>0</v>
      </c>
      <c r="F22" s="28">
        <f t="shared" si="3"/>
        <v>838</v>
      </c>
      <c r="G22" s="39">
        <f t="shared" si="3"/>
        <v>0</v>
      </c>
      <c r="H22" s="39">
        <f t="shared" si="3"/>
        <v>0</v>
      </c>
      <c r="I22" s="189">
        <f t="shared" si="3"/>
        <v>838</v>
      </c>
      <c r="J22" s="136">
        <f t="shared" si="3"/>
        <v>0</v>
      </c>
      <c r="K22" s="158">
        <f t="shared" si="3"/>
        <v>0</v>
      </c>
    </row>
    <row r="23" spans="1:11" ht="18.75" customHeight="1" x14ac:dyDescent="0.3">
      <c r="A23" s="142">
        <f>A21+7</f>
        <v>43953</v>
      </c>
      <c r="B23" s="167">
        <v>4</v>
      </c>
      <c r="C23" s="289">
        <f>B23*$B$68/1000</f>
        <v>1.8461538461538463</v>
      </c>
      <c r="D23" s="146"/>
      <c r="E23" s="125"/>
      <c r="F23" s="114"/>
      <c r="G23" s="162"/>
      <c r="H23" s="162"/>
      <c r="I23" s="151">
        <f>F23+G23+H23</f>
        <v>0</v>
      </c>
      <c r="J23" s="134"/>
      <c r="K23" s="156"/>
    </row>
    <row r="24" spans="1:11" ht="18.75" customHeight="1" x14ac:dyDescent="0.3">
      <c r="A24" s="142">
        <f>A23+7</f>
        <v>43960</v>
      </c>
      <c r="B24" s="167">
        <v>4</v>
      </c>
      <c r="C24" s="289">
        <f>B24*$B$68/1000</f>
        <v>1.8461538461538463</v>
      </c>
      <c r="D24" s="146"/>
      <c r="E24" s="125"/>
      <c r="F24" s="114"/>
      <c r="G24" s="162"/>
      <c r="H24" s="162"/>
      <c r="I24" s="151">
        <f>F24+G24+H24</f>
        <v>0</v>
      </c>
      <c r="J24" s="135"/>
      <c r="K24" s="157"/>
    </row>
    <row r="25" spans="1:11" ht="18.75" customHeight="1" x14ac:dyDescent="0.3">
      <c r="A25" s="142">
        <f>A24+7</f>
        <v>43967</v>
      </c>
      <c r="B25" s="167">
        <v>4</v>
      </c>
      <c r="C25" s="289">
        <f>B25*$B$68/1000</f>
        <v>1.8461538461538463</v>
      </c>
      <c r="D25" s="146"/>
      <c r="E25" s="125"/>
      <c r="F25" s="114"/>
      <c r="G25" s="162"/>
      <c r="H25" s="162"/>
      <c r="I25" s="151">
        <f>F25+G25+H25</f>
        <v>0</v>
      </c>
      <c r="J25" s="135"/>
      <c r="K25" s="157"/>
    </row>
    <row r="26" spans="1:11" ht="18.75" customHeight="1" x14ac:dyDescent="0.3">
      <c r="A26" s="142">
        <f>A25+7</f>
        <v>43974</v>
      </c>
      <c r="B26" s="167">
        <v>4</v>
      </c>
      <c r="C26" s="289">
        <f>B26*$B$68/1000</f>
        <v>1.8461538461538463</v>
      </c>
      <c r="D26" s="146"/>
      <c r="E26" s="125"/>
      <c r="F26" s="114"/>
      <c r="G26" s="162"/>
      <c r="H26" s="162"/>
      <c r="I26" s="151">
        <f>F26+G26+H26</f>
        <v>0</v>
      </c>
      <c r="J26" s="135"/>
      <c r="K26" s="157"/>
    </row>
    <row r="27" spans="1:11" ht="18.75" customHeight="1" x14ac:dyDescent="0.3">
      <c r="A27" s="142">
        <f>A26+7</f>
        <v>43981</v>
      </c>
      <c r="B27" s="167">
        <v>4</v>
      </c>
      <c r="C27" s="289">
        <f>B27*$B$68/1000</f>
        <v>1.8461538461538463</v>
      </c>
      <c r="D27" s="146">
        <v>749.43</v>
      </c>
      <c r="E27" s="125"/>
      <c r="F27" s="114"/>
      <c r="G27" s="162"/>
      <c r="H27" s="162"/>
      <c r="I27" s="151">
        <f>F27+G27+H27</f>
        <v>0</v>
      </c>
      <c r="J27" s="135"/>
      <c r="K27" s="157"/>
    </row>
    <row r="28" spans="1:11" ht="18.75" customHeight="1" x14ac:dyDescent="0.3">
      <c r="A28" s="143" t="s">
        <v>58</v>
      </c>
      <c r="B28" s="148">
        <f>SUBTOTAL(109,B23:B27)</f>
        <v>20</v>
      </c>
      <c r="C28" s="339">
        <f>SUBTOTAL(109,C23:C27)</f>
        <v>9.2307692307692317</v>
      </c>
      <c r="D28" s="191">
        <f>SUBTOTAL(109,D23:D27)</f>
        <v>749.43</v>
      </c>
      <c r="E28" s="126">
        <f t="shared" ref="E28:K28" si="4">SUBTOTAL(109,E23:E27)</f>
        <v>0</v>
      </c>
      <c r="F28" s="126">
        <f t="shared" si="4"/>
        <v>0</v>
      </c>
      <c r="G28" s="39">
        <f t="shared" si="4"/>
        <v>0</v>
      </c>
      <c r="H28" s="39">
        <f t="shared" si="4"/>
        <v>0</v>
      </c>
      <c r="I28" s="189">
        <f t="shared" si="4"/>
        <v>0</v>
      </c>
      <c r="J28" s="136">
        <f t="shared" si="4"/>
        <v>0</v>
      </c>
      <c r="K28" s="158">
        <f t="shared" si="4"/>
        <v>0</v>
      </c>
    </row>
    <row r="29" spans="1:11" ht="18.75" customHeight="1" x14ac:dyDescent="0.3">
      <c r="A29" s="142">
        <f>A27+7</f>
        <v>43988</v>
      </c>
      <c r="B29" s="167">
        <v>4</v>
      </c>
      <c r="C29" s="289">
        <f>B29*$B$68/1000</f>
        <v>1.8461538461538463</v>
      </c>
      <c r="D29" s="146"/>
      <c r="E29" s="125"/>
      <c r="F29" s="114"/>
      <c r="G29" s="162"/>
      <c r="H29" s="162"/>
      <c r="I29" s="151">
        <f>F29+G29+H29</f>
        <v>0</v>
      </c>
      <c r="J29" s="135"/>
      <c r="K29" s="157"/>
    </row>
    <row r="30" spans="1:11" ht="18.75" customHeight="1" x14ac:dyDescent="0.3">
      <c r="A30" s="142">
        <f>A29+7</f>
        <v>43995</v>
      </c>
      <c r="B30" s="167">
        <v>4</v>
      </c>
      <c r="C30" s="289">
        <f>B30*$B$68/1000</f>
        <v>1.8461538461538463</v>
      </c>
      <c r="D30" s="146"/>
      <c r="E30" s="124"/>
      <c r="F30" s="115"/>
      <c r="G30" s="163"/>
      <c r="H30" s="163"/>
      <c r="I30" s="151">
        <f>F30+G30+H30</f>
        <v>0</v>
      </c>
      <c r="J30" s="135"/>
      <c r="K30" s="157"/>
    </row>
    <row r="31" spans="1:11" ht="18.75" customHeight="1" x14ac:dyDescent="0.3">
      <c r="A31" s="142">
        <f>A30+7</f>
        <v>44002</v>
      </c>
      <c r="B31" s="167">
        <v>4</v>
      </c>
      <c r="C31" s="289">
        <f>B31*$B$68/1000</f>
        <v>1.8461538461538463</v>
      </c>
      <c r="D31" s="146"/>
      <c r="E31" s="125"/>
      <c r="F31" s="114"/>
      <c r="G31" s="162"/>
      <c r="H31" s="162"/>
      <c r="I31" s="151">
        <f>F31+G31+H31</f>
        <v>0</v>
      </c>
      <c r="J31" s="134"/>
      <c r="K31" s="156"/>
    </row>
    <row r="32" spans="1:11" ht="18.75" customHeight="1" x14ac:dyDescent="0.3">
      <c r="A32" s="142">
        <f>A31+7</f>
        <v>44009</v>
      </c>
      <c r="B32" s="167">
        <v>4</v>
      </c>
      <c r="C32" s="289">
        <f>B32*$B$68/1000</f>
        <v>1.8461538461538463</v>
      </c>
      <c r="D32" s="146">
        <v>749.43</v>
      </c>
      <c r="E32" s="125"/>
      <c r="F32" s="114"/>
      <c r="G32" s="162"/>
      <c r="H32" s="162"/>
      <c r="I32" s="151">
        <f>F32+G32+H32</f>
        <v>0</v>
      </c>
      <c r="J32" s="135"/>
      <c r="K32" s="157"/>
    </row>
    <row r="33" spans="1:11" ht="18.75" customHeight="1" x14ac:dyDescent="0.3">
      <c r="A33" s="143" t="s">
        <v>59</v>
      </c>
      <c r="B33" s="148">
        <f t="shared" ref="B33:K33" si="5">SUBTOTAL(109,B29:B32)</f>
        <v>16</v>
      </c>
      <c r="C33" s="339">
        <f t="shared" si="5"/>
        <v>7.384615384615385</v>
      </c>
      <c r="D33" s="191">
        <f t="shared" si="5"/>
        <v>749.43</v>
      </c>
      <c r="E33" s="126">
        <f t="shared" si="5"/>
        <v>0</v>
      </c>
      <c r="F33" s="28">
        <f t="shared" si="5"/>
        <v>0</v>
      </c>
      <c r="G33" s="39">
        <f t="shared" si="5"/>
        <v>0</v>
      </c>
      <c r="H33" s="39">
        <f t="shared" si="5"/>
        <v>0</v>
      </c>
      <c r="I33" s="158">
        <f t="shared" si="5"/>
        <v>0</v>
      </c>
      <c r="J33" s="136">
        <f t="shared" si="5"/>
        <v>0</v>
      </c>
      <c r="K33" s="158">
        <f t="shared" si="5"/>
        <v>0</v>
      </c>
    </row>
    <row r="34" spans="1:11" ht="18.75" customHeight="1" x14ac:dyDescent="0.3">
      <c r="A34" s="142">
        <f>A32+7</f>
        <v>44016</v>
      </c>
      <c r="B34" s="167">
        <v>4</v>
      </c>
      <c r="C34" s="289">
        <f>B34*$B$68/1000</f>
        <v>1.8461538461538463</v>
      </c>
      <c r="D34" s="146"/>
      <c r="E34" s="125"/>
      <c r="F34" s="114"/>
      <c r="G34" s="162"/>
      <c r="H34" s="162"/>
      <c r="I34" s="151">
        <f>F34+G34+H34</f>
        <v>0</v>
      </c>
      <c r="J34" s="135"/>
      <c r="K34" s="157"/>
    </row>
    <row r="35" spans="1:11" ht="18.75" customHeight="1" x14ac:dyDescent="0.3">
      <c r="A35" s="142">
        <f>A34+7</f>
        <v>44023</v>
      </c>
      <c r="B35" s="167">
        <v>4</v>
      </c>
      <c r="C35" s="289">
        <f>B35*$B$68/1000</f>
        <v>1.8461538461538463</v>
      </c>
      <c r="D35" s="146"/>
      <c r="E35" s="124"/>
      <c r="F35" s="115"/>
      <c r="G35" s="163"/>
      <c r="H35" s="163"/>
      <c r="I35" s="151">
        <f>F35+G35+H35</f>
        <v>0</v>
      </c>
      <c r="J35" s="135"/>
      <c r="K35" s="157"/>
    </row>
    <row r="36" spans="1:11" ht="18.75" customHeight="1" x14ac:dyDescent="0.3">
      <c r="A36" s="142">
        <f>A35+7</f>
        <v>44030</v>
      </c>
      <c r="B36" s="167">
        <v>4</v>
      </c>
      <c r="C36" s="289">
        <f>B36*$B$68/1000</f>
        <v>1.8461538461538463</v>
      </c>
      <c r="D36" s="146"/>
      <c r="E36" s="125"/>
      <c r="F36" s="114"/>
      <c r="G36" s="162"/>
      <c r="H36" s="162"/>
      <c r="I36" s="151">
        <f>F36+G36+H36</f>
        <v>0</v>
      </c>
      <c r="J36" s="134"/>
      <c r="K36" s="156"/>
    </row>
    <row r="37" spans="1:11" ht="18.75" customHeight="1" x14ac:dyDescent="0.3">
      <c r="A37" s="142">
        <f>A36+7</f>
        <v>44037</v>
      </c>
      <c r="B37" s="167">
        <v>4</v>
      </c>
      <c r="C37" s="289">
        <f>B37*$B$68/1000</f>
        <v>1.8461538461538463</v>
      </c>
      <c r="D37" s="146">
        <v>749.43</v>
      </c>
      <c r="E37" s="125"/>
      <c r="F37" s="114"/>
      <c r="G37" s="162"/>
      <c r="H37" s="162"/>
      <c r="I37" s="151">
        <f>F37+G37+H37</f>
        <v>0</v>
      </c>
      <c r="J37" s="135"/>
      <c r="K37" s="157"/>
    </row>
    <row r="38" spans="1:11" ht="18.75" customHeight="1" x14ac:dyDescent="0.3">
      <c r="A38" s="143" t="s">
        <v>64</v>
      </c>
      <c r="B38" s="148">
        <f t="shared" ref="B38:K38" si="6">SUBTOTAL(109,B34:B37)</f>
        <v>16</v>
      </c>
      <c r="C38" s="339">
        <f t="shared" si="6"/>
        <v>7.384615384615385</v>
      </c>
      <c r="D38" s="191">
        <f t="shared" si="6"/>
        <v>749.43</v>
      </c>
      <c r="E38" s="126">
        <f t="shared" si="6"/>
        <v>0</v>
      </c>
      <c r="F38" s="28">
        <f t="shared" si="6"/>
        <v>0</v>
      </c>
      <c r="G38" s="39">
        <f t="shared" si="6"/>
        <v>0</v>
      </c>
      <c r="H38" s="39">
        <f t="shared" si="6"/>
        <v>0</v>
      </c>
      <c r="I38" s="158">
        <f t="shared" si="6"/>
        <v>0</v>
      </c>
      <c r="J38" s="136">
        <f t="shared" si="6"/>
        <v>0</v>
      </c>
      <c r="K38" s="158">
        <f t="shared" si="6"/>
        <v>0</v>
      </c>
    </row>
    <row r="39" spans="1:11" ht="18.75" customHeight="1" x14ac:dyDescent="0.3">
      <c r="A39" s="142">
        <f>A37+7</f>
        <v>44044</v>
      </c>
      <c r="B39" s="167">
        <v>4</v>
      </c>
      <c r="C39" s="289">
        <f>B39*$B$68/1000</f>
        <v>1.8461538461538463</v>
      </c>
      <c r="D39" s="146"/>
      <c r="E39" s="124"/>
      <c r="F39" s="115"/>
      <c r="G39" s="163"/>
      <c r="H39" s="163"/>
      <c r="I39" s="151">
        <f>F39+G39+H39</f>
        <v>0</v>
      </c>
      <c r="J39" s="135"/>
      <c r="K39" s="157"/>
    </row>
    <row r="40" spans="1:11" ht="18.75" customHeight="1" x14ac:dyDescent="0.3">
      <c r="A40" s="142">
        <f>A39+7</f>
        <v>44051</v>
      </c>
      <c r="B40" s="167">
        <v>4</v>
      </c>
      <c r="C40" s="289">
        <f>B40*$B$68/1000</f>
        <v>1.8461538461538463</v>
      </c>
      <c r="D40" s="146"/>
      <c r="E40" s="125"/>
      <c r="F40" s="114"/>
      <c r="G40" s="162"/>
      <c r="H40" s="162"/>
      <c r="I40" s="151">
        <f>F40+G40+H40</f>
        <v>0</v>
      </c>
      <c r="J40" s="134"/>
      <c r="K40" s="156"/>
    </row>
    <row r="41" spans="1:11" ht="18.75" customHeight="1" x14ac:dyDescent="0.3">
      <c r="A41" s="142">
        <f>A40+7</f>
        <v>44058</v>
      </c>
      <c r="B41" s="167">
        <v>4</v>
      </c>
      <c r="C41" s="289">
        <f>B41*$B$68/1000</f>
        <v>1.8461538461538463</v>
      </c>
      <c r="D41" s="146"/>
      <c r="E41" s="125"/>
      <c r="F41" s="114"/>
      <c r="G41" s="162"/>
      <c r="H41" s="162"/>
      <c r="I41" s="151">
        <f>F41+G41+H41</f>
        <v>0</v>
      </c>
      <c r="J41" s="135"/>
      <c r="K41" s="157"/>
    </row>
    <row r="42" spans="1:11" ht="18.75" customHeight="1" x14ac:dyDescent="0.3">
      <c r="A42" s="142">
        <f>A41+7</f>
        <v>44065</v>
      </c>
      <c r="B42" s="167">
        <v>4</v>
      </c>
      <c r="C42" s="289">
        <f>B42*$B$68/1000</f>
        <v>1.8461538461538463</v>
      </c>
      <c r="D42" s="146"/>
      <c r="E42" s="125"/>
      <c r="F42" s="114"/>
      <c r="G42" s="162"/>
      <c r="H42" s="162"/>
      <c r="I42" s="151">
        <f>F42+G42+H42</f>
        <v>0</v>
      </c>
      <c r="J42" s="135"/>
      <c r="K42" s="157"/>
    </row>
    <row r="43" spans="1:11" ht="18.75" customHeight="1" x14ac:dyDescent="0.3">
      <c r="A43" s="142">
        <f>A42+7</f>
        <v>44072</v>
      </c>
      <c r="B43" s="167">
        <v>4</v>
      </c>
      <c r="C43" s="289">
        <f>B43*$B$68/1000</f>
        <v>1.8461538461538463</v>
      </c>
      <c r="D43" s="146">
        <v>749.43</v>
      </c>
      <c r="E43" s="125"/>
      <c r="F43" s="114"/>
      <c r="G43" s="162"/>
      <c r="H43" s="162"/>
      <c r="I43" s="151">
        <f>F43+G43+H43</f>
        <v>0</v>
      </c>
      <c r="J43" s="135"/>
      <c r="K43" s="157"/>
    </row>
    <row r="44" spans="1:11" ht="18.75" customHeight="1" x14ac:dyDescent="0.3">
      <c r="A44" s="143" t="s">
        <v>65</v>
      </c>
      <c r="B44" s="148">
        <f>SUBTOTAL(109,B39:B43)</f>
        <v>20</v>
      </c>
      <c r="C44" s="339">
        <f>SUBTOTAL(109,C39:C43)</f>
        <v>9.2307692307692317</v>
      </c>
      <c r="D44" s="191">
        <f>SUBTOTAL(109,D39:D43)</f>
        <v>749.43</v>
      </c>
      <c r="E44" s="126">
        <f t="shared" ref="E44:K44" si="7">SUBTOTAL(109,E39:E43)</f>
        <v>0</v>
      </c>
      <c r="F44" s="39">
        <f t="shared" si="7"/>
        <v>0</v>
      </c>
      <c r="G44" s="39">
        <f t="shared" si="7"/>
        <v>0</v>
      </c>
      <c r="H44" s="39">
        <f t="shared" si="7"/>
        <v>0</v>
      </c>
      <c r="I44" s="189">
        <f t="shared" si="7"/>
        <v>0</v>
      </c>
      <c r="J44" s="136">
        <f t="shared" si="7"/>
        <v>0</v>
      </c>
      <c r="K44" s="158">
        <f t="shared" si="7"/>
        <v>0</v>
      </c>
    </row>
    <row r="45" spans="1:11" ht="18.75" customHeight="1" x14ac:dyDescent="0.3">
      <c r="A45" s="142">
        <f>A43+7</f>
        <v>44079</v>
      </c>
      <c r="B45" s="167">
        <v>4</v>
      </c>
      <c r="C45" s="289">
        <f>B45*$B$68/1000</f>
        <v>1.8461538461538463</v>
      </c>
      <c r="D45" s="146"/>
      <c r="E45" s="124"/>
      <c r="F45" s="115"/>
      <c r="G45" s="163"/>
      <c r="H45" s="163"/>
      <c r="I45" s="151">
        <f>F45+G45+H45</f>
        <v>0</v>
      </c>
      <c r="J45" s="135"/>
      <c r="K45" s="157"/>
    </row>
    <row r="46" spans="1:11" ht="18.75" customHeight="1" x14ac:dyDescent="0.3">
      <c r="A46" s="142">
        <f>A45+7</f>
        <v>44086</v>
      </c>
      <c r="B46" s="167">
        <v>4</v>
      </c>
      <c r="C46" s="289">
        <f>B46*$B$68/1000</f>
        <v>1.8461538461538463</v>
      </c>
      <c r="D46" s="146"/>
      <c r="E46" s="125"/>
      <c r="F46" s="114"/>
      <c r="G46" s="162"/>
      <c r="H46" s="162"/>
      <c r="I46" s="151">
        <f>F46+G46+H46</f>
        <v>0</v>
      </c>
      <c r="J46" s="134"/>
      <c r="K46" s="156"/>
    </row>
    <row r="47" spans="1:11" ht="18.75" customHeight="1" x14ac:dyDescent="0.3">
      <c r="A47" s="142">
        <f>A46+7</f>
        <v>44093</v>
      </c>
      <c r="B47" s="167">
        <v>4</v>
      </c>
      <c r="C47" s="289">
        <f>B47*$B$68/1000</f>
        <v>1.8461538461538463</v>
      </c>
      <c r="D47" s="146"/>
      <c r="E47" s="125"/>
      <c r="F47" s="114"/>
      <c r="G47" s="162"/>
      <c r="H47" s="162"/>
      <c r="I47" s="151">
        <f>F47+G47+H47</f>
        <v>0</v>
      </c>
      <c r="J47" s="134"/>
      <c r="K47" s="156"/>
    </row>
    <row r="48" spans="1:11" ht="18.75" customHeight="1" x14ac:dyDescent="0.3">
      <c r="A48" s="142">
        <f>A47+7</f>
        <v>44100</v>
      </c>
      <c r="B48" s="167">
        <v>4</v>
      </c>
      <c r="C48" s="289">
        <f>B48*$B$68/1000</f>
        <v>1.8461538461538463</v>
      </c>
      <c r="D48" s="146">
        <v>755.66</v>
      </c>
      <c r="E48" s="125"/>
      <c r="F48" s="114"/>
      <c r="G48" s="162"/>
      <c r="H48" s="162"/>
      <c r="I48" s="151">
        <f>F48+G48+H48</f>
        <v>0</v>
      </c>
      <c r="J48" s="135"/>
      <c r="K48" s="157"/>
    </row>
    <row r="49" spans="1:11" ht="18.75" customHeight="1" x14ac:dyDescent="0.3">
      <c r="A49" s="144" t="s">
        <v>66</v>
      </c>
      <c r="B49" s="148">
        <f t="shared" ref="B49:K49" si="8">SUBTOTAL(109,B45:B48)</f>
        <v>16</v>
      </c>
      <c r="C49" s="339">
        <f t="shared" si="8"/>
        <v>7.384615384615385</v>
      </c>
      <c r="D49" s="191">
        <f t="shared" si="8"/>
        <v>755.66</v>
      </c>
      <c r="E49" s="126">
        <f t="shared" si="8"/>
        <v>0</v>
      </c>
      <c r="F49" s="28">
        <f t="shared" si="8"/>
        <v>0</v>
      </c>
      <c r="G49" s="39">
        <f t="shared" si="8"/>
        <v>0</v>
      </c>
      <c r="H49" s="39">
        <f t="shared" si="8"/>
        <v>0</v>
      </c>
      <c r="I49" s="189">
        <f t="shared" si="8"/>
        <v>0</v>
      </c>
      <c r="J49" s="136">
        <f t="shared" si="8"/>
        <v>0</v>
      </c>
      <c r="K49" s="158">
        <f t="shared" si="8"/>
        <v>0</v>
      </c>
    </row>
    <row r="50" spans="1:11" ht="18.75" customHeight="1" x14ac:dyDescent="0.3">
      <c r="A50" s="142">
        <f>A48+7</f>
        <v>44107</v>
      </c>
      <c r="B50" s="167">
        <v>4</v>
      </c>
      <c r="C50" s="289">
        <f>B50*$B$68/1000</f>
        <v>1.8461538461538463</v>
      </c>
      <c r="D50" s="146"/>
      <c r="E50" s="124"/>
      <c r="F50" s="115"/>
      <c r="G50" s="163"/>
      <c r="H50" s="163"/>
      <c r="I50" s="151">
        <f>F50+G50+H50</f>
        <v>0</v>
      </c>
      <c r="J50" s="135"/>
      <c r="K50" s="157"/>
    </row>
    <row r="51" spans="1:11" ht="18.75" customHeight="1" x14ac:dyDescent="0.3">
      <c r="A51" s="142">
        <f>A50+7</f>
        <v>44114</v>
      </c>
      <c r="B51" s="167">
        <v>4</v>
      </c>
      <c r="C51" s="289">
        <f>B51*$B$68/1000</f>
        <v>1.8461538461538463</v>
      </c>
      <c r="D51" s="146"/>
      <c r="E51" s="125"/>
      <c r="F51" s="114"/>
      <c r="G51" s="162"/>
      <c r="H51" s="162"/>
      <c r="I51" s="151">
        <f>F51+G51+H51</f>
        <v>0</v>
      </c>
      <c r="J51" s="134"/>
      <c r="K51" s="156"/>
    </row>
    <row r="52" spans="1:11" ht="18.75" customHeight="1" x14ac:dyDescent="0.3">
      <c r="A52" s="142">
        <f>A51+7</f>
        <v>44121</v>
      </c>
      <c r="B52" s="167">
        <v>4</v>
      </c>
      <c r="C52" s="289">
        <f>B52*$B$68/1000</f>
        <v>1.8461538461538463</v>
      </c>
      <c r="D52" s="146"/>
      <c r="E52" s="125"/>
      <c r="F52" s="114"/>
      <c r="G52" s="162"/>
      <c r="H52" s="162"/>
      <c r="I52" s="151">
        <f>F52+G52+H52</f>
        <v>0</v>
      </c>
      <c r="J52" s="135"/>
      <c r="K52" s="157"/>
    </row>
    <row r="53" spans="1:11" ht="18.75" customHeight="1" x14ac:dyDescent="0.3">
      <c r="A53" s="142">
        <f>A52+7</f>
        <v>44128</v>
      </c>
      <c r="B53" s="167">
        <v>4</v>
      </c>
      <c r="C53" s="289">
        <f>B53*$B$68/1000</f>
        <v>1.8461538461538463</v>
      </c>
      <c r="D53" s="146">
        <v>755.66</v>
      </c>
      <c r="E53" s="125"/>
      <c r="F53" s="114"/>
      <c r="G53" s="162"/>
      <c r="H53" s="162"/>
      <c r="I53" s="151">
        <f>F53+G53+H53</f>
        <v>0</v>
      </c>
      <c r="J53" s="135"/>
      <c r="K53" s="157"/>
    </row>
    <row r="54" spans="1:11" ht="18.75" customHeight="1" x14ac:dyDescent="0.3">
      <c r="A54" s="143" t="s">
        <v>51</v>
      </c>
      <c r="B54" s="148">
        <f t="shared" ref="B54:K54" si="9">SUBTOTAL(109,B50:B53)</f>
        <v>16</v>
      </c>
      <c r="C54" s="339">
        <f t="shared" si="9"/>
        <v>7.384615384615385</v>
      </c>
      <c r="D54" s="191">
        <f t="shared" si="9"/>
        <v>755.66</v>
      </c>
      <c r="E54" s="126">
        <f t="shared" si="9"/>
        <v>0</v>
      </c>
      <c r="F54" s="28">
        <f t="shared" si="9"/>
        <v>0</v>
      </c>
      <c r="G54" s="39">
        <f t="shared" si="9"/>
        <v>0</v>
      </c>
      <c r="H54" s="39">
        <f t="shared" si="9"/>
        <v>0</v>
      </c>
      <c r="I54" s="189">
        <f t="shared" si="9"/>
        <v>0</v>
      </c>
      <c r="J54" s="136">
        <f t="shared" si="9"/>
        <v>0</v>
      </c>
      <c r="K54" s="158">
        <f t="shared" si="9"/>
        <v>0</v>
      </c>
    </row>
    <row r="55" spans="1:11" ht="18.75" customHeight="1" x14ac:dyDescent="0.3">
      <c r="A55" s="142">
        <f>A53+7</f>
        <v>44135</v>
      </c>
      <c r="B55" s="167">
        <v>4</v>
      </c>
      <c r="C55" s="289">
        <f>B55*$B$68/1000</f>
        <v>1.8461538461538463</v>
      </c>
      <c r="D55" s="146"/>
      <c r="E55" s="125"/>
      <c r="F55" s="114"/>
      <c r="G55" s="162"/>
      <c r="H55" s="162"/>
      <c r="I55" s="151">
        <f>F55+G55+H55</f>
        <v>0</v>
      </c>
      <c r="J55" s="135"/>
      <c r="K55" s="157"/>
    </row>
    <row r="56" spans="1:11" ht="18.75" customHeight="1" x14ac:dyDescent="0.3">
      <c r="A56" s="142">
        <f>A55+7</f>
        <v>44142</v>
      </c>
      <c r="B56" s="167">
        <v>4</v>
      </c>
      <c r="C56" s="289">
        <f>B56*$B$68/1000</f>
        <v>1.8461538461538463</v>
      </c>
      <c r="D56" s="146"/>
      <c r="E56" s="124"/>
      <c r="F56" s="115"/>
      <c r="G56" s="163"/>
      <c r="H56" s="163"/>
      <c r="I56" s="151">
        <f>F56+G56+H56</f>
        <v>0</v>
      </c>
      <c r="J56" s="135"/>
      <c r="K56" s="157"/>
    </row>
    <row r="57" spans="1:11" ht="18.75" customHeight="1" x14ac:dyDescent="0.3">
      <c r="A57" s="142">
        <f>A56+7</f>
        <v>44149</v>
      </c>
      <c r="B57" s="167">
        <v>4</v>
      </c>
      <c r="C57" s="289">
        <f>B57*$B$68/1000</f>
        <v>1.8461538461538463</v>
      </c>
      <c r="D57" s="146"/>
      <c r="E57" s="125"/>
      <c r="F57" s="114"/>
      <c r="G57" s="162"/>
      <c r="H57" s="162"/>
      <c r="I57" s="151">
        <f>F57+G57+H57</f>
        <v>0</v>
      </c>
      <c r="J57" s="134"/>
      <c r="K57" s="156"/>
    </row>
    <row r="58" spans="1:11" ht="18.75" customHeight="1" x14ac:dyDescent="0.3">
      <c r="A58" s="142">
        <f>A57+7</f>
        <v>44156</v>
      </c>
      <c r="B58" s="167">
        <v>4</v>
      </c>
      <c r="C58" s="289">
        <f>B58*$B$68/1000</f>
        <v>1.8461538461538463</v>
      </c>
      <c r="D58" s="146"/>
      <c r="E58" s="125"/>
      <c r="F58" s="114"/>
      <c r="G58" s="162"/>
      <c r="H58" s="162"/>
      <c r="I58" s="151">
        <f>F58+G58+H58</f>
        <v>0</v>
      </c>
      <c r="J58" s="135"/>
      <c r="K58" s="157"/>
    </row>
    <row r="59" spans="1:11" ht="18.75" customHeight="1" x14ac:dyDescent="0.3">
      <c r="A59" s="142">
        <f>A58+7</f>
        <v>44163</v>
      </c>
      <c r="B59" s="167">
        <v>4</v>
      </c>
      <c r="C59" s="289">
        <f>B59*$B$68/1000</f>
        <v>1.8461538461538463</v>
      </c>
      <c r="D59" s="146">
        <v>755.66</v>
      </c>
      <c r="E59" s="125"/>
      <c r="F59" s="114"/>
      <c r="G59" s="162"/>
      <c r="H59" s="162"/>
      <c r="I59" s="151">
        <f>F59+G59+H59</f>
        <v>0</v>
      </c>
      <c r="J59" s="135"/>
      <c r="K59" s="157"/>
    </row>
    <row r="60" spans="1:11" ht="18.75" customHeight="1" x14ac:dyDescent="0.3">
      <c r="A60" s="143" t="s">
        <v>11</v>
      </c>
      <c r="B60" s="148">
        <f>SUBTOTAL(109,B55:B59)</f>
        <v>20</v>
      </c>
      <c r="C60" s="339">
        <f>SUBTOTAL(109,C55:C59)</f>
        <v>9.2307692307692317</v>
      </c>
      <c r="D60" s="191">
        <f>SUBTOTAL(109,D55:D59)</f>
        <v>755.66</v>
      </c>
      <c r="E60" s="126">
        <f t="shared" ref="E60:K60" si="10">SUBTOTAL(109,E55:E59)</f>
        <v>0</v>
      </c>
      <c r="F60" s="28">
        <f>SUBTOTAL(109,F56:F59)</f>
        <v>0</v>
      </c>
      <c r="G60" s="39">
        <f t="shared" si="10"/>
        <v>0</v>
      </c>
      <c r="H60" s="39">
        <f t="shared" si="10"/>
        <v>0</v>
      </c>
      <c r="I60" s="189">
        <f>SUBTOTAL(109,I56:I59)</f>
        <v>0</v>
      </c>
      <c r="J60" s="136">
        <f t="shared" si="10"/>
        <v>0</v>
      </c>
      <c r="K60" s="158">
        <f t="shared" si="10"/>
        <v>0</v>
      </c>
    </row>
    <row r="61" spans="1:11" ht="18.75" customHeight="1" x14ac:dyDescent="0.3">
      <c r="A61" s="142">
        <f>A59+7</f>
        <v>44170</v>
      </c>
      <c r="B61" s="167">
        <v>4</v>
      </c>
      <c r="C61" s="289">
        <f>B61*$B$68/1000</f>
        <v>1.8461538461538463</v>
      </c>
      <c r="D61" s="146"/>
      <c r="E61" s="125"/>
      <c r="F61" s="114"/>
      <c r="G61" s="162"/>
      <c r="H61" s="162"/>
      <c r="I61" s="151">
        <f>F61+G61+H61</f>
        <v>0</v>
      </c>
      <c r="J61" s="135"/>
      <c r="K61" s="157"/>
    </row>
    <row r="62" spans="1:11" ht="18.75" customHeight="1" x14ac:dyDescent="0.3">
      <c r="A62" s="142">
        <f>A61+7</f>
        <v>44177</v>
      </c>
      <c r="B62" s="167">
        <v>4</v>
      </c>
      <c r="C62" s="289">
        <f>B62*$B$68/1000</f>
        <v>1.8461538461538463</v>
      </c>
      <c r="D62" s="146"/>
      <c r="E62" s="124"/>
      <c r="F62" s="115"/>
      <c r="G62" s="163"/>
      <c r="H62" s="163"/>
      <c r="I62" s="151">
        <f>F62+G62+H62</f>
        <v>0</v>
      </c>
      <c r="J62" s="135"/>
      <c r="K62" s="157"/>
    </row>
    <row r="63" spans="1:11" ht="18.75" customHeight="1" x14ac:dyDescent="0.3">
      <c r="A63" s="142">
        <f>A62+7</f>
        <v>44184</v>
      </c>
      <c r="B63" s="167">
        <v>4</v>
      </c>
      <c r="C63" s="289">
        <f>B63*$B$68/1000</f>
        <v>1.8461538461538463</v>
      </c>
      <c r="D63" s="146"/>
      <c r="E63" s="125"/>
      <c r="F63" s="114"/>
      <c r="G63" s="162"/>
      <c r="H63" s="162"/>
      <c r="I63" s="151">
        <f>F63+G63+H63</f>
        <v>0</v>
      </c>
      <c r="J63" s="134"/>
      <c r="K63" s="156"/>
    </row>
    <row r="64" spans="1:11" ht="18.75" customHeight="1" x14ac:dyDescent="0.3">
      <c r="A64" s="142">
        <f>A63+7</f>
        <v>44191</v>
      </c>
      <c r="B64" s="167">
        <v>4</v>
      </c>
      <c r="C64" s="289">
        <f>B64*$B$68/1000</f>
        <v>1.8461538461538463</v>
      </c>
      <c r="D64" s="146">
        <v>755.66</v>
      </c>
      <c r="E64" s="125"/>
      <c r="F64" s="114"/>
      <c r="G64" s="162"/>
      <c r="H64" s="162"/>
      <c r="I64" s="151">
        <f>F64+G64+H64</f>
        <v>0</v>
      </c>
      <c r="J64" s="135"/>
      <c r="K64" s="157"/>
    </row>
    <row r="65" spans="1:12" ht="18.75" customHeight="1" thickBot="1" x14ac:dyDescent="0.35">
      <c r="A65" s="143" t="s">
        <v>12</v>
      </c>
      <c r="B65" s="148">
        <f t="shared" ref="B65:K65" si="11">SUBTOTAL(109,B61:B64)</f>
        <v>16</v>
      </c>
      <c r="C65" s="348">
        <f t="shared" si="11"/>
        <v>7.384615384615385</v>
      </c>
      <c r="D65" s="192">
        <f t="shared" si="11"/>
        <v>755.66</v>
      </c>
      <c r="E65" s="128">
        <v>355.85</v>
      </c>
      <c r="F65" s="129">
        <f t="shared" si="11"/>
        <v>0</v>
      </c>
      <c r="G65" s="112">
        <f t="shared" si="11"/>
        <v>0</v>
      </c>
      <c r="H65" s="112">
        <f t="shared" si="11"/>
        <v>0</v>
      </c>
      <c r="I65" s="159">
        <f t="shared" si="11"/>
        <v>0</v>
      </c>
      <c r="J65" s="137">
        <f t="shared" si="11"/>
        <v>0</v>
      </c>
      <c r="K65" s="159">
        <f t="shared" si="11"/>
        <v>0</v>
      </c>
    </row>
    <row r="66" spans="1:12" ht="18.75" customHeight="1" thickBot="1" x14ac:dyDescent="0.35">
      <c r="A66" s="20" t="s">
        <v>79</v>
      </c>
      <c r="B66" s="194">
        <f>SUBTOTAL(109,B2:B64)</f>
        <v>208</v>
      </c>
      <c r="C66" s="363">
        <f>SUBTOTAL(109,C2:C64)</f>
        <v>95.999999999999901</v>
      </c>
      <c r="D66" s="147">
        <f>SUBTOTAL(109,D2:D64)</f>
        <v>9018.380000000001</v>
      </c>
      <c r="E66" s="140">
        <f>SUBTOTAL(109,E2:E64)</f>
        <v>0</v>
      </c>
      <c r="F66" s="222">
        <f>F60+F54+F49+F44+F38+F33+F28+F22+F17+F11+F6</f>
        <v>838</v>
      </c>
      <c r="G66" s="164">
        <f>SUBTOTAL(109,G2:G64)</f>
        <v>-142.80000000000001</v>
      </c>
      <c r="H66" s="164">
        <f>SUBTOTAL(109,H2:H64)</f>
        <v>0</v>
      </c>
      <c r="I66" s="154">
        <f>I65+I60+I54+I49+I44+I38+I33+I28+I22+I17+I11+I6</f>
        <v>695.2</v>
      </c>
      <c r="J66" s="138">
        <f>SUBTOTAL(109,J2:J64)</f>
        <v>0</v>
      </c>
      <c r="K66" s="160">
        <f>SUBTOTAL(109,K2:K64)</f>
        <v>0</v>
      </c>
    </row>
    <row r="67" spans="1:12" ht="18.75" customHeight="1" x14ac:dyDescent="0.3">
      <c r="A67" s="1"/>
      <c r="B67" s="1"/>
      <c r="C67" s="1"/>
      <c r="G67" s="17"/>
      <c r="H67" s="17"/>
      <c r="I67" s="17"/>
      <c r="J67" s="17"/>
      <c r="K67" s="17"/>
    </row>
    <row r="68" spans="1:12" ht="18.75" customHeight="1" x14ac:dyDescent="0.3">
      <c r="A68" s="95" t="s">
        <v>134</v>
      </c>
      <c r="B68" s="196">
        <f>N6</f>
        <v>461.53846153846155</v>
      </c>
      <c r="D68" s="22"/>
      <c r="E68" s="17"/>
      <c r="F68" s="17"/>
    </row>
    <row r="69" spans="1:12" ht="18.75" customHeight="1" x14ac:dyDescent="0.3">
      <c r="A69" s="1"/>
      <c r="B69" s="1"/>
      <c r="C69" s="1"/>
    </row>
    <row r="70" spans="1:12" ht="52" x14ac:dyDescent="0.3">
      <c r="A70" s="31" t="s">
        <v>23</v>
      </c>
      <c r="B70" s="32" t="s">
        <v>36</v>
      </c>
      <c r="C70" s="32" t="s">
        <v>136</v>
      </c>
      <c r="D70" s="32" t="s">
        <v>137</v>
      </c>
      <c r="E70" s="190" t="s">
        <v>138</v>
      </c>
      <c r="F70" s="190" t="s">
        <v>143</v>
      </c>
      <c r="G70" s="32" t="s">
        <v>140</v>
      </c>
      <c r="H70" s="32" t="s">
        <v>99</v>
      </c>
      <c r="I70" s="32" t="s">
        <v>100</v>
      </c>
      <c r="J70" s="32" t="s">
        <v>94</v>
      </c>
      <c r="K70" s="32" t="s">
        <v>101</v>
      </c>
      <c r="L70" s="32" t="s">
        <v>107</v>
      </c>
    </row>
    <row r="71" spans="1:12" ht="18.75" customHeight="1" x14ac:dyDescent="0.3">
      <c r="A71" s="21" t="s">
        <v>27</v>
      </c>
      <c r="B71" s="166">
        <f>C6</f>
        <v>7.384615384615385</v>
      </c>
      <c r="C71" s="22">
        <f>D6</f>
        <v>749.43</v>
      </c>
      <c r="D71" s="22">
        <f>C71/B71</f>
        <v>101.48531249999999</v>
      </c>
      <c r="E71" s="166">
        <f>E6</f>
        <v>0</v>
      </c>
      <c r="F71" s="22">
        <f>I6</f>
        <v>-58.8</v>
      </c>
      <c r="G71" s="22" t="e">
        <f t="shared" ref="G71:G82" si="12">F71/E71</f>
        <v>#DIV/0!</v>
      </c>
      <c r="H71" s="166">
        <f>J6</f>
        <v>0</v>
      </c>
      <c r="I71" s="30">
        <f>K6</f>
        <v>0</v>
      </c>
      <c r="J71" s="197">
        <f t="shared" ref="J71:J82" si="13">B71+E71</f>
        <v>7.384615384615385</v>
      </c>
      <c r="K71" s="30">
        <f t="shared" ref="K71:K82" si="14">C71+F71+I71</f>
        <v>690.63</v>
      </c>
      <c r="L71" s="1">
        <f>K71/J71</f>
        <v>93.522812500000001</v>
      </c>
    </row>
    <row r="72" spans="1:12" ht="18.75" customHeight="1" x14ac:dyDescent="0.3">
      <c r="A72" s="21" t="s">
        <v>28</v>
      </c>
      <c r="B72" s="166">
        <f>C11</f>
        <v>7.384615384615385</v>
      </c>
      <c r="C72" s="22">
        <f>D11</f>
        <v>749.43</v>
      </c>
      <c r="D72" s="22">
        <f t="shared" ref="D72:D82" si="15">C72/B72</f>
        <v>101.48531249999999</v>
      </c>
      <c r="E72" s="166">
        <f>E11</f>
        <v>0</v>
      </c>
      <c r="F72" s="22">
        <f>I11</f>
        <v>-84</v>
      </c>
      <c r="G72" s="22" t="e">
        <f t="shared" si="12"/>
        <v>#DIV/0!</v>
      </c>
      <c r="H72" s="166">
        <f>J11</f>
        <v>0</v>
      </c>
      <c r="I72" s="30">
        <f>K11</f>
        <v>0</v>
      </c>
      <c r="J72" s="197">
        <f t="shared" si="13"/>
        <v>7.384615384615385</v>
      </c>
      <c r="K72" s="30">
        <f t="shared" si="14"/>
        <v>665.43</v>
      </c>
      <c r="L72" s="1">
        <f t="shared" ref="L72:L82" si="16">K72/J72</f>
        <v>90.110312499999992</v>
      </c>
    </row>
    <row r="73" spans="1:12" ht="18.75" customHeight="1" x14ac:dyDescent="0.3">
      <c r="A73" s="21" t="s">
        <v>29</v>
      </c>
      <c r="B73" s="166">
        <f>C17</f>
        <v>9.2307692307692317</v>
      </c>
      <c r="C73" s="22">
        <f>D17</f>
        <v>749.43</v>
      </c>
      <c r="D73" s="22">
        <f t="shared" si="15"/>
        <v>81.188249999999982</v>
      </c>
      <c r="E73" s="166">
        <f>E17</f>
        <v>0</v>
      </c>
      <c r="F73" s="22">
        <f>I17</f>
        <v>0</v>
      </c>
      <c r="G73" s="22" t="e">
        <f t="shared" si="12"/>
        <v>#DIV/0!</v>
      </c>
      <c r="H73" s="166">
        <f>J17</f>
        <v>0</v>
      </c>
      <c r="I73" s="30">
        <f>K17</f>
        <v>0</v>
      </c>
      <c r="J73" s="197">
        <f t="shared" si="13"/>
        <v>9.2307692307692317</v>
      </c>
      <c r="K73" s="30">
        <f t="shared" si="14"/>
        <v>749.43</v>
      </c>
      <c r="L73" s="1">
        <f t="shared" si="16"/>
        <v>81.188249999999982</v>
      </c>
    </row>
    <row r="74" spans="1:12" ht="18.75" customHeight="1" x14ac:dyDescent="0.3">
      <c r="A74" s="21" t="s">
        <v>30</v>
      </c>
      <c r="B74" s="166">
        <f>C22</f>
        <v>7.384615384615385</v>
      </c>
      <c r="C74" s="22">
        <f>D22</f>
        <v>749.73</v>
      </c>
      <c r="D74" s="22">
        <f t="shared" si="15"/>
        <v>101.5259375</v>
      </c>
      <c r="E74" s="166">
        <f>E22</f>
        <v>0</v>
      </c>
      <c r="F74" s="22">
        <f>I22</f>
        <v>838</v>
      </c>
      <c r="G74" s="22" t="e">
        <f t="shared" si="12"/>
        <v>#DIV/0!</v>
      </c>
      <c r="H74" s="166">
        <f>J22</f>
        <v>0</v>
      </c>
      <c r="I74" s="30">
        <f>K22</f>
        <v>0</v>
      </c>
      <c r="J74" s="197">
        <f t="shared" si="13"/>
        <v>7.384615384615385</v>
      </c>
      <c r="K74" s="30">
        <f t="shared" si="14"/>
        <v>1587.73</v>
      </c>
      <c r="L74" s="1">
        <f t="shared" si="16"/>
        <v>215.00510416666665</v>
      </c>
    </row>
    <row r="75" spans="1:12" ht="18.75" customHeight="1" x14ac:dyDescent="0.3">
      <c r="A75" s="21" t="s">
        <v>31</v>
      </c>
      <c r="B75" s="166">
        <f>C28</f>
        <v>9.2307692307692317</v>
      </c>
      <c r="C75" s="22">
        <f>D28</f>
        <v>749.43</v>
      </c>
      <c r="D75" s="22">
        <f t="shared" si="15"/>
        <v>81.188249999999982</v>
      </c>
      <c r="E75" s="166">
        <f>E28</f>
        <v>0</v>
      </c>
      <c r="F75" s="22">
        <f>I28</f>
        <v>0</v>
      </c>
      <c r="G75" s="22" t="e">
        <f t="shared" si="12"/>
        <v>#DIV/0!</v>
      </c>
      <c r="H75" s="166">
        <f>J28</f>
        <v>0</v>
      </c>
      <c r="I75" s="30">
        <f>K28</f>
        <v>0</v>
      </c>
      <c r="J75" s="197">
        <f t="shared" si="13"/>
        <v>9.2307692307692317</v>
      </c>
      <c r="K75" s="30">
        <f t="shared" si="14"/>
        <v>749.43</v>
      </c>
      <c r="L75" s="1">
        <f t="shared" si="16"/>
        <v>81.188249999999982</v>
      </c>
    </row>
    <row r="76" spans="1:12" ht="18.75" customHeight="1" x14ac:dyDescent="0.3">
      <c r="A76" s="21" t="s">
        <v>32</v>
      </c>
      <c r="B76" s="166">
        <f>C33</f>
        <v>7.384615384615385</v>
      </c>
      <c r="C76" s="22">
        <f>D33</f>
        <v>749.43</v>
      </c>
      <c r="D76" s="22">
        <f t="shared" si="15"/>
        <v>101.48531249999999</v>
      </c>
      <c r="E76" s="166">
        <f>E33</f>
        <v>0</v>
      </c>
      <c r="F76" s="22">
        <f>I33</f>
        <v>0</v>
      </c>
      <c r="G76" s="22" t="e">
        <f t="shared" si="12"/>
        <v>#DIV/0!</v>
      </c>
      <c r="H76" s="166">
        <f>J33</f>
        <v>0</v>
      </c>
      <c r="I76" s="30">
        <f>K33</f>
        <v>0</v>
      </c>
      <c r="J76" s="197">
        <f t="shared" si="13"/>
        <v>7.384615384615385</v>
      </c>
      <c r="K76" s="30">
        <f t="shared" si="14"/>
        <v>749.43</v>
      </c>
      <c r="L76" s="1">
        <f t="shared" si="16"/>
        <v>101.48531249999999</v>
      </c>
    </row>
    <row r="77" spans="1:12" ht="18.75" customHeight="1" x14ac:dyDescent="0.3">
      <c r="A77" s="21" t="s">
        <v>33</v>
      </c>
      <c r="B77" s="166">
        <f>C38</f>
        <v>7.384615384615385</v>
      </c>
      <c r="C77" s="22">
        <f>D38</f>
        <v>749.43</v>
      </c>
      <c r="D77" s="22">
        <f t="shared" si="15"/>
        <v>101.48531249999999</v>
      </c>
      <c r="E77" s="166">
        <f>E38</f>
        <v>0</v>
      </c>
      <c r="F77" s="22">
        <f>I38</f>
        <v>0</v>
      </c>
      <c r="G77" s="22" t="e">
        <f t="shared" si="12"/>
        <v>#DIV/0!</v>
      </c>
      <c r="H77" s="166">
        <f>J38</f>
        <v>0</v>
      </c>
      <c r="I77" s="30">
        <f>K38</f>
        <v>0</v>
      </c>
      <c r="J77" s="197">
        <f t="shared" si="13"/>
        <v>7.384615384615385</v>
      </c>
      <c r="K77" s="30">
        <f t="shared" si="14"/>
        <v>749.43</v>
      </c>
      <c r="L77" s="1">
        <f t="shared" si="16"/>
        <v>101.48531249999999</v>
      </c>
    </row>
    <row r="78" spans="1:12" ht="18.75" customHeight="1" x14ac:dyDescent="0.3">
      <c r="A78" s="21" t="s">
        <v>34</v>
      </c>
      <c r="B78" s="166">
        <f>C44</f>
        <v>9.2307692307692317</v>
      </c>
      <c r="C78" s="22">
        <f>D44</f>
        <v>749.43</v>
      </c>
      <c r="D78" s="22">
        <f t="shared" si="15"/>
        <v>81.188249999999982</v>
      </c>
      <c r="E78" s="166">
        <f>E44</f>
        <v>0</v>
      </c>
      <c r="F78" s="22">
        <f>I44</f>
        <v>0</v>
      </c>
      <c r="G78" s="22" t="e">
        <f t="shared" si="12"/>
        <v>#DIV/0!</v>
      </c>
      <c r="H78" s="166">
        <f>J44</f>
        <v>0</v>
      </c>
      <c r="I78" s="30">
        <f>K44</f>
        <v>0</v>
      </c>
      <c r="J78" s="197">
        <f t="shared" si="13"/>
        <v>9.2307692307692317</v>
      </c>
      <c r="K78" s="30">
        <f t="shared" si="14"/>
        <v>749.43</v>
      </c>
      <c r="L78" s="1">
        <f t="shared" si="16"/>
        <v>81.188249999999982</v>
      </c>
    </row>
    <row r="79" spans="1:12" ht="18.75" customHeight="1" x14ac:dyDescent="0.3">
      <c r="A79" s="21" t="s">
        <v>35</v>
      </c>
      <c r="B79" s="166">
        <f>C49</f>
        <v>7.384615384615385</v>
      </c>
      <c r="C79" s="22">
        <f>D49</f>
        <v>755.66</v>
      </c>
      <c r="D79" s="22">
        <f t="shared" si="15"/>
        <v>102.32895833333332</v>
      </c>
      <c r="E79" s="166">
        <f>E49</f>
        <v>0</v>
      </c>
      <c r="F79" s="22">
        <f>I49</f>
        <v>0</v>
      </c>
      <c r="G79" s="22" t="e">
        <f t="shared" si="12"/>
        <v>#DIV/0!</v>
      </c>
      <c r="H79" s="166">
        <f>J49</f>
        <v>0</v>
      </c>
      <c r="I79" s="30">
        <f>K49</f>
        <v>0</v>
      </c>
      <c r="J79" s="197">
        <f t="shared" si="13"/>
        <v>7.384615384615385</v>
      </c>
      <c r="K79" s="30">
        <f t="shared" si="14"/>
        <v>755.66</v>
      </c>
      <c r="L79" s="1">
        <f t="shared" si="16"/>
        <v>102.32895833333332</v>
      </c>
    </row>
    <row r="80" spans="1:12" ht="18.75" customHeight="1" x14ac:dyDescent="0.3">
      <c r="A80" s="21" t="s">
        <v>24</v>
      </c>
      <c r="B80" s="166">
        <f>C54</f>
        <v>7.384615384615385</v>
      </c>
      <c r="C80" s="22">
        <f>D54</f>
        <v>755.66</v>
      </c>
      <c r="D80" s="22">
        <f t="shared" si="15"/>
        <v>102.32895833333332</v>
      </c>
      <c r="E80" s="166">
        <f>E54</f>
        <v>0</v>
      </c>
      <c r="F80" s="22">
        <f>I54</f>
        <v>0</v>
      </c>
      <c r="G80" s="22" t="e">
        <f t="shared" si="12"/>
        <v>#DIV/0!</v>
      </c>
      <c r="H80" s="166">
        <f>J54</f>
        <v>0</v>
      </c>
      <c r="I80" s="30">
        <f>K54</f>
        <v>0</v>
      </c>
      <c r="J80" s="197">
        <f t="shared" si="13"/>
        <v>7.384615384615385</v>
      </c>
      <c r="K80" s="30">
        <f t="shared" si="14"/>
        <v>755.66</v>
      </c>
      <c r="L80" s="1">
        <f t="shared" si="16"/>
        <v>102.32895833333332</v>
      </c>
    </row>
    <row r="81" spans="1:12" ht="18.75" customHeight="1" x14ac:dyDescent="0.3">
      <c r="A81" s="21" t="s">
        <v>25</v>
      </c>
      <c r="B81" s="166">
        <f>C60</f>
        <v>9.2307692307692317</v>
      </c>
      <c r="C81" s="22">
        <f>D60</f>
        <v>755.66</v>
      </c>
      <c r="D81" s="22">
        <f t="shared" si="15"/>
        <v>81.863166666666658</v>
      </c>
      <c r="E81" s="166">
        <f>E60</f>
        <v>0</v>
      </c>
      <c r="F81" s="22">
        <f>I60</f>
        <v>0</v>
      </c>
      <c r="G81" s="22" t="e">
        <f t="shared" si="12"/>
        <v>#DIV/0!</v>
      </c>
      <c r="H81" s="166">
        <f>J60</f>
        <v>0</v>
      </c>
      <c r="I81" s="30">
        <f>K60</f>
        <v>0</v>
      </c>
      <c r="J81" s="197">
        <f t="shared" si="13"/>
        <v>9.2307692307692317</v>
      </c>
      <c r="K81" s="30">
        <f t="shared" si="14"/>
        <v>755.66</v>
      </c>
      <c r="L81" s="1">
        <f t="shared" si="16"/>
        <v>81.863166666666658</v>
      </c>
    </row>
    <row r="82" spans="1:12" ht="18.75" customHeight="1" x14ac:dyDescent="0.3">
      <c r="A82" s="21" t="s">
        <v>26</v>
      </c>
      <c r="B82" s="166">
        <f>C65</f>
        <v>7.384615384615385</v>
      </c>
      <c r="C82" s="22">
        <f>D65</f>
        <v>755.66</v>
      </c>
      <c r="D82" s="22">
        <f t="shared" si="15"/>
        <v>102.32895833333332</v>
      </c>
      <c r="E82" s="166">
        <f>E65</f>
        <v>355.85</v>
      </c>
      <c r="F82" s="22">
        <f>I65</f>
        <v>0</v>
      </c>
      <c r="G82" s="22">
        <f t="shared" si="12"/>
        <v>0</v>
      </c>
      <c r="H82" s="166">
        <f>J65</f>
        <v>0</v>
      </c>
      <c r="I82" s="30">
        <f>K65</f>
        <v>0</v>
      </c>
      <c r="J82" s="197">
        <f t="shared" si="13"/>
        <v>363.23461538461538</v>
      </c>
      <c r="K82" s="30">
        <f t="shared" si="14"/>
        <v>755.66</v>
      </c>
      <c r="L82" s="1">
        <f t="shared" si="16"/>
        <v>2.0803634014887602</v>
      </c>
    </row>
    <row r="83" spans="1:12" ht="18.75" customHeight="1" x14ac:dyDescent="0.3">
      <c r="A83" s="1"/>
      <c r="B83" s="69"/>
      <c r="C83" s="69"/>
      <c r="F83" s="69"/>
      <c r="G83" s="69"/>
      <c r="I83" s="17"/>
      <c r="J83" s="17"/>
      <c r="K83" s="17"/>
      <c r="L83" s="17"/>
    </row>
    <row r="84" spans="1:12" ht="25.5" x14ac:dyDescent="0.3">
      <c r="A84" s="33" t="s">
        <v>72</v>
      </c>
      <c r="B84" s="22">
        <f>AVERAGEIF(B71:B82,"&lt;&gt;0")</f>
        <v>8.0000000000000018</v>
      </c>
      <c r="C84" s="22">
        <f>AVERAGEIF(C71:C82,"&lt;&gt;0")</f>
        <v>751.53166666666675</v>
      </c>
      <c r="D84" s="22">
        <f>AVERAGEIF(D71:D82,"&lt;&gt;0")</f>
        <v>94.990164930555537</v>
      </c>
      <c r="F84" s="22">
        <f t="shared" ref="F84:L84" si="17">AVERAGEIF(F71:F82,"&lt;&gt;0")</f>
        <v>231.73333333333335</v>
      </c>
      <c r="G84" s="22" t="e">
        <f t="shared" si="17"/>
        <v>#DIV/0!</v>
      </c>
      <c r="H84" s="3" t="e">
        <f t="shared" si="17"/>
        <v>#DIV/0!</v>
      </c>
      <c r="I84" s="3" t="e">
        <f t="shared" si="17"/>
        <v>#DIV/0!</v>
      </c>
      <c r="J84" s="3">
        <f t="shared" si="17"/>
        <v>37.654166666666669</v>
      </c>
      <c r="K84" s="3">
        <f t="shared" si="17"/>
        <v>809.46500000000003</v>
      </c>
      <c r="L84" s="3">
        <f t="shared" si="17"/>
        <v>94.481254241790722</v>
      </c>
    </row>
    <row r="85" spans="1:12" ht="18.75" customHeight="1" x14ac:dyDescent="0.3">
      <c r="A85" s="95" t="s">
        <v>73</v>
      </c>
      <c r="B85" s="97">
        <f>SUM(B71:B82)</f>
        <v>96.000000000000014</v>
      </c>
      <c r="C85" s="97">
        <f>SUM(C71:C82)</f>
        <v>9018.380000000001</v>
      </c>
      <c r="D85" s="97"/>
      <c r="F85" s="97">
        <f>SUM(F71:F82)</f>
        <v>695.2</v>
      </c>
      <c r="G85" s="97"/>
      <c r="H85" s="17">
        <f>SUM(H71:H82)</f>
        <v>0</v>
      </c>
      <c r="I85" s="17">
        <f>SUM(I71:I82)</f>
        <v>0</v>
      </c>
      <c r="J85" s="216">
        <f>SUM(J71:J82)</f>
        <v>451.85</v>
      </c>
      <c r="K85" s="17">
        <f>SUM(K71:K82)</f>
        <v>9713.58</v>
      </c>
      <c r="L85" s="1">
        <f>K85/J85</f>
        <v>21.497355317029985</v>
      </c>
    </row>
    <row r="86" spans="1:12" ht="18.75" customHeight="1" x14ac:dyDescent="0.3">
      <c r="A86" s="1"/>
      <c r="B86" s="55"/>
      <c r="C86" s="55"/>
      <c r="D86" s="22"/>
      <c r="K86" s="55"/>
    </row>
    <row r="87" spans="1:12" ht="18.75" customHeight="1" x14ac:dyDescent="0.3">
      <c r="A87" s="1"/>
      <c r="B87" s="55"/>
      <c r="C87" s="55"/>
      <c r="D87" s="22"/>
      <c r="K87" s="55"/>
    </row>
    <row r="89" spans="1:12" ht="18.75" customHeight="1" x14ac:dyDescent="0.3">
      <c r="A89" s="1"/>
      <c r="B89" s="1"/>
      <c r="C89" s="1"/>
    </row>
    <row r="90" spans="1:12" ht="18.75" customHeight="1" x14ac:dyDescent="0.3">
      <c r="A90" s="1"/>
      <c r="B90" s="1"/>
      <c r="C90" s="1"/>
    </row>
    <row r="91" spans="1:12" ht="18.75" customHeight="1" x14ac:dyDescent="0.3">
      <c r="A91" s="1"/>
      <c r="B91" s="1"/>
      <c r="C91" s="1"/>
    </row>
    <row r="92" spans="1:12" ht="18.75" customHeight="1" x14ac:dyDescent="0.3">
      <c r="A92" s="1"/>
      <c r="B92" s="1"/>
      <c r="C92" s="1"/>
    </row>
    <row r="93" spans="1:12" ht="18.75" customHeight="1" x14ac:dyDescent="0.3">
      <c r="A93" s="1"/>
      <c r="B93" s="1"/>
      <c r="C93" s="1"/>
    </row>
    <row r="94" spans="1:12" ht="18.75" customHeight="1" x14ac:dyDescent="0.3">
      <c r="A94" s="1"/>
      <c r="B94" s="1"/>
      <c r="C94" s="1"/>
    </row>
    <row r="95" spans="1:12" ht="18.75" customHeight="1" x14ac:dyDescent="0.3">
      <c r="A95" s="1"/>
      <c r="B95" s="1"/>
      <c r="C95" s="1"/>
    </row>
    <row r="96" spans="1:12" ht="18.75" customHeight="1" x14ac:dyDescent="0.3">
      <c r="A96" s="1"/>
      <c r="B96" s="1"/>
      <c r="C96" s="1"/>
    </row>
    <row r="97" spans="1:3" ht="18.75" customHeight="1" x14ac:dyDescent="0.3">
      <c r="A97" s="1"/>
      <c r="B97" s="1"/>
      <c r="C97" s="1"/>
    </row>
    <row r="98" spans="1:3" ht="18.75" customHeight="1" x14ac:dyDescent="0.3">
      <c r="A98" s="1"/>
      <c r="B98" s="1"/>
      <c r="C98" s="1"/>
    </row>
    <row r="99" spans="1:3" ht="18.75" customHeight="1" x14ac:dyDescent="0.3">
      <c r="A99" s="1"/>
      <c r="B99" s="1"/>
      <c r="C99" s="1"/>
    </row>
    <row r="100" spans="1:3" ht="18.75" customHeight="1" x14ac:dyDescent="0.3">
      <c r="A100" s="1"/>
      <c r="B100" s="1"/>
      <c r="C100" s="1"/>
    </row>
    <row r="101" spans="1:3" ht="18.75" customHeight="1" x14ac:dyDescent="0.3">
      <c r="A101" s="1"/>
      <c r="B101" s="1"/>
      <c r="C101" s="1"/>
    </row>
    <row r="102" spans="1:3" ht="18.75" customHeight="1" x14ac:dyDescent="0.3">
      <c r="A102" s="1"/>
      <c r="B102" s="1"/>
      <c r="C102" s="1"/>
    </row>
    <row r="103" spans="1:3" ht="18.75" customHeight="1" x14ac:dyDescent="0.3">
      <c r="A103" s="1"/>
      <c r="B103" s="1"/>
      <c r="C103" s="1"/>
    </row>
    <row r="104" spans="1:3" ht="18.75" customHeight="1" x14ac:dyDescent="0.3">
      <c r="A104" s="1"/>
      <c r="B104" s="1"/>
      <c r="C104" s="1"/>
    </row>
    <row r="105" spans="1:3" ht="18.75" customHeight="1" x14ac:dyDescent="0.3">
      <c r="A105" s="1"/>
      <c r="B105" s="1"/>
      <c r="C105" s="1"/>
    </row>
    <row r="106" spans="1:3" ht="18.75" customHeight="1" x14ac:dyDescent="0.3">
      <c r="A106" s="1"/>
      <c r="B106" s="1"/>
      <c r="C106" s="1"/>
    </row>
    <row r="107" spans="1:3" ht="18.75" customHeight="1" x14ac:dyDescent="0.3">
      <c r="A107" s="1"/>
      <c r="B107" s="1"/>
      <c r="C107" s="1"/>
    </row>
    <row r="108" spans="1:3" ht="18.75" customHeight="1" x14ac:dyDescent="0.3">
      <c r="A108" s="1"/>
      <c r="B108" s="1"/>
      <c r="C108" s="1"/>
    </row>
    <row r="109" spans="1:3" ht="18.75" customHeight="1" x14ac:dyDescent="0.3">
      <c r="A109" s="1"/>
      <c r="B109" s="1"/>
      <c r="C109" s="1"/>
    </row>
    <row r="110" spans="1:3" ht="18.75" customHeight="1" x14ac:dyDescent="0.3">
      <c r="A110" s="1"/>
      <c r="B110" s="1"/>
      <c r="C110" s="1"/>
    </row>
    <row r="111" spans="1:3" ht="18.75" customHeight="1" x14ac:dyDescent="0.3">
      <c r="A111" s="1"/>
      <c r="B111" s="1"/>
      <c r="C111" s="1"/>
    </row>
    <row r="112" spans="1:3" ht="18.75" customHeight="1" x14ac:dyDescent="0.3">
      <c r="A112" s="1"/>
      <c r="B112" s="1"/>
      <c r="C112" s="1"/>
    </row>
    <row r="113" spans="1:3" ht="18.75" customHeight="1" x14ac:dyDescent="0.3">
      <c r="A113" s="1"/>
      <c r="B113" s="1"/>
      <c r="C113" s="1"/>
    </row>
    <row r="114" spans="1:3" ht="18.75" customHeight="1" x14ac:dyDescent="0.3">
      <c r="A114" s="1"/>
      <c r="B114" s="1"/>
      <c r="C114" s="1"/>
    </row>
    <row r="115" spans="1:3" ht="18.75" customHeight="1" x14ac:dyDescent="0.3">
      <c r="A115" s="1"/>
      <c r="B115" s="1"/>
      <c r="C115" s="1"/>
    </row>
    <row r="116" spans="1:3" ht="18.75" customHeight="1" x14ac:dyDescent="0.3">
      <c r="A116" s="1"/>
      <c r="B116" s="1"/>
      <c r="C116" s="1"/>
    </row>
    <row r="117" spans="1:3" ht="18.75" customHeight="1" x14ac:dyDescent="0.3">
      <c r="A117" s="1"/>
      <c r="B117" s="1"/>
      <c r="C117" s="1"/>
    </row>
    <row r="118" spans="1:3" ht="18.75" customHeight="1" x14ac:dyDescent="0.3">
      <c r="A118" s="1"/>
      <c r="B118" s="1"/>
      <c r="C118" s="1"/>
    </row>
    <row r="119" spans="1:3" ht="18.75" customHeight="1" x14ac:dyDescent="0.3">
      <c r="A119" s="1"/>
      <c r="B119" s="1"/>
      <c r="C119" s="1"/>
    </row>
    <row r="120" spans="1:3" ht="18.75" customHeight="1" x14ac:dyDescent="0.3">
      <c r="A120" s="1"/>
      <c r="B120" s="1"/>
      <c r="C120" s="1"/>
    </row>
    <row r="121" spans="1:3" ht="18.75" customHeight="1" x14ac:dyDescent="0.3">
      <c r="A121" s="1"/>
      <c r="B121" s="1"/>
      <c r="C121" s="1"/>
    </row>
    <row r="122" spans="1:3" ht="18.75" customHeight="1" x14ac:dyDescent="0.3">
      <c r="A122" s="1"/>
      <c r="B122" s="1"/>
      <c r="C122" s="1"/>
    </row>
    <row r="123" spans="1:3" ht="18.75" customHeight="1" x14ac:dyDescent="0.3">
      <c r="A123" s="1"/>
      <c r="B123" s="1"/>
      <c r="C123" s="1"/>
    </row>
    <row r="124" spans="1:3" ht="18.75" customHeight="1" x14ac:dyDescent="0.3">
      <c r="A124" s="1"/>
      <c r="B124" s="1"/>
      <c r="C124" s="1"/>
    </row>
    <row r="125" spans="1:3" ht="18.75" customHeight="1" x14ac:dyDescent="0.3">
      <c r="A125" s="1"/>
      <c r="B125" s="1"/>
      <c r="C125" s="1"/>
    </row>
    <row r="126" spans="1:3" ht="18.75" customHeight="1" x14ac:dyDescent="0.3">
      <c r="A126" s="1"/>
      <c r="B126" s="1"/>
      <c r="C126" s="1"/>
    </row>
    <row r="127" spans="1:3" ht="18.75" customHeight="1" x14ac:dyDescent="0.3">
      <c r="A127" s="1"/>
      <c r="B127" s="1"/>
      <c r="C127" s="1"/>
    </row>
    <row r="128" spans="1:3" ht="18.75" customHeight="1" x14ac:dyDescent="0.3">
      <c r="A128" s="1"/>
      <c r="B128" s="1"/>
      <c r="C128" s="1"/>
    </row>
    <row r="129" spans="1:3" ht="18.75" customHeight="1" x14ac:dyDescent="0.3">
      <c r="A129" s="1"/>
      <c r="B129" s="1"/>
      <c r="C129" s="1"/>
    </row>
    <row r="130" spans="1:3" ht="18.75" customHeight="1" x14ac:dyDescent="0.3">
      <c r="A130" s="1"/>
      <c r="B130" s="1"/>
      <c r="C130" s="1"/>
    </row>
    <row r="131" spans="1:3" ht="18.75" customHeight="1" x14ac:dyDescent="0.3">
      <c r="A131" s="1"/>
      <c r="B131" s="1"/>
      <c r="C131" s="1"/>
    </row>
    <row r="132" spans="1:3" ht="18.75" customHeight="1" x14ac:dyDescent="0.3">
      <c r="A132" s="1"/>
      <c r="B132" s="1"/>
      <c r="C132" s="1"/>
    </row>
    <row r="133" spans="1:3" ht="18.75" customHeight="1" x14ac:dyDescent="0.3">
      <c r="A133" s="1"/>
      <c r="B133" s="1"/>
      <c r="C133" s="1"/>
    </row>
    <row r="134" spans="1:3" ht="18.75" customHeight="1" x14ac:dyDescent="0.3">
      <c r="A134" s="1"/>
      <c r="B134" s="1"/>
      <c r="C134" s="1"/>
    </row>
    <row r="135" spans="1:3" ht="18.75" customHeight="1" x14ac:dyDescent="0.3">
      <c r="A135" s="1"/>
      <c r="B135" s="1"/>
      <c r="C135" s="1"/>
    </row>
    <row r="136" spans="1:3" ht="18.75" customHeight="1" x14ac:dyDescent="0.3">
      <c r="A136" s="1"/>
      <c r="B136" s="1"/>
      <c r="C136" s="1"/>
    </row>
    <row r="137" spans="1:3" ht="18.75" customHeight="1" x14ac:dyDescent="0.3">
      <c r="A137" s="1"/>
      <c r="B137" s="1"/>
      <c r="C137" s="1"/>
    </row>
    <row r="138" spans="1:3" ht="18.75" customHeight="1" x14ac:dyDescent="0.3">
      <c r="A138" s="1"/>
      <c r="B138" s="1"/>
      <c r="C138" s="1"/>
    </row>
    <row r="139" spans="1:3" ht="18.75" customHeight="1" x14ac:dyDescent="0.3">
      <c r="A139" s="1"/>
      <c r="B139" s="1"/>
      <c r="C139" s="1"/>
    </row>
    <row r="140" spans="1:3" ht="18.75" customHeight="1" x14ac:dyDescent="0.3">
      <c r="A140" s="1"/>
      <c r="B140" s="1"/>
      <c r="C140" s="1"/>
    </row>
    <row r="141" spans="1:3" ht="18.75" customHeight="1" x14ac:dyDescent="0.3">
      <c r="A141" s="1"/>
      <c r="B141" s="1"/>
      <c r="C141" s="1"/>
    </row>
  </sheetData>
  <pageMargins left="0.25" right="0.25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3933-9662-49C3-90B1-33BFDB6FDF87}">
  <sheetPr>
    <tabColor rgb="FF7030A0"/>
  </sheetPr>
  <dimension ref="A1:X74"/>
  <sheetViews>
    <sheetView zoomScale="90" zoomScaleNormal="90" workbookViewId="0">
      <pane ySplit="1" topLeftCell="A23" activePane="bottomLeft" state="frozen"/>
      <selection pane="bottomLeft" activeCell="U47" sqref="U47"/>
    </sheetView>
  </sheetViews>
  <sheetFormatPr defaultColWidth="9.1796875" defaultRowHeight="14.5" x14ac:dyDescent="0.35"/>
  <cols>
    <col min="1" max="1" width="11" style="55" customWidth="1"/>
    <col min="2" max="2" width="12.26953125" style="55" customWidth="1"/>
    <col min="3" max="3" width="13.26953125" style="55" customWidth="1"/>
    <col min="4" max="4" width="13.54296875" style="55" customWidth="1"/>
    <col min="5" max="5" width="12.453125" style="55" customWidth="1"/>
    <col min="6" max="6" width="8.7265625"/>
    <col min="7" max="7" width="11" style="55" customWidth="1"/>
    <col min="8" max="8" width="9.26953125" style="55" bestFit="1" customWidth="1"/>
    <col min="9" max="9" width="12.81640625" style="55" customWidth="1"/>
    <col min="10" max="12" width="10.26953125" customWidth="1"/>
    <col min="13" max="14" width="9.26953125" style="55" bestFit="1" customWidth="1"/>
    <col min="15" max="15" width="9.81640625" style="55" bestFit="1" customWidth="1"/>
    <col min="16" max="16" width="11.81640625" customWidth="1"/>
    <col min="17" max="17" width="12" style="55" customWidth="1"/>
    <col min="18" max="18" width="11.81640625" style="55" customWidth="1"/>
    <col min="19" max="19" width="11.54296875" style="55" customWidth="1"/>
    <col min="20" max="20" width="12.54296875" style="55" customWidth="1"/>
    <col min="21" max="21" width="12.453125" customWidth="1"/>
    <col min="22" max="22" width="11.54296875" style="55" customWidth="1"/>
    <col min="23" max="23" width="9.81640625" style="55" customWidth="1"/>
    <col min="24" max="24" width="11.453125" style="55" customWidth="1"/>
    <col min="25" max="16384" width="9.1796875" style="55"/>
  </cols>
  <sheetData>
    <row r="1" spans="1:24" ht="65.5" thickBot="1" x14ac:dyDescent="0.35">
      <c r="A1" s="281" t="s">
        <v>141</v>
      </c>
      <c r="B1" s="277" t="s">
        <v>199</v>
      </c>
      <c r="C1" s="277" t="s">
        <v>173</v>
      </c>
      <c r="D1" s="278" t="s">
        <v>144</v>
      </c>
      <c r="E1" s="278" t="s">
        <v>198</v>
      </c>
      <c r="F1" s="106" t="s">
        <v>176</v>
      </c>
      <c r="G1" s="284" t="s">
        <v>80</v>
      </c>
      <c r="H1" s="285" t="s">
        <v>81</v>
      </c>
      <c r="I1" s="285" t="s">
        <v>171</v>
      </c>
      <c r="J1" s="287" t="s">
        <v>165</v>
      </c>
      <c r="K1" s="288" t="s">
        <v>196</v>
      </c>
      <c r="L1" s="288" t="s">
        <v>169</v>
      </c>
      <c r="M1" s="285" t="s">
        <v>175</v>
      </c>
      <c r="N1" s="285" t="s">
        <v>86</v>
      </c>
      <c r="O1" s="285" t="s">
        <v>162</v>
      </c>
      <c r="P1" s="294" t="s">
        <v>179</v>
      </c>
      <c r="Q1" s="285" t="s">
        <v>163</v>
      </c>
      <c r="R1" s="285" t="s">
        <v>164</v>
      </c>
      <c r="S1" s="285" t="s">
        <v>174</v>
      </c>
      <c r="T1" s="285" t="s">
        <v>172</v>
      </c>
      <c r="U1" s="354" t="s">
        <v>166</v>
      </c>
      <c r="V1" s="285" t="s">
        <v>167</v>
      </c>
      <c r="W1" s="285" t="s">
        <v>87</v>
      </c>
      <c r="X1" s="286" t="s">
        <v>89</v>
      </c>
    </row>
    <row r="2" spans="1:24" x14ac:dyDescent="0.35">
      <c r="A2" s="73">
        <v>44200</v>
      </c>
      <c r="B2" s="340">
        <v>0.92200000000000004</v>
      </c>
      <c r="C2" s="340">
        <v>1.02</v>
      </c>
      <c r="D2" s="341"/>
      <c r="E2" s="341"/>
      <c r="F2" s="402"/>
      <c r="G2" s="289"/>
      <c r="H2" s="289"/>
      <c r="I2" s="342"/>
      <c r="J2" s="343"/>
      <c r="K2" s="343"/>
      <c r="L2" s="343"/>
      <c r="M2" s="342"/>
      <c r="N2" s="342"/>
      <c r="O2" s="342"/>
      <c r="P2" s="183"/>
      <c r="Q2" s="344"/>
      <c r="R2" s="342"/>
      <c r="S2" s="342"/>
      <c r="T2" s="342"/>
      <c r="U2" s="162"/>
      <c r="V2" s="344"/>
      <c r="W2" s="289">
        <f>L2+K2+J2+I2+H2+G2</f>
        <v>0</v>
      </c>
      <c r="X2" s="344">
        <f>V2+U2+T2+S2+R2+Q2+O2+N2</f>
        <v>0</v>
      </c>
    </row>
    <row r="3" spans="1:24" x14ac:dyDescent="0.35">
      <c r="A3" s="73">
        <v>44207</v>
      </c>
      <c r="B3" s="340">
        <v>0.92200000000000004</v>
      </c>
      <c r="C3" s="340">
        <v>0.9</v>
      </c>
      <c r="D3" s="341"/>
      <c r="E3" s="341">
        <v>587.4</v>
      </c>
      <c r="F3" s="403"/>
      <c r="G3" s="116"/>
      <c r="H3" s="116"/>
      <c r="I3" s="116"/>
      <c r="J3" s="343"/>
      <c r="K3" s="343"/>
      <c r="L3" s="343"/>
      <c r="M3" s="116"/>
      <c r="N3" s="345"/>
      <c r="O3" s="345"/>
      <c r="P3" s="163"/>
      <c r="Q3" s="345"/>
      <c r="R3" s="345"/>
      <c r="S3" s="345"/>
      <c r="T3" s="345"/>
      <c r="U3" s="162"/>
      <c r="V3" s="345"/>
      <c r="W3" s="289">
        <f t="shared" ref="W3:W64" si="0">L3+K3+J3+I3+H3+G3</f>
        <v>0</v>
      </c>
      <c r="X3" s="344">
        <f t="shared" ref="X3:X64" si="1">V3+U3+T3+S3+R3+Q3+O3+N3</f>
        <v>0</v>
      </c>
    </row>
    <row r="4" spans="1:24" x14ac:dyDescent="0.35">
      <c r="A4" s="73">
        <v>44214</v>
      </c>
      <c r="B4" s="340">
        <v>0.92200000000000004</v>
      </c>
      <c r="C4" s="340">
        <v>0.69</v>
      </c>
      <c r="D4" s="341"/>
      <c r="E4" s="341">
        <v>538.45000000000005</v>
      </c>
      <c r="F4" s="403"/>
      <c r="G4" s="289"/>
      <c r="H4" s="289"/>
      <c r="I4" s="289"/>
      <c r="J4" s="343"/>
      <c r="K4" s="343"/>
      <c r="L4" s="343"/>
      <c r="M4" s="289"/>
      <c r="N4" s="344"/>
      <c r="O4" s="344"/>
      <c r="P4" s="162"/>
      <c r="Q4" s="344"/>
      <c r="R4" s="344"/>
      <c r="S4" s="344"/>
      <c r="T4" s="344"/>
      <c r="U4" s="162"/>
      <c r="V4" s="344"/>
      <c r="W4" s="289">
        <f t="shared" si="0"/>
        <v>0</v>
      </c>
      <c r="X4" s="344">
        <f t="shared" si="1"/>
        <v>0</v>
      </c>
    </row>
    <row r="5" spans="1:24" x14ac:dyDescent="0.35">
      <c r="A5" s="73">
        <v>44221</v>
      </c>
      <c r="B5" s="340">
        <v>0.92200000000000004</v>
      </c>
      <c r="C5" s="340">
        <v>0.39</v>
      </c>
      <c r="D5" s="341">
        <v>723.81</v>
      </c>
      <c r="E5" s="341">
        <v>489.5</v>
      </c>
      <c r="F5" s="403"/>
      <c r="G5" s="289"/>
      <c r="H5" s="289"/>
      <c r="I5" s="289"/>
      <c r="J5" s="343"/>
      <c r="K5" s="343"/>
      <c r="L5" s="343"/>
      <c r="M5" s="289"/>
      <c r="N5" s="344"/>
      <c r="O5" s="344"/>
      <c r="P5" s="162"/>
      <c r="Q5" s="344"/>
      <c r="R5" s="344"/>
      <c r="S5" s="344"/>
      <c r="T5" s="344"/>
      <c r="U5" s="162">
        <v>-71.400000000000006</v>
      </c>
      <c r="V5" s="344"/>
      <c r="W5" s="289">
        <f t="shared" si="0"/>
        <v>0</v>
      </c>
      <c r="X5" s="344">
        <f t="shared" si="1"/>
        <v>-71.400000000000006</v>
      </c>
    </row>
    <row r="6" spans="1:24" ht="14" x14ac:dyDescent="0.3">
      <c r="A6" s="27" t="s">
        <v>152</v>
      </c>
      <c r="B6" s="339">
        <f>SUM(B2:B5)</f>
        <v>3.6880000000000002</v>
      </c>
      <c r="C6" s="339">
        <f t="shared" ref="C6:V6" si="2">SUM(C2:C5)</f>
        <v>3</v>
      </c>
      <c r="D6" s="339">
        <f t="shared" si="2"/>
        <v>723.81</v>
      </c>
      <c r="E6" s="339">
        <f t="shared" si="2"/>
        <v>1615.35</v>
      </c>
      <c r="F6" s="28">
        <f t="shared" ref="F6" si="3">SUM(F2:F5)</f>
        <v>0</v>
      </c>
      <c r="G6" s="339">
        <f t="shared" si="2"/>
        <v>0</v>
      </c>
      <c r="H6" s="339">
        <f t="shared" si="2"/>
        <v>0</v>
      </c>
      <c r="I6" s="339">
        <f t="shared" si="2"/>
        <v>0</v>
      </c>
      <c r="J6" s="339">
        <f t="shared" si="2"/>
        <v>0</v>
      </c>
      <c r="K6" s="339">
        <f t="shared" si="2"/>
        <v>0</v>
      </c>
      <c r="L6" s="339">
        <f t="shared" si="2"/>
        <v>0</v>
      </c>
      <c r="M6" s="339">
        <f t="shared" si="2"/>
        <v>0</v>
      </c>
      <c r="N6" s="339">
        <f t="shared" si="2"/>
        <v>0</v>
      </c>
      <c r="O6" s="339">
        <f t="shared" si="2"/>
        <v>0</v>
      </c>
      <c r="P6" s="39">
        <f t="shared" ref="P6" si="4">SUM(P2:P5)</f>
        <v>0</v>
      </c>
      <c r="Q6" s="339">
        <f t="shared" si="2"/>
        <v>0</v>
      </c>
      <c r="R6" s="339">
        <f t="shared" si="2"/>
        <v>0</v>
      </c>
      <c r="S6" s="339">
        <f t="shared" si="2"/>
        <v>0</v>
      </c>
      <c r="T6" s="339">
        <f t="shared" si="2"/>
        <v>0</v>
      </c>
      <c r="U6" s="401">
        <f>SUM(U2:U5)</f>
        <v>-71.400000000000006</v>
      </c>
      <c r="V6" s="339">
        <f t="shared" si="2"/>
        <v>0</v>
      </c>
      <c r="W6" s="290">
        <f t="shared" si="0"/>
        <v>0</v>
      </c>
      <c r="X6" s="346">
        <f t="shared" si="1"/>
        <v>-71.400000000000006</v>
      </c>
    </row>
    <row r="7" spans="1:24" x14ac:dyDescent="0.35">
      <c r="A7" s="19">
        <v>44228</v>
      </c>
      <c r="B7" s="340">
        <v>0.92</v>
      </c>
      <c r="C7" s="340">
        <v>0.65</v>
      </c>
      <c r="D7" s="341"/>
      <c r="E7" s="341"/>
      <c r="F7" s="403"/>
      <c r="G7" s="289"/>
      <c r="H7" s="289"/>
      <c r="I7" s="289"/>
      <c r="J7" s="343"/>
      <c r="K7" s="343"/>
      <c r="L7" s="343"/>
      <c r="M7" s="289"/>
      <c r="N7" s="344"/>
      <c r="O7" s="344"/>
      <c r="P7" s="162"/>
      <c r="Q7" s="344"/>
      <c r="R7" s="344"/>
      <c r="S7" s="344"/>
      <c r="T7" s="344"/>
      <c r="U7" s="162"/>
      <c r="V7" s="344"/>
      <c r="W7" s="289">
        <f t="shared" si="0"/>
        <v>0</v>
      </c>
      <c r="X7" s="344">
        <f t="shared" si="1"/>
        <v>0</v>
      </c>
    </row>
    <row r="8" spans="1:24" x14ac:dyDescent="0.35">
      <c r="A8" s="19">
        <v>44235</v>
      </c>
      <c r="B8" s="340">
        <v>0.92</v>
      </c>
      <c r="C8" s="340">
        <v>1.33</v>
      </c>
      <c r="D8" s="341"/>
      <c r="E8" s="341">
        <v>489.5</v>
      </c>
      <c r="F8" s="403"/>
      <c r="G8" s="116"/>
      <c r="H8" s="116"/>
      <c r="I8" s="289"/>
      <c r="J8" s="374"/>
      <c r="K8" s="374"/>
      <c r="L8" s="374"/>
      <c r="M8" s="289"/>
      <c r="N8" s="344"/>
      <c r="O8" s="345"/>
      <c r="P8" s="163"/>
      <c r="Q8" s="345"/>
      <c r="R8" s="344"/>
      <c r="S8" s="344"/>
      <c r="T8" s="344"/>
      <c r="U8" s="163"/>
      <c r="V8" s="345"/>
      <c r="W8" s="289">
        <f t="shared" si="0"/>
        <v>0</v>
      </c>
      <c r="X8" s="344">
        <f t="shared" si="1"/>
        <v>0</v>
      </c>
    </row>
    <row r="9" spans="1:24" x14ac:dyDescent="0.35">
      <c r="A9" s="19">
        <v>44242</v>
      </c>
      <c r="B9" s="340">
        <v>0.92</v>
      </c>
      <c r="C9" s="340">
        <v>0.2</v>
      </c>
      <c r="D9" s="341"/>
      <c r="E9" s="341">
        <v>206.85</v>
      </c>
      <c r="F9" s="403"/>
      <c r="G9" s="289"/>
      <c r="H9" s="289"/>
      <c r="I9" s="116"/>
      <c r="J9" s="374"/>
      <c r="K9" s="374"/>
      <c r="L9" s="374"/>
      <c r="M9" s="116"/>
      <c r="N9" s="345"/>
      <c r="O9" s="344"/>
      <c r="P9" s="162"/>
      <c r="Q9" s="344"/>
      <c r="R9" s="345"/>
      <c r="S9" s="345"/>
      <c r="T9" s="345"/>
      <c r="U9" s="162"/>
      <c r="V9" s="344"/>
      <c r="W9" s="289">
        <f t="shared" si="0"/>
        <v>0</v>
      </c>
      <c r="X9" s="344">
        <f t="shared" si="1"/>
        <v>0</v>
      </c>
    </row>
    <row r="10" spans="1:24" x14ac:dyDescent="0.35">
      <c r="A10" s="19">
        <v>44249</v>
      </c>
      <c r="B10" s="340">
        <v>0.92</v>
      </c>
      <c r="C10" s="340">
        <v>0.57999999999999996</v>
      </c>
      <c r="D10" s="341">
        <v>637.98</v>
      </c>
      <c r="E10" s="341"/>
      <c r="F10" s="403"/>
      <c r="G10" s="289">
        <v>1.583</v>
      </c>
      <c r="H10" s="289"/>
      <c r="I10" s="289"/>
      <c r="J10" s="374"/>
      <c r="K10" s="374"/>
      <c r="L10" s="374"/>
      <c r="M10" s="289"/>
      <c r="N10" s="344"/>
      <c r="O10" s="344"/>
      <c r="P10" s="162"/>
      <c r="Q10" s="344">
        <v>-526.55999999999995</v>
      </c>
      <c r="R10" s="344"/>
      <c r="S10" s="344"/>
      <c r="T10" s="344"/>
      <c r="U10" s="162">
        <v>-75.599999999999994</v>
      </c>
      <c r="V10" s="344"/>
      <c r="W10" s="289">
        <f t="shared" si="0"/>
        <v>1.583</v>
      </c>
      <c r="X10" s="344">
        <f t="shared" si="1"/>
        <v>-602.16</v>
      </c>
    </row>
    <row r="11" spans="1:24" ht="14" x14ac:dyDescent="0.3">
      <c r="A11" s="27" t="s">
        <v>153</v>
      </c>
      <c r="B11" s="339">
        <f>SUM(B7:B10)</f>
        <v>3.68</v>
      </c>
      <c r="C11" s="339">
        <f t="shared" ref="C11:V11" si="5">SUM(C7:C10)</f>
        <v>2.7600000000000002</v>
      </c>
      <c r="D11" s="339">
        <f t="shared" si="5"/>
        <v>637.98</v>
      </c>
      <c r="E11" s="339">
        <f t="shared" si="5"/>
        <v>696.35</v>
      </c>
      <c r="F11" s="28">
        <f t="shared" ref="F11" si="6">SUM(F7:F10)</f>
        <v>0</v>
      </c>
      <c r="G11" s="339">
        <f t="shared" si="5"/>
        <v>1.583</v>
      </c>
      <c r="H11" s="339">
        <f t="shared" si="5"/>
        <v>0</v>
      </c>
      <c r="I11" s="339">
        <f t="shared" si="5"/>
        <v>0</v>
      </c>
      <c r="J11" s="339">
        <f t="shared" si="5"/>
        <v>0</v>
      </c>
      <c r="K11" s="339">
        <f t="shared" si="5"/>
        <v>0</v>
      </c>
      <c r="L11" s="339">
        <f t="shared" si="5"/>
        <v>0</v>
      </c>
      <c r="M11" s="339">
        <f t="shared" si="5"/>
        <v>0</v>
      </c>
      <c r="N11" s="339">
        <f t="shared" si="5"/>
        <v>0</v>
      </c>
      <c r="O11" s="339">
        <f t="shared" si="5"/>
        <v>0</v>
      </c>
      <c r="P11" s="39">
        <f t="shared" ref="P11" si="7">SUM(P7:P10)</f>
        <v>0</v>
      </c>
      <c r="Q11" s="339">
        <f t="shared" si="5"/>
        <v>-526.55999999999995</v>
      </c>
      <c r="R11" s="339">
        <f t="shared" si="5"/>
        <v>0</v>
      </c>
      <c r="S11" s="339">
        <f t="shared" si="5"/>
        <v>0</v>
      </c>
      <c r="T11" s="339">
        <f t="shared" si="5"/>
        <v>0</v>
      </c>
      <c r="U11" s="401">
        <f>SUM(U7:U10)</f>
        <v>-75.599999999999994</v>
      </c>
      <c r="V11" s="339">
        <f t="shared" si="5"/>
        <v>0</v>
      </c>
      <c r="W11" s="290">
        <f t="shared" si="0"/>
        <v>1.583</v>
      </c>
      <c r="X11" s="346">
        <f t="shared" si="1"/>
        <v>-602.16</v>
      </c>
    </row>
    <row r="12" spans="1:24" x14ac:dyDescent="0.35">
      <c r="A12" s="19">
        <v>44256</v>
      </c>
      <c r="B12" s="340">
        <v>0.92</v>
      </c>
      <c r="C12" s="340">
        <v>0.44</v>
      </c>
      <c r="D12" s="341"/>
      <c r="E12" s="341"/>
      <c r="F12" s="403"/>
      <c r="G12" s="289"/>
      <c r="H12" s="289"/>
      <c r="I12" s="289"/>
      <c r="J12" s="374"/>
      <c r="K12" s="374"/>
      <c r="L12" s="374"/>
      <c r="M12" s="289"/>
      <c r="N12" s="344"/>
      <c r="O12" s="344"/>
      <c r="P12" s="162"/>
      <c r="Q12" s="344"/>
      <c r="R12" s="344"/>
      <c r="S12" s="344"/>
      <c r="T12" s="344"/>
      <c r="U12" s="162"/>
      <c r="V12" s="344"/>
      <c r="W12" s="289">
        <f t="shared" si="0"/>
        <v>0</v>
      </c>
      <c r="X12" s="344">
        <f t="shared" si="1"/>
        <v>0</v>
      </c>
    </row>
    <row r="13" spans="1:24" x14ac:dyDescent="0.35">
      <c r="A13" s="19">
        <v>44263</v>
      </c>
      <c r="B13" s="340">
        <v>0.92</v>
      </c>
      <c r="C13" s="340">
        <v>0.2</v>
      </c>
      <c r="D13" s="341"/>
      <c r="E13" s="341">
        <v>269.75</v>
      </c>
      <c r="F13" s="403"/>
      <c r="G13" s="116"/>
      <c r="H13" s="116"/>
      <c r="I13" s="289"/>
      <c r="J13" s="374">
        <v>2</v>
      </c>
      <c r="K13" s="374"/>
      <c r="L13" s="374"/>
      <c r="M13" s="289"/>
      <c r="N13" s="344"/>
      <c r="O13" s="345"/>
      <c r="P13" s="163"/>
      <c r="Q13" s="345"/>
      <c r="R13" s="344"/>
      <c r="S13" s="344"/>
      <c r="T13" s="344">
        <v>-188.21</v>
      </c>
      <c r="U13" s="163"/>
      <c r="V13" s="345"/>
      <c r="W13" s="289">
        <f t="shared" si="0"/>
        <v>2</v>
      </c>
      <c r="X13" s="344">
        <f t="shared" si="1"/>
        <v>-188.21</v>
      </c>
    </row>
    <row r="14" spans="1:24" x14ac:dyDescent="0.35">
      <c r="A14" s="19">
        <v>44270</v>
      </c>
      <c r="B14" s="340">
        <v>0.92</v>
      </c>
      <c r="C14" s="340">
        <v>0.93</v>
      </c>
      <c r="D14" s="341"/>
      <c r="E14" s="341">
        <v>538.45000000000005</v>
      </c>
      <c r="F14" s="403"/>
      <c r="G14" s="289"/>
      <c r="H14" s="289"/>
      <c r="I14" s="116"/>
      <c r="J14" s="374"/>
      <c r="K14" s="374"/>
      <c r="L14" s="374"/>
      <c r="M14" s="116"/>
      <c r="N14" s="345"/>
      <c r="O14" s="344">
        <v>792.96</v>
      </c>
      <c r="P14" s="162"/>
      <c r="Q14" s="344"/>
      <c r="R14" s="345"/>
      <c r="S14" s="345"/>
      <c r="T14" s="345"/>
      <c r="U14" s="162"/>
      <c r="V14" s="344"/>
      <c r="W14" s="289">
        <f t="shared" si="0"/>
        <v>0</v>
      </c>
      <c r="X14" s="344">
        <f t="shared" si="1"/>
        <v>792.96</v>
      </c>
    </row>
    <row r="15" spans="1:24" x14ac:dyDescent="0.35">
      <c r="A15" s="19">
        <v>44277</v>
      </c>
      <c r="B15" s="340">
        <v>0.92</v>
      </c>
      <c r="C15" s="340">
        <v>0.33</v>
      </c>
      <c r="D15" s="341"/>
      <c r="E15" s="341">
        <v>377.65</v>
      </c>
      <c r="F15" s="403"/>
      <c r="G15" s="289"/>
      <c r="H15" s="289"/>
      <c r="I15" s="289"/>
      <c r="J15" s="374"/>
      <c r="K15" s="374"/>
      <c r="L15" s="374"/>
      <c r="M15" s="289"/>
      <c r="N15" s="344"/>
      <c r="O15" s="344"/>
      <c r="P15" s="162"/>
      <c r="Q15" s="344"/>
      <c r="R15" s="344"/>
      <c r="S15" s="344"/>
      <c r="T15" s="344"/>
      <c r="U15" s="162"/>
      <c r="V15" s="344"/>
      <c r="W15" s="289">
        <f t="shared" si="0"/>
        <v>0</v>
      </c>
      <c r="X15" s="344">
        <f t="shared" si="1"/>
        <v>0</v>
      </c>
    </row>
    <row r="16" spans="1:24" x14ac:dyDescent="0.35">
      <c r="A16" s="19">
        <v>44284</v>
      </c>
      <c r="B16" s="340">
        <v>0.92</v>
      </c>
      <c r="C16" s="340">
        <v>0.32</v>
      </c>
      <c r="D16" s="341">
        <v>613.04999999999995</v>
      </c>
      <c r="E16" s="341">
        <v>323.7</v>
      </c>
      <c r="F16" s="404"/>
      <c r="G16" s="289"/>
      <c r="H16" s="289"/>
      <c r="I16" s="289"/>
      <c r="J16" s="374"/>
      <c r="K16" s="374"/>
      <c r="L16" s="374"/>
      <c r="M16" s="289"/>
      <c r="N16" s="344"/>
      <c r="O16" s="344"/>
      <c r="P16" s="162"/>
      <c r="Q16" s="344"/>
      <c r="R16" s="344"/>
      <c r="S16" s="344"/>
      <c r="T16" s="344"/>
      <c r="U16" s="162">
        <v>-828.45</v>
      </c>
      <c r="V16" s="344"/>
      <c r="W16" s="289">
        <f t="shared" si="0"/>
        <v>0</v>
      </c>
      <c r="X16" s="344">
        <f t="shared" si="1"/>
        <v>-828.45</v>
      </c>
    </row>
    <row r="17" spans="1:24" ht="14" x14ac:dyDescent="0.3">
      <c r="A17" s="27" t="s">
        <v>154</v>
      </c>
      <c r="B17" s="339">
        <f>SUM(B12:B16)</f>
        <v>4.6000000000000005</v>
      </c>
      <c r="C17" s="339">
        <f>SUM(C12:C16)</f>
        <v>2.2200000000000002</v>
      </c>
      <c r="D17" s="339">
        <f>SUM(D12:D16)</f>
        <v>613.04999999999995</v>
      </c>
      <c r="E17" s="339">
        <f>SUM(E12:E16)</f>
        <v>1509.55</v>
      </c>
      <c r="F17" s="28">
        <f t="shared" ref="F17" si="8">SUM(F12:F16)</f>
        <v>0</v>
      </c>
      <c r="G17" s="339">
        <f>SUM(G12:G16)</f>
        <v>0</v>
      </c>
      <c r="H17" s="339">
        <f t="shared" ref="H17:V17" si="9">SUM(H12:H16)</f>
        <v>0</v>
      </c>
      <c r="I17" s="339">
        <f t="shared" si="9"/>
        <v>0</v>
      </c>
      <c r="J17" s="339">
        <f t="shared" si="9"/>
        <v>2</v>
      </c>
      <c r="K17" s="339">
        <f t="shared" si="9"/>
        <v>0</v>
      </c>
      <c r="L17" s="339">
        <f t="shared" si="9"/>
        <v>0</v>
      </c>
      <c r="M17" s="339">
        <f t="shared" si="9"/>
        <v>0</v>
      </c>
      <c r="N17" s="339">
        <f t="shared" si="9"/>
        <v>0</v>
      </c>
      <c r="O17" s="339">
        <f t="shared" si="9"/>
        <v>792.96</v>
      </c>
      <c r="P17" s="39">
        <f t="shared" ref="P17" si="10">SUM(P12:P16)</f>
        <v>0</v>
      </c>
      <c r="Q17" s="339">
        <f t="shared" si="9"/>
        <v>0</v>
      </c>
      <c r="R17" s="339">
        <f t="shared" si="9"/>
        <v>0</v>
      </c>
      <c r="S17" s="339">
        <f t="shared" si="9"/>
        <v>0</v>
      </c>
      <c r="T17" s="339">
        <f t="shared" si="9"/>
        <v>-188.21</v>
      </c>
      <c r="U17" s="40">
        <f>SUM(U12:U16)</f>
        <v>-828.45</v>
      </c>
      <c r="V17" s="339">
        <f t="shared" si="9"/>
        <v>0</v>
      </c>
      <c r="W17" s="290">
        <f t="shared" si="0"/>
        <v>2</v>
      </c>
      <c r="X17" s="346">
        <f t="shared" si="1"/>
        <v>-223.70000000000005</v>
      </c>
    </row>
    <row r="18" spans="1:24" x14ac:dyDescent="0.35">
      <c r="A18" s="19">
        <v>44291</v>
      </c>
      <c r="B18" s="340">
        <v>0.92</v>
      </c>
      <c r="C18" s="340"/>
      <c r="D18" s="341"/>
      <c r="E18" s="341"/>
      <c r="F18" s="404"/>
      <c r="G18" s="289"/>
      <c r="H18" s="289"/>
      <c r="I18" s="116"/>
      <c r="J18" s="374"/>
      <c r="K18" s="374"/>
      <c r="L18" s="374"/>
      <c r="M18" s="116"/>
      <c r="N18" s="345"/>
      <c r="O18" s="344"/>
      <c r="P18" s="162"/>
      <c r="Q18" s="344"/>
      <c r="R18" s="345"/>
      <c r="S18" s="345"/>
      <c r="T18" s="345"/>
      <c r="U18" s="162"/>
      <c r="V18" s="344"/>
      <c r="W18" s="289">
        <f>L18+K18+J18+I18+H18+G18</f>
        <v>0</v>
      </c>
      <c r="X18" s="344">
        <f t="shared" si="1"/>
        <v>0</v>
      </c>
    </row>
    <row r="19" spans="1:24" x14ac:dyDescent="0.35">
      <c r="A19" s="19">
        <v>44298</v>
      </c>
      <c r="B19" s="340">
        <v>0.92</v>
      </c>
      <c r="C19" s="340">
        <v>0.52</v>
      </c>
      <c r="D19" s="341"/>
      <c r="E19" s="341"/>
      <c r="F19" s="404"/>
      <c r="G19" s="289"/>
      <c r="H19" s="289"/>
      <c r="I19" s="289"/>
      <c r="J19" s="374"/>
      <c r="K19" s="374">
        <v>5.8419177498387995</v>
      </c>
      <c r="L19" s="374"/>
      <c r="M19" s="289"/>
      <c r="N19" s="344"/>
      <c r="O19" s="344"/>
      <c r="P19" s="162"/>
      <c r="Q19" s="344"/>
      <c r="R19" s="344"/>
      <c r="S19" s="344"/>
      <c r="T19" s="344"/>
      <c r="U19" s="162"/>
      <c r="V19" s="344"/>
      <c r="W19" s="289">
        <f t="shared" si="0"/>
        <v>5.8419177498387995</v>
      </c>
      <c r="X19" s="344">
        <f t="shared" si="1"/>
        <v>0</v>
      </c>
    </row>
    <row r="20" spans="1:24" x14ac:dyDescent="0.35">
      <c r="A20" s="19">
        <v>44305</v>
      </c>
      <c r="B20" s="340">
        <v>0.92</v>
      </c>
      <c r="C20" s="340">
        <v>0.73</v>
      </c>
      <c r="D20" s="341"/>
      <c r="E20" s="341"/>
      <c r="F20" s="403"/>
      <c r="G20" s="289"/>
      <c r="H20" s="289"/>
      <c r="I20" s="289"/>
      <c r="J20" s="374"/>
      <c r="K20" s="374"/>
      <c r="L20" s="374"/>
      <c r="M20" s="289"/>
      <c r="N20" s="344"/>
      <c r="O20" s="344"/>
      <c r="P20" s="162"/>
      <c r="Q20" s="344"/>
      <c r="R20" s="344"/>
      <c r="S20" s="344"/>
      <c r="T20" s="344"/>
      <c r="U20" s="162"/>
      <c r="V20" s="344"/>
      <c r="W20" s="289">
        <f t="shared" si="0"/>
        <v>0</v>
      </c>
      <c r="X20" s="344">
        <f t="shared" si="1"/>
        <v>0</v>
      </c>
    </row>
    <row r="21" spans="1:24" x14ac:dyDescent="0.35">
      <c r="A21" s="19">
        <v>44312</v>
      </c>
      <c r="B21" s="340">
        <v>0.92</v>
      </c>
      <c r="C21" s="340">
        <v>0.67</v>
      </c>
      <c r="D21" s="341">
        <v>619.88</v>
      </c>
      <c r="E21" s="341">
        <v>440.55</v>
      </c>
      <c r="F21" s="404"/>
      <c r="G21" s="289">
        <v>1.1599999999999999</v>
      </c>
      <c r="H21" s="289"/>
      <c r="I21" s="289"/>
      <c r="J21" s="374"/>
      <c r="K21" s="374"/>
      <c r="L21" s="374"/>
      <c r="M21" s="289"/>
      <c r="N21" s="344"/>
      <c r="O21" s="344"/>
      <c r="P21" s="162"/>
      <c r="Q21" s="344">
        <v>-386.19</v>
      </c>
      <c r="R21" s="344"/>
      <c r="S21" s="344"/>
      <c r="T21" s="344"/>
      <c r="U21" s="162">
        <v>-113.4</v>
      </c>
      <c r="V21" s="344"/>
      <c r="W21" s="289">
        <f t="shared" si="0"/>
        <v>1.1599999999999999</v>
      </c>
      <c r="X21" s="344">
        <f t="shared" si="1"/>
        <v>-499.59000000000003</v>
      </c>
    </row>
    <row r="22" spans="1:24" ht="14" x14ac:dyDescent="0.3">
      <c r="A22" s="27" t="s">
        <v>155</v>
      </c>
      <c r="B22" s="339">
        <f>SUM(B18:B21)</f>
        <v>3.68</v>
      </c>
      <c r="C22" s="339">
        <f>SUM(C18:C21)</f>
        <v>1.92</v>
      </c>
      <c r="D22" s="339">
        <f>SUM(D18:D21)</f>
        <v>619.88</v>
      </c>
      <c r="E22" s="339">
        <f>SUM(E18:E21)</f>
        <v>440.55</v>
      </c>
      <c r="F22" s="28">
        <f t="shared" ref="F22" si="11">SUM(F18:F21)</f>
        <v>0</v>
      </c>
      <c r="G22" s="339">
        <f>SUM(G18:G21)</f>
        <v>1.1599999999999999</v>
      </c>
      <c r="H22" s="339">
        <f t="shared" ref="H22:V22" si="12">SUM(H18:H21)</f>
        <v>0</v>
      </c>
      <c r="I22" s="339">
        <f t="shared" si="12"/>
        <v>0</v>
      </c>
      <c r="J22" s="339">
        <f t="shared" si="12"/>
        <v>0</v>
      </c>
      <c r="K22" s="339">
        <f t="shared" si="12"/>
        <v>5.8419177498387995</v>
      </c>
      <c r="L22" s="339">
        <f t="shared" si="12"/>
        <v>0</v>
      </c>
      <c r="M22" s="339">
        <f t="shared" si="12"/>
        <v>0</v>
      </c>
      <c r="N22" s="339">
        <f t="shared" si="12"/>
        <v>0</v>
      </c>
      <c r="O22" s="339">
        <f t="shared" si="12"/>
        <v>0</v>
      </c>
      <c r="P22" s="39">
        <f t="shared" ref="P22" si="13">SUM(P18:P21)</f>
        <v>0</v>
      </c>
      <c r="Q22" s="339">
        <f t="shared" si="12"/>
        <v>-386.19</v>
      </c>
      <c r="R22" s="339">
        <f t="shared" si="12"/>
        <v>0</v>
      </c>
      <c r="S22" s="339">
        <f t="shared" si="12"/>
        <v>0</v>
      </c>
      <c r="T22" s="339">
        <f t="shared" si="12"/>
        <v>0</v>
      </c>
      <c r="U22" s="40">
        <f>SUM(U18:U21)</f>
        <v>-113.4</v>
      </c>
      <c r="V22" s="339">
        <f t="shared" si="12"/>
        <v>0</v>
      </c>
      <c r="W22" s="290">
        <f t="shared" si="0"/>
        <v>7.0019177498387997</v>
      </c>
      <c r="X22" s="346">
        <f t="shared" si="1"/>
        <v>-499.59000000000003</v>
      </c>
    </row>
    <row r="23" spans="1:24" x14ac:dyDescent="0.35">
      <c r="A23" s="283">
        <v>44319</v>
      </c>
      <c r="B23" s="340">
        <v>0.92</v>
      </c>
      <c r="C23" s="340">
        <v>0.42</v>
      </c>
      <c r="D23" s="341"/>
      <c r="E23" s="341"/>
      <c r="F23" s="405"/>
      <c r="G23" s="347"/>
      <c r="H23" s="347"/>
      <c r="I23" s="347"/>
      <c r="J23" s="374"/>
      <c r="K23" s="374"/>
      <c r="L23" s="374"/>
      <c r="M23" s="347"/>
      <c r="N23" s="347"/>
      <c r="O23" s="347"/>
      <c r="P23" s="236"/>
      <c r="Q23" s="347"/>
      <c r="R23" s="347"/>
      <c r="S23" s="347"/>
      <c r="T23" s="347"/>
      <c r="U23" s="162"/>
      <c r="V23" s="347"/>
      <c r="W23" s="289">
        <f t="shared" si="0"/>
        <v>0</v>
      </c>
      <c r="X23" s="344">
        <f t="shared" si="1"/>
        <v>0</v>
      </c>
    </row>
    <row r="24" spans="1:24" x14ac:dyDescent="0.35">
      <c r="A24" s="283">
        <v>44326</v>
      </c>
      <c r="B24" s="340">
        <v>0.92</v>
      </c>
      <c r="C24" s="340">
        <v>0.45</v>
      </c>
      <c r="D24" s="341"/>
      <c r="E24" s="341"/>
      <c r="F24" s="405"/>
      <c r="G24" s="347"/>
      <c r="H24" s="347">
        <v>1.746</v>
      </c>
      <c r="I24" s="347"/>
      <c r="J24" s="374"/>
      <c r="K24" s="374"/>
      <c r="L24" s="374"/>
      <c r="M24" s="347"/>
      <c r="N24" s="347"/>
      <c r="O24" s="347"/>
      <c r="P24" s="236"/>
      <c r="Q24" s="347"/>
      <c r="R24" s="347">
        <v>-401.49</v>
      </c>
      <c r="S24" s="347"/>
      <c r="T24" s="347"/>
      <c r="U24" s="162"/>
      <c r="V24" s="347"/>
      <c r="W24" s="289">
        <f t="shared" si="0"/>
        <v>1.746</v>
      </c>
      <c r="X24" s="344">
        <f t="shared" si="1"/>
        <v>-401.49</v>
      </c>
    </row>
    <row r="25" spans="1:24" x14ac:dyDescent="0.35">
      <c r="A25" s="283">
        <v>44333</v>
      </c>
      <c r="B25" s="340">
        <v>0.92</v>
      </c>
      <c r="C25" s="340">
        <v>0.81</v>
      </c>
      <c r="D25" s="341"/>
      <c r="E25" s="341"/>
      <c r="F25" s="402"/>
      <c r="G25" s="289"/>
      <c r="H25" s="289"/>
      <c r="I25" s="289"/>
      <c r="J25" s="374"/>
      <c r="K25" s="374"/>
      <c r="L25" s="374"/>
      <c r="M25" s="289"/>
      <c r="N25" s="344"/>
      <c r="O25" s="344"/>
      <c r="P25" s="161"/>
      <c r="Q25" s="344"/>
      <c r="R25" s="344"/>
      <c r="S25" s="344"/>
      <c r="T25" s="344"/>
      <c r="U25" s="162"/>
      <c r="V25" s="344"/>
      <c r="W25" s="289">
        <f t="shared" si="0"/>
        <v>0</v>
      </c>
      <c r="X25" s="344">
        <f t="shared" si="1"/>
        <v>0</v>
      </c>
    </row>
    <row r="26" spans="1:24" x14ac:dyDescent="0.35">
      <c r="A26" s="283">
        <v>44340</v>
      </c>
      <c r="B26" s="340">
        <v>0.92</v>
      </c>
      <c r="C26" s="340">
        <v>0.56000000000000005</v>
      </c>
      <c r="D26" s="341"/>
      <c r="E26" s="341">
        <v>699.02</v>
      </c>
      <c r="F26" s="403"/>
      <c r="G26" s="289"/>
      <c r="H26" s="289"/>
      <c r="I26" s="289"/>
      <c r="J26" s="374"/>
      <c r="K26" s="374"/>
      <c r="L26" s="374"/>
      <c r="M26" s="289"/>
      <c r="N26" s="344"/>
      <c r="O26" s="344"/>
      <c r="P26" s="162"/>
      <c r="Q26" s="344"/>
      <c r="R26" s="344"/>
      <c r="S26" s="344"/>
      <c r="T26" s="344"/>
      <c r="U26" s="162"/>
      <c r="V26" s="344"/>
      <c r="W26" s="289">
        <f t="shared" si="0"/>
        <v>0</v>
      </c>
      <c r="X26" s="344">
        <f t="shared" si="1"/>
        <v>0</v>
      </c>
    </row>
    <row r="27" spans="1:24" x14ac:dyDescent="0.35">
      <c r="A27" s="283">
        <v>44347</v>
      </c>
      <c r="B27" s="340">
        <v>0.92</v>
      </c>
      <c r="C27" s="340">
        <v>0.1</v>
      </c>
      <c r="D27" s="341">
        <v>619.88</v>
      </c>
      <c r="E27" s="341">
        <v>385.21</v>
      </c>
      <c r="F27" s="403"/>
      <c r="G27" s="289"/>
      <c r="H27" s="289"/>
      <c r="I27" s="289"/>
      <c r="J27" s="374"/>
      <c r="K27" s="374"/>
      <c r="L27" s="374"/>
      <c r="M27" s="289"/>
      <c r="N27" s="344"/>
      <c r="O27" s="344"/>
      <c r="P27" s="162"/>
      <c r="Q27" s="344"/>
      <c r="R27" s="344"/>
      <c r="S27" s="344"/>
      <c r="T27" s="344"/>
      <c r="U27" s="162">
        <v>-37.799999999999997</v>
      </c>
      <c r="V27" s="344"/>
      <c r="W27" s="289">
        <f t="shared" si="0"/>
        <v>0</v>
      </c>
      <c r="X27" s="344">
        <f t="shared" si="1"/>
        <v>-37.799999999999997</v>
      </c>
    </row>
    <row r="28" spans="1:24" ht="14" x14ac:dyDescent="0.3">
      <c r="A28" s="27" t="s">
        <v>157</v>
      </c>
      <c r="B28" s="339">
        <f>SUM(B23:B27)</f>
        <v>4.6000000000000005</v>
      </c>
      <c r="C28" s="339">
        <f>SUM(C23:C27)</f>
        <v>2.3400000000000003</v>
      </c>
      <c r="D28" s="339">
        <f>SUM(D23:D27)</f>
        <v>619.88</v>
      </c>
      <c r="E28" s="339">
        <f>SUM(E23:E27)</f>
        <v>1084.23</v>
      </c>
      <c r="F28" s="28">
        <f t="shared" ref="F28" si="14">SUM(F23:F27)</f>
        <v>0</v>
      </c>
      <c r="G28" s="339">
        <f>SUM(G23:G27)</f>
        <v>0</v>
      </c>
      <c r="H28" s="339">
        <f t="shared" ref="H28:V28" si="15">SUM(H23:H27)</f>
        <v>1.746</v>
      </c>
      <c r="I28" s="339">
        <f t="shared" si="15"/>
        <v>0</v>
      </c>
      <c r="J28" s="339">
        <f t="shared" si="15"/>
        <v>0</v>
      </c>
      <c r="K28" s="339">
        <f t="shared" si="15"/>
        <v>0</v>
      </c>
      <c r="L28" s="339">
        <f t="shared" si="15"/>
        <v>0</v>
      </c>
      <c r="M28" s="339">
        <f t="shared" si="15"/>
        <v>0</v>
      </c>
      <c r="N28" s="339">
        <f t="shared" si="15"/>
        <v>0</v>
      </c>
      <c r="O28" s="339">
        <f t="shared" si="15"/>
        <v>0</v>
      </c>
      <c r="P28" s="39">
        <f t="shared" ref="P28" si="16">SUM(P23:P27)</f>
        <v>0</v>
      </c>
      <c r="Q28" s="339">
        <f t="shared" si="15"/>
        <v>0</v>
      </c>
      <c r="R28" s="339">
        <f t="shared" si="15"/>
        <v>-401.49</v>
      </c>
      <c r="S28" s="339">
        <f t="shared" si="15"/>
        <v>0</v>
      </c>
      <c r="T28" s="339">
        <f t="shared" si="15"/>
        <v>0</v>
      </c>
      <c r="U28" s="401">
        <f>SUM(U23:U27)</f>
        <v>-37.799999999999997</v>
      </c>
      <c r="V28" s="339">
        <f t="shared" si="15"/>
        <v>0</v>
      </c>
      <c r="W28" s="290">
        <f t="shared" si="0"/>
        <v>1.746</v>
      </c>
      <c r="X28" s="346">
        <f t="shared" si="1"/>
        <v>-439.29</v>
      </c>
    </row>
    <row r="29" spans="1:24" x14ac:dyDescent="0.35">
      <c r="A29" s="19">
        <v>44354</v>
      </c>
      <c r="B29" s="340">
        <v>0.92</v>
      </c>
      <c r="C29" s="340">
        <v>0.28999999999999998</v>
      </c>
      <c r="D29" s="341"/>
      <c r="E29" s="341"/>
      <c r="F29" s="403"/>
      <c r="G29" s="289"/>
      <c r="H29" s="289"/>
      <c r="I29" s="289"/>
      <c r="J29" s="374"/>
      <c r="K29" s="374"/>
      <c r="L29" s="374"/>
      <c r="M29" s="289"/>
      <c r="N29" s="344"/>
      <c r="O29" s="344"/>
      <c r="P29" s="162"/>
      <c r="Q29" s="344"/>
      <c r="R29" s="344"/>
      <c r="S29" s="344"/>
      <c r="T29" s="344"/>
      <c r="U29" s="162"/>
      <c r="V29" s="344"/>
      <c r="W29" s="289">
        <f t="shared" si="0"/>
        <v>0</v>
      </c>
      <c r="X29" s="344">
        <f t="shared" si="1"/>
        <v>0</v>
      </c>
    </row>
    <row r="30" spans="1:24" x14ac:dyDescent="0.35">
      <c r="A30" s="19">
        <v>44361</v>
      </c>
      <c r="B30" s="340">
        <f>0.92+1.94</f>
        <v>2.86</v>
      </c>
      <c r="C30" s="340">
        <v>2.54</v>
      </c>
      <c r="D30" s="341"/>
      <c r="E30" s="341"/>
      <c r="F30" s="403"/>
      <c r="G30" s="116"/>
      <c r="H30" s="116"/>
      <c r="I30" s="289"/>
      <c r="J30" s="374"/>
      <c r="K30" s="374"/>
      <c r="L30" s="374"/>
      <c r="M30" s="289"/>
      <c r="N30" s="344"/>
      <c r="O30" s="345"/>
      <c r="P30" s="162"/>
      <c r="Q30" s="345"/>
      <c r="R30" s="344"/>
      <c r="S30" s="344"/>
      <c r="T30" s="344"/>
      <c r="U30" s="163"/>
      <c r="V30" s="345"/>
      <c r="W30" s="289">
        <f t="shared" si="0"/>
        <v>0</v>
      </c>
      <c r="X30" s="344">
        <f t="shared" si="1"/>
        <v>0</v>
      </c>
    </row>
    <row r="31" spans="1:24" x14ac:dyDescent="0.35">
      <c r="A31" s="19">
        <v>44368</v>
      </c>
      <c r="B31" s="340">
        <v>0.92</v>
      </c>
      <c r="C31" s="340"/>
      <c r="D31" s="341"/>
      <c r="E31" s="341"/>
      <c r="F31" s="403"/>
      <c r="G31" s="289"/>
      <c r="H31" s="289"/>
      <c r="I31" s="116"/>
      <c r="J31" s="374"/>
      <c r="K31" s="374"/>
      <c r="L31" s="374"/>
      <c r="M31" s="116"/>
      <c r="N31" s="345"/>
      <c r="O31" s="344"/>
      <c r="P31" s="162"/>
      <c r="Q31" s="344"/>
      <c r="R31" s="345"/>
      <c r="S31" s="345"/>
      <c r="T31" s="345"/>
      <c r="U31" s="162"/>
      <c r="V31" s="344"/>
      <c r="W31" s="289">
        <f t="shared" si="0"/>
        <v>0</v>
      </c>
      <c r="X31" s="344">
        <f t="shared" si="1"/>
        <v>0</v>
      </c>
    </row>
    <row r="32" spans="1:24" x14ac:dyDescent="0.35">
      <c r="A32" s="19">
        <v>44375</v>
      </c>
      <c r="B32" s="340">
        <v>0.92</v>
      </c>
      <c r="C32" s="340">
        <v>0.96</v>
      </c>
      <c r="D32" s="341">
        <v>619.88</v>
      </c>
      <c r="E32" s="341">
        <v>1530</v>
      </c>
      <c r="F32" s="403"/>
      <c r="G32" s="289"/>
      <c r="H32" s="289"/>
      <c r="I32" s="289"/>
      <c r="J32" s="374"/>
      <c r="K32" s="374"/>
      <c r="L32" s="374"/>
      <c r="M32" s="289"/>
      <c r="N32" s="344"/>
      <c r="O32" s="344"/>
      <c r="P32" s="162"/>
      <c r="Q32" s="344"/>
      <c r="R32" s="344"/>
      <c r="S32" s="344"/>
      <c r="T32" s="344"/>
      <c r="U32" s="162">
        <v>-21</v>
      </c>
      <c r="V32" s="344"/>
      <c r="W32" s="289">
        <f t="shared" si="0"/>
        <v>0</v>
      </c>
      <c r="X32" s="344">
        <f t="shared" si="1"/>
        <v>-21</v>
      </c>
    </row>
    <row r="33" spans="1:24" ht="14" x14ac:dyDescent="0.3">
      <c r="A33" s="27" t="s">
        <v>158</v>
      </c>
      <c r="B33" s="339">
        <f>SUM(B29:B32)</f>
        <v>5.62</v>
      </c>
      <c r="C33" s="339">
        <f>SUM(C29:C32)</f>
        <v>3.79</v>
      </c>
      <c r="D33" s="339">
        <f>SUM(D29:D32)</f>
        <v>619.88</v>
      </c>
      <c r="E33" s="339">
        <f>SUM(E29:E32)</f>
        <v>1530</v>
      </c>
      <c r="F33" s="28">
        <f t="shared" ref="F33" si="17">SUM(F29:F32)</f>
        <v>0</v>
      </c>
      <c r="G33" s="339">
        <f>SUM(G29:G32)</f>
        <v>0</v>
      </c>
      <c r="H33" s="339">
        <f t="shared" ref="H33:V33" si="18">SUM(H29:H32)</f>
        <v>0</v>
      </c>
      <c r="I33" s="339">
        <f t="shared" si="18"/>
        <v>0</v>
      </c>
      <c r="J33" s="339">
        <f t="shared" si="18"/>
        <v>0</v>
      </c>
      <c r="K33" s="339">
        <f t="shared" si="18"/>
        <v>0</v>
      </c>
      <c r="L33" s="339">
        <f t="shared" si="18"/>
        <v>0</v>
      </c>
      <c r="M33" s="339">
        <f t="shared" si="18"/>
        <v>0</v>
      </c>
      <c r="N33" s="339">
        <f t="shared" si="18"/>
        <v>0</v>
      </c>
      <c r="O33" s="339">
        <f t="shared" si="18"/>
        <v>0</v>
      </c>
      <c r="P33" s="39">
        <f t="shared" ref="P33" si="19">SUM(P29:P32)</f>
        <v>0</v>
      </c>
      <c r="Q33" s="339">
        <f t="shared" si="18"/>
        <v>0</v>
      </c>
      <c r="R33" s="339">
        <f t="shared" si="18"/>
        <v>0</v>
      </c>
      <c r="S33" s="339">
        <f t="shared" si="18"/>
        <v>0</v>
      </c>
      <c r="T33" s="339">
        <f t="shared" si="18"/>
        <v>0</v>
      </c>
      <c r="U33" s="401">
        <f>SUM(U29:U32)</f>
        <v>-21</v>
      </c>
      <c r="V33" s="339">
        <f t="shared" si="18"/>
        <v>0</v>
      </c>
      <c r="W33" s="290">
        <f t="shared" si="0"/>
        <v>0</v>
      </c>
      <c r="X33" s="346">
        <f t="shared" si="1"/>
        <v>-21</v>
      </c>
    </row>
    <row r="34" spans="1:24" x14ac:dyDescent="0.35">
      <c r="A34" s="19">
        <v>44382</v>
      </c>
      <c r="B34" s="340"/>
      <c r="C34" s="340"/>
      <c r="D34" s="341"/>
      <c r="E34" s="341"/>
      <c r="F34" s="403"/>
      <c r="G34" s="289"/>
      <c r="H34" s="289"/>
      <c r="I34" s="289"/>
      <c r="J34" s="374"/>
      <c r="K34" s="374"/>
      <c r="L34" s="374"/>
      <c r="M34" s="289"/>
      <c r="N34" s="344"/>
      <c r="O34" s="344"/>
      <c r="P34" s="162"/>
      <c r="Q34" s="344"/>
      <c r="R34" s="344"/>
      <c r="S34" s="344"/>
      <c r="T34" s="344"/>
      <c r="U34" s="162"/>
      <c r="V34" s="344"/>
      <c r="W34" s="289">
        <f t="shared" si="0"/>
        <v>0</v>
      </c>
      <c r="X34" s="344">
        <f t="shared" si="1"/>
        <v>0</v>
      </c>
    </row>
    <row r="35" spans="1:24" x14ac:dyDescent="0.35">
      <c r="A35" s="19">
        <v>44389</v>
      </c>
      <c r="B35" s="340"/>
      <c r="C35" s="340"/>
      <c r="D35" s="341"/>
      <c r="E35" s="341"/>
      <c r="F35" s="403"/>
      <c r="G35" s="116"/>
      <c r="H35" s="116"/>
      <c r="I35" s="289"/>
      <c r="J35" s="374"/>
      <c r="K35" s="374">
        <v>27.079322999999999</v>
      </c>
      <c r="L35" s="374"/>
      <c r="M35" s="289"/>
      <c r="N35" s="344"/>
      <c r="O35" s="345"/>
      <c r="P35" s="163"/>
      <c r="Q35" s="345"/>
      <c r="R35" s="344"/>
      <c r="S35" s="344"/>
      <c r="T35" s="344"/>
      <c r="U35" s="163"/>
      <c r="V35" s="345"/>
      <c r="W35" s="289">
        <f t="shared" si="0"/>
        <v>27.079322999999999</v>
      </c>
      <c r="X35" s="344">
        <f t="shared" si="1"/>
        <v>0</v>
      </c>
    </row>
    <row r="36" spans="1:24" x14ac:dyDescent="0.35">
      <c r="A36" s="19">
        <v>44396</v>
      </c>
      <c r="B36" s="340"/>
      <c r="C36" s="340">
        <v>1.62</v>
      </c>
      <c r="D36" s="341"/>
      <c r="E36" s="341"/>
      <c r="F36" s="403"/>
      <c r="G36" s="289"/>
      <c r="H36" s="289"/>
      <c r="I36" s="116"/>
      <c r="J36" s="374"/>
      <c r="K36" s="374"/>
      <c r="L36" s="374"/>
      <c r="M36" s="116"/>
      <c r="N36" s="345"/>
      <c r="O36" s="344"/>
      <c r="P36" s="162"/>
      <c r="Q36" s="344"/>
      <c r="R36" s="345"/>
      <c r="S36" s="345"/>
      <c r="T36" s="345"/>
      <c r="U36" s="162"/>
      <c r="V36" s="344"/>
      <c r="W36" s="289">
        <f t="shared" si="0"/>
        <v>0</v>
      </c>
      <c r="X36" s="344">
        <f t="shared" si="1"/>
        <v>0</v>
      </c>
    </row>
    <row r="37" spans="1:24" x14ac:dyDescent="0.35">
      <c r="A37" s="19">
        <v>44403</v>
      </c>
      <c r="B37" s="340"/>
      <c r="C37" s="340"/>
      <c r="D37" s="341">
        <v>619.88</v>
      </c>
      <c r="E37" s="341"/>
      <c r="F37" s="403"/>
      <c r="G37" s="289"/>
      <c r="H37" s="289"/>
      <c r="I37" s="289"/>
      <c r="J37" s="374"/>
      <c r="K37" s="374"/>
      <c r="L37" s="374"/>
      <c r="M37" s="289"/>
      <c r="N37" s="344"/>
      <c r="O37" s="344"/>
      <c r="P37" s="162"/>
      <c r="Q37" s="344"/>
      <c r="R37" s="344"/>
      <c r="S37" s="344"/>
      <c r="T37" s="344"/>
      <c r="U37" s="162">
        <v>-29.4</v>
      </c>
      <c r="V37" s="344"/>
      <c r="W37" s="289">
        <f t="shared" si="0"/>
        <v>0</v>
      </c>
      <c r="X37" s="344">
        <f t="shared" si="1"/>
        <v>-29.4</v>
      </c>
    </row>
    <row r="38" spans="1:24" ht="14" x14ac:dyDescent="0.3">
      <c r="A38" s="27" t="s">
        <v>159</v>
      </c>
      <c r="B38" s="339">
        <f>SUM(B34:B37)</f>
        <v>0</v>
      </c>
      <c r="C38" s="339">
        <f>SUM(C34:C37)</f>
        <v>1.62</v>
      </c>
      <c r="D38" s="339">
        <f>SUM(D34:D37)</f>
        <v>619.88</v>
      </c>
      <c r="E38" s="339">
        <f>SUM(E34:E37)</f>
        <v>0</v>
      </c>
      <c r="F38" s="28">
        <f t="shared" ref="F38" si="20">SUM(F34:F37)</f>
        <v>0</v>
      </c>
      <c r="G38" s="339">
        <f>SUM(G34:G37)</f>
        <v>0</v>
      </c>
      <c r="H38" s="339">
        <f t="shared" ref="H38:V38" si="21">SUM(H34:H37)</f>
        <v>0</v>
      </c>
      <c r="I38" s="339">
        <f t="shared" si="21"/>
        <v>0</v>
      </c>
      <c r="J38" s="339">
        <f t="shared" si="21"/>
        <v>0</v>
      </c>
      <c r="K38" s="339">
        <f t="shared" si="21"/>
        <v>27.079322999999999</v>
      </c>
      <c r="L38" s="339">
        <f t="shared" si="21"/>
        <v>0</v>
      </c>
      <c r="M38" s="339">
        <f t="shared" si="21"/>
        <v>0</v>
      </c>
      <c r="N38" s="339">
        <f t="shared" si="21"/>
        <v>0</v>
      </c>
      <c r="O38" s="339">
        <f t="shared" si="21"/>
        <v>0</v>
      </c>
      <c r="P38" s="39">
        <f t="shared" ref="P38" si="22">SUM(P34:P37)</f>
        <v>0</v>
      </c>
      <c r="Q38" s="339">
        <f t="shared" si="21"/>
        <v>0</v>
      </c>
      <c r="R38" s="339">
        <f t="shared" si="21"/>
        <v>0</v>
      </c>
      <c r="S38" s="339">
        <f t="shared" si="21"/>
        <v>0</v>
      </c>
      <c r="T38" s="339">
        <f t="shared" si="21"/>
        <v>0</v>
      </c>
      <c r="U38" s="401">
        <f>SUM(U34:U37)</f>
        <v>-29.4</v>
      </c>
      <c r="V38" s="339">
        <f t="shared" si="21"/>
        <v>0</v>
      </c>
      <c r="W38" s="290">
        <f t="shared" si="0"/>
        <v>27.079322999999999</v>
      </c>
      <c r="X38" s="346">
        <f t="shared" si="1"/>
        <v>-29.4</v>
      </c>
    </row>
    <row r="39" spans="1:24" x14ac:dyDescent="0.35">
      <c r="A39" s="19">
        <v>44410</v>
      </c>
      <c r="B39" s="340"/>
      <c r="C39" s="340"/>
      <c r="D39" s="341"/>
      <c r="E39" s="341"/>
      <c r="F39" s="304"/>
      <c r="G39" s="116"/>
      <c r="H39" s="116"/>
      <c r="I39" s="289"/>
      <c r="J39" s="374"/>
      <c r="K39" s="374"/>
      <c r="L39" s="374"/>
      <c r="M39" s="289"/>
      <c r="N39" s="344"/>
      <c r="O39" s="345"/>
      <c r="P39" s="163"/>
      <c r="Q39" s="345"/>
      <c r="R39" s="344"/>
      <c r="S39" s="344"/>
      <c r="T39" s="344"/>
      <c r="U39" s="163"/>
      <c r="V39" s="345"/>
      <c r="W39" s="289">
        <f t="shared" si="0"/>
        <v>0</v>
      </c>
      <c r="X39" s="344">
        <f t="shared" si="1"/>
        <v>0</v>
      </c>
    </row>
    <row r="40" spans="1:24" x14ac:dyDescent="0.35">
      <c r="A40" s="19">
        <v>44417</v>
      </c>
      <c r="B40" s="340"/>
      <c r="C40" s="340"/>
      <c r="D40" s="341"/>
      <c r="E40" s="341"/>
      <c r="F40" s="306"/>
      <c r="G40" s="289"/>
      <c r="H40" s="289"/>
      <c r="I40" s="116"/>
      <c r="J40" s="374"/>
      <c r="K40" s="374"/>
      <c r="L40" s="374"/>
      <c r="M40" s="116"/>
      <c r="N40" s="345"/>
      <c r="O40" s="344"/>
      <c r="P40" s="162"/>
      <c r="Q40" s="344"/>
      <c r="R40" s="345"/>
      <c r="S40" s="345"/>
      <c r="T40" s="345"/>
      <c r="U40" s="162"/>
      <c r="V40" s="344"/>
      <c r="W40" s="289">
        <f t="shared" si="0"/>
        <v>0</v>
      </c>
      <c r="X40" s="344">
        <f t="shared" si="1"/>
        <v>0</v>
      </c>
    </row>
    <row r="41" spans="1:24" x14ac:dyDescent="0.35">
      <c r="A41" s="19">
        <v>44424</v>
      </c>
      <c r="B41" s="340"/>
      <c r="C41" s="340"/>
      <c r="D41" s="341"/>
      <c r="E41" s="341"/>
      <c r="F41" s="399"/>
      <c r="G41" s="289"/>
      <c r="H41" s="289"/>
      <c r="I41" s="289"/>
      <c r="J41" s="374"/>
      <c r="K41" s="374"/>
      <c r="L41" s="374"/>
      <c r="M41" s="289"/>
      <c r="N41" s="344"/>
      <c r="O41" s="344"/>
      <c r="P41" s="162"/>
      <c r="Q41" s="344"/>
      <c r="R41" s="344"/>
      <c r="S41" s="344"/>
      <c r="T41" s="344"/>
      <c r="U41" s="162"/>
      <c r="V41" s="344"/>
      <c r="W41" s="289">
        <f t="shared" si="0"/>
        <v>0</v>
      </c>
      <c r="X41" s="344">
        <f t="shared" si="1"/>
        <v>0</v>
      </c>
    </row>
    <row r="42" spans="1:24" x14ac:dyDescent="0.35">
      <c r="A42" s="19">
        <v>44431</v>
      </c>
      <c r="B42" s="340"/>
      <c r="C42" s="340"/>
      <c r="D42" s="341"/>
      <c r="E42" s="341"/>
      <c r="F42" s="306"/>
      <c r="G42" s="289"/>
      <c r="H42" s="289"/>
      <c r="I42" s="289"/>
      <c r="J42" s="374"/>
      <c r="K42" s="374"/>
      <c r="L42" s="374"/>
      <c r="M42" s="289"/>
      <c r="N42" s="344"/>
      <c r="O42" s="344"/>
      <c r="P42" s="162"/>
      <c r="Q42" s="344"/>
      <c r="R42" s="344"/>
      <c r="S42" s="344"/>
      <c r="T42" s="344"/>
      <c r="U42" s="162">
        <v>-33.6</v>
      </c>
      <c r="V42" s="344"/>
      <c r="W42" s="289">
        <f t="shared" si="0"/>
        <v>0</v>
      </c>
      <c r="X42" s="344">
        <f t="shared" si="1"/>
        <v>-33.6</v>
      </c>
    </row>
    <row r="43" spans="1:24" x14ac:dyDescent="0.35">
      <c r="A43" s="19">
        <v>44438</v>
      </c>
      <c r="B43" s="340"/>
      <c r="C43" s="340"/>
      <c r="D43" s="341">
        <v>619.88</v>
      </c>
      <c r="E43" s="341"/>
      <c r="F43" s="306"/>
      <c r="G43" s="289"/>
      <c r="H43" s="289"/>
      <c r="I43" s="289"/>
      <c r="J43" s="374"/>
      <c r="K43" s="374"/>
      <c r="L43" s="374"/>
      <c r="M43" s="289"/>
      <c r="N43" s="344"/>
      <c r="O43" s="344"/>
      <c r="P43" s="162"/>
      <c r="Q43" s="344"/>
      <c r="R43" s="344"/>
      <c r="S43" s="344"/>
      <c r="T43" s="344"/>
      <c r="U43" s="162"/>
      <c r="V43" s="344"/>
      <c r="W43" s="289">
        <f t="shared" si="0"/>
        <v>0</v>
      </c>
      <c r="X43" s="344">
        <f t="shared" si="1"/>
        <v>0</v>
      </c>
    </row>
    <row r="44" spans="1:24" ht="14" x14ac:dyDescent="0.3">
      <c r="A44" s="27" t="s">
        <v>168</v>
      </c>
      <c r="B44" s="339">
        <f>SUM(B39:B43)</f>
        <v>0</v>
      </c>
      <c r="C44" s="339">
        <f>SUM(C39:C43)</f>
        <v>0</v>
      </c>
      <c r="D44" s="339">
        <f>SUM(D39:D43)</f>
        <v>619.88</v>
      </c>
      <c r="E44" s="339">
        <f>SUM(E39:E43)</f>
        <v>0</v>
      </c>
      <c r="F44" s="339">
        <f t="shared" ref="F44" si="23">SUM(F39:F43)</f>
        <v>0</v>
      </c>
      <c r="G44" s="339">
        <f>SUM(G39:G43)</f>
        <v>0</v>
      </c>
      <c r="H44" s="339">
        <f t="shared" ref="H44:V44" si="24">SUM(H39:H43)</f>
        <v>0</v>
      </c>
      <c r="I44" s="339">
        <f t="shared" si="24"/>
        <v>0</v>
      </c>
      <c r="J44" s="339">
        <f t="shared" si="24"/>
        <v>0</v>
      </c>
      <c r="K44" s="339">
        <f t="shared" si="24"/>
        <v>0</v>
      </c>
      <c r="L44" s="339">
        <f t="shared" si="24"/>
        <v>0</v>
      </c>
      <c r="M44" s="339">
        <f t="shared" si="24"/>
        <v>0</v>
      </c>
      <c r="N44" s="339">
        <f t="shared" si="24"/>
        <v>0</v>
      </c>
      <c r="O44" s="339">
        <f t="shared" si="24"/>
        <v>0</v>
      </c>
      <c r="P44" s="40">
        <f t="shared" si="24"/>
        <v>0</v>
      </c>
      <c r="Q44" s="339">
        <f t="shared" si="24"/>
        <v>0</v>
      </c>
      <c r="R44" s="339">
        <f t="shared" si="24"/>
        <v>0</v>
      </c>
      <c r="S44" s="339">
        <f t="shared" si="24"/>
        <v>0</v>
      </c>
      <c r="T44" s="339">
        <f t="shared" si="24"/>
        <v>0</v>
      </c>
      <c r="U44" s="401">
        <f>SUM(U39:U43)</f>
        <v>-33.6</v>
      </c>
      <c r="V44" s="339">
        <f t="shared" si="24"/>
        <v>0</v>
      </c>
      <c r="W44" s="290">
        <f t="shared" si="0"/>
        <v>0</v>
      </c>
      <c r="X44" s="346">
        <f t="shared" si="1"/>
        <v>-33.6</v>
      </c>
    </row>
    <row r="45" spans="1:24" x14ac:dyDescent="0.35">
      <c r="A45" s="19">
        <v>44445</v>
      </c>
      <c r="B45" s="340"/>
      <c r="C45" s="340"/>
      <c r="D45" s="341"/>
      <c r="E45" s="341"/>
      <c r="F45" s="399"/>
      <c r="G45" s="116"/>
      <c r="H45" s="116"/>
      <c r="I45" s="289"/>
      <c r="J45" s="374"/>
      <c r="K45" s="374"/>
      <c r="L45" s="374"/>
      <c r="M45" s="289"/>
      <c r="N45" s="344"/>
      <c r="O45" s="345"/>
      <c r="P45" s="162"/>
      <c r="Q45" s="345"/>
      <c r="R45" s="344"/>
      <c r="S45" s="344"/>
      <c r="T45" s="344"/>
      <c r="U45" s="163"/>
      <c r="V45" s="345"/>
      <c r="W45" s="289">
        <f t="shared" si="0"/>
        <v>0</v>
      </c>
      <c r="X45" s="344">
        <f t="shared" si="1"/>
        <v>0</v>
      </c>
    </row>
    <row r="46" spans="1:24" x14ac:dyDescent="0.35">
      <c r="A46" s="19">
        <v>44455</v>
      </c>
      <c r="B46" s="340"/>
      <c r="C46" s="340"/>
      <c r="D46" s="341"/>
      <c r="E46" s="341"/>
      <c r="F46" s="400"/>
      <c r="G46" s="289"/>
      <c r="H46" s="289"/>
      <c r="I46" s="116"/>
      <c r="J46" s="374"/>
      <c r="K46" s="374"/>
      <c r="L46" s="374"/>
      <c r="M46" s="116"/>
      <c r="N46" s="345"/>
      <c r="O46" s="344"/>
      <c r="P46" s="162">
        <v>-100.12</v>
      </c>
      <c r="Q46" s="344"/>
      <c r="R46" s="345"/>
      <c r="S46" s="345"/>
      <c r="T46" s="345"/>
      <c r="U46" s="162"/>
      <c r="V46" s="344"/>
      <c r="W46" s="289">
        <f t="shared" si="0"/>
        <v>0</v>
      </c>
      <c r="X46" s="344">
        <f t="shared" si="1"/>
        <v>0</v>
      </c>
    </row>
    <row r="47" spans="1:24" x14ac:dyDescent="0.35">
      <c r="A47" s="19">
        <v>44465</v>
      </c>
      <c r="B47" s="340"/>
      <c r="C47" s="340"/>
      <c r="D47" s="341">
        <v>827.19</v>
      </c>
      <c r="E47" s="341"/>
      <c r="F47" s="304">
        <v>0.85899999999999999</v>
      </c>
      <c r="G47" s="289"/>
      <c r="H47" s="289"/>
      <c r="I47" s="116"/>
      <c r="J47" s="374"/>
      <c r="K47" s="374"/>
      <c r="L47" s="374"/>
      <c r="M47" s="116"/>
      <c r="N47" s="345"/>
      <c r="O47" s="344"/>
      <c r="P47" s="162">
        <v>-115.26</v>
      </c>
      <c r="Q47" s="344"/>
      <c r="R47" s="345"/>
      <c r="S47" s="345"/>
      <c r="T47" s="345"/>
      <c r="U47" s="162">
        <v>-438.9</v>
      </c>
      <c r="V47" s="344"/>
      <c r="W47" s="289">
        <f t="shared" si="0"/>
        <v>0</v>
      </c>
      <c r="X47" s="344">
        <f t="shared" si="1"/>
        <v>-438.9</v>
      </c>
    </row>
    <row r="48" spans="1:24" ht="14" x14ac:dyDescent="0.3">
      <c r="A48" s="68" t="s">
        <v>180</v>
      </c>
      <c r="B48" s="339">
        <f>SUM(B45:B47)</f>
        <v>0</v>
      </c>
      <c r="C48" s="339">
        <f>SUM(C45:C47)</f>
        <v>0</v>
      </c>
      <c r="D48" s="339">
        <f>SUM(D45:D47)</f>
        <v>827.19</v>
      </c>
      <c r="E48" s="339">
        <f>SUM(E45:E47)</f>
        <v>0</v>
      </c>
      <c r="F48" s="29">
        <f t="shared" ref="F48" si="25">SUM(F45:F47)</f>
        <v>0.85899999999999999</v>
      </c>
      <c r="G48" s="339">
        <f>SUM(G45:G47)</f>
        <v>0</v>
      </c>
      <c r="H48" s="339">
        <f t="shared" ref="H48:V48" si="26">SUM(H45:H47)</f>
        <v>0</v>
      </c>
      <c r="I48" s="339">
        <f t="shared" si="26"/>
        <v>0</v>
      </c>
      <c r="J48" s="339">
        <f t="shared" si="26"/>
        <v>0</v>
      </c>
      <c r="K48" s="339">
        <f t="shared" si="26"/>
        <v>0</v>
      </c>
      <c r="L48" s="339">
        <f t="shared" si="26"/>
        <v>0</v>
      </c>
      <c r="M48" s="339">
        <f t="shared" si="26"/>
        <v>0</v>
      </c>
      <c r="N48" s="339">
        <f t="shared" si="26"/>
        <v>0</v>
      </c>
      <c r="O48" s="339">
        <f t="shared" si="26"/>
        <v>0</v>
      </c>
      <c r="P48" s="39">
        <f t="shared" si="26"/>
        <v>-215.38</v>
      </c>
      <c r="Q48" s="339">
        <f t="shared" si="26"/>
        <v>0</v>
      </c>
      <c r="R48" s="339">
        <f t="shared" si="26"/>
        <v>0</v>
      </c>
      <c r="S48" s="339">
        <f t="shared" si="26"/>
        <v>0</v>
      </c>
      <c r="T48" s="339">
        <f t="shared" si="26"/>
        <v>0</v>
      </c>
      <c r="U48" s="401">
        <f>SUM(U45:U47)</f>
        <v>-438.9</v>
      </c>
      <c r="V48" s="339">
        <f t="shared" si="26"/>
        <v>0</v>
      </c>
      <c r="W48" s="290">
        <f t="shared" si="0"/>
        <v>0</v>
      </c>
      <c r="X48" s="346">
        <f t="shared" si="1"/>
        <v>-438.9</v>
      </c>
    </row>
    <row r="49" spans="1:24" x14ac:dyDescent="0.35">
      <c r="A49" s="19">
        <v>44473</v>
      </c>
      <c r="B49" s="340"/>
      <c r="C49" s="340"/>
      <c r="D49" s="341"/>
      <c r="E49" s="341"/>
      <c r="F49" s="304">
        <v>0.93200000000000005</v>
      </c>
      <c r="G49" s="366">
        <v>1.452</v>
      </c>
      <c r="H49" s="116"/>
      <c r="I49" s="289"/>
      <c r="J49" s="374"/>
      <c r="K49" s="374"/>
      <c r="L49" s="374"/>
      <c r="M49" s="289"/>
      <c r="N49" s="344"/>
      <c r="O49" s="345"/>
      <c r="P49" s="162">
        <v>-33.51</v>
      </c>
      <c r="Q49" s="163">
        <v>-459.99</v>
      </c>
      <c r="R49" s="344"/>
      <c r="S49" s="344"/>
      <c r="T49" s="344"/>
      <c r="U49" s="163"/>
      <c r="V49" s="345"/>
      <c r="W49" s="289">
        <f>L49+K49+J49+I49+H49+G49</f>
        <v>1.452</v>
      </c>
      <c r="X49" s="344">
        <f t="shared" si="1"/>
        <v>-459.99</v>
      </c>
    </row>
    <row r="50" spans="1:24" x14ac:dyDescent="0.35">
      <c r="A50" s="19">
        <v>44480</v>
      </c>
      <c r="B50" s="340"/>
      <c r="C50" s="340"/>
      <c r="D50" s="341"/>
      <c r="E50" s="341"/>
      <c r="F50" s="400"/>
      <c r="G50" s="289"/>
      <c r="H50" s="289"/>
      <c r="I50" s="116"/>
      <c r="J50" s="374"/>
      <c r="K50" s="374">
        <v>12.364863400000001</v>
      </c>
      <c r="L50" s="374"/>
      <c r="M50" s="116"/>
      <c r="N50" s="345"/>
      <c r="O50" s="344"/>
      <c r="P50" s="162"/>
      <c r="Q50" s="344"/>
      <c r="R50" s="345"/>
      <c r="S50" s="345"/>
      <c r="T50" s="345"/>
      <c r="U50" s="162"/>
      <c r="V50" s="344"/>
      <c r="W50" s="289">
        <f t="shared" si="0"/>
        <v>12.364863400000001</v>
      </c>
      <c r="X50" s="344">
        <f t="shared" si="1"/>
        <v>0</v>
      </c>
    </row>
    <row r="51" spans="1:24" x14ac:dyDescent="0.35">
      <c r="A51" s="19">
        <v>44487</v>
      </c>
      <c r="B51" s="340"/>
      <c r="C51" s="340"/>
      <c r="D51" s="341"/>
      <c r="E51" s="341"/>
      <c r="F51" s="304">
        <v>2.3260000000000001</v>
      </c>
      <c r="G51" s="289"/>
      <c r="H51" s="289"/>
      <c r="I51" s="289"/>
      <c r="J51" s="374"/>
      <c r="K51" s="374"/>
      <c r="L51" s="374"/>
      <c r="M51" s="289"/>
      <c r="N51" s="344"/>
      <c r="O51" s="344"/>
      <c r="P51" s="162">
        <v>-143.37</v>
      </c>
      <c r="Q51" s="344"/>
      <c r="R51" s="344"/>
      <c r="S51" s="344"/>
      <c r="T51" s="344"/>
      <c r="U51" s="162"/>
      <c r="V51" s="344"/>
      <c r="W51" s="289">
        <f t="shared" si="0"/>
        <v>0</v>
      </c>
      <c r="X51" s="344">
        <f t="shared" si="1"/>
        <v>0</v>
      </c>
    </row>
    <row r="52" spans="1:24" x14ac:dyDescent="0.35">
      <c r="A52" s="19">
        <v>44494</v>
      </c>
      <c r="B52" s="340"/>
      <c r="C52" s="340"/>
      <c r="D52" s="341">
        <v>712.53</v>
      </c>
      <c r="E52" s="341"/>
      <c r="F52" s="304">
        <v>0.98499999999999999</v>
      </c>
      <c r="G52" s="289"/>
      <c r="H52" s="289"/>
      <c r="I52" s="289"/>
      <c r="J52" s="374"/>
      <c r="K52" s="374"/>
      <c r="L52" s="374"/>
      <c r="M52" s="289"/>
      <c r="N52" s="344"/>
      <c r="O52" s="344"/>
      <c r="P52" s="162"/>
      <c r="Q52" s="344"/>
      <c r="R52" s="344"/>
      <c r="S52" s="344"/>
      <c r="T52" s="344"/>
      <c r="U52" s="162">
        <v>-42</v>
      </c>
      <c r="V52" s="344"/>
      <c r="W52" s="289">
        <f t="shared" si="0"/>
        <v>0</v>
      </c>
      <c r="X52" s="344">
        <f t="shared" si="1"/>
        <v>-42</v>
      </c>
    </row>
    <row r="53" spans="1:24" ht="14" x14ac:dyDescent="0.3">
      <c r="A53" s="27"/>
      <c r="B53" s="339">
        <f>SUM(B49:B52)</f>
        <v>0</v>
      </c>
      <c r="C53" s="339">
        <f>SUM(C49:C52)</f>
        <v>0</v>
      </c>
      <c r="D53" s="339">
        <f>SUM(D49:D52)</f>
        <v>712.53</v>
      </c>
      <c r="E53" s="339">
        <f>SUM(E49:E52)</f>
        <v>0</v>
      </c>
      <c r="F53" s="28">
        <f t="shared" ref="F53" si="27">SUM(F49:F52)</f>
        <v>4.2430000000000003</v>
      </c>
      <c r="G53" s="339">
        <f>SUM(G49:G52)</f>
        <v>1.452</v>
      </c>
      <c r="H53" s="339">
        <f t="shared" ref="H53:V53" si="28">SUM(H49:H52)</f>
        <v>0</v>
      </c>
      <c r="I53" s="339">
        <f t="shared" si="28"/>
        <v>0</v>
      </c>
      <c r="J53" s="339">
        <f t="shared" si="28"/>
        <v>0</v>
      </c>
      <c r="K53" s="339">
        <f t="shared" si="28"/>
        <v>12.364863400000001</v>
      </c>
      <c r="L53" s="339">
        <f t="shared" si="28"/>
        <v>0</v>
      </c>
      <c r="M53" s="339">
        <f t="shared" si="28"/>
        <v>0</v>
      </c>
      <c r="N53" s="339">
        <f t="shared" si="28"/>
        <v>0</v>
      </c>
      <c r="O53" s="339">
        <f t="shared" si="28"/>
        <v>0</v>
      </c>
      <c r="P53" s="39">
        <f t="shared" ref="P53" si="29">SUM(P49:P52)</f>
        <v>-176.88</v>
      </c>
      <c r="Q53" s="339">
        <f t="shared" si="28"/>
        <v>-459.99</v>
      </c>
      <c r="R53" s="339">
        <f t="shared" si="28"/>
        <v>0</v>
      </c>
      <c r="S53" s="339">
        <f t="shared" si="28"/>
        <v>0</v>
      </c>
      <c r="T53" s="339">
        <f t="shared" si="28"/>
        <v>0</v>
      </c>
      <c r="U53" s="401">
        <f>SUM(U49:U52)</f>
        <v>-42</v>
      </c>
      <c r="V53" s="339">
        <f t="shared" si="28"/>
        <v>0</v>
      </c>
      <c r="W53" s="290">
        <f t="shared" si="0"/>
        <v>13.816863400000001</v>
      </c>
      <c r="X53" s="346">
        <f t="shared" si="1"/>
        <v>-501.99</v>
      </c>
    </row>
    <row r="54" spans="1:24" x14ac:dyDescent="0.35">
      <c r="A54" s="19">
        <v>44501</v>
      </c>
      <c r="B54" s="340"/>
      <c r="C54" s="340"/>
      <c r="D54" s="341"/>
      <c r="E54" s="341"/>
      <c r="F54" s="304">
        <v>2.395</v>
      </c>
      <c r="G54" s="289"/>
      <c r="H54" s="289"/>
      <c r="I54" s="289"/>
      <c r="J54" s="374"/>
      <c r="K54" s="374"/>
      <c r="L54" s="374"/>
      <c r="M54" s="289"/>
      <c r="N54" s="344"/>
      <c r="O54" s="344"/>
      <c r="P54" s="162">
        <v>-75.569999999999993</v>
      </c>
      <c r="Q54" s="344"/>
      <c r="R54" s="344"/>
      <c r="S54" s="344"/>
      <c r="T54" s="344"/>
      <c r="U54" s="162"/>
      <c r="V54" s="344"/>
      <c r="W54" s="289">
        <f t="shared" si="0"/>
        <v>0</v>
      </c>
      <c r="X54" s="344">
        <f t="shared" si="1"/>
        <v>0</v>
      </c>
    </row>
    <row r="55" spans="1:24" x14ac:dyDescent="0.35">
      <c r="A55" s="19">
        <v>44508</v>
      </c>
      <c r="B55" s="340"/>
      <c r="C55" s="340"/>
      <c r="D55" s="341"/>
      <c r="E55" s="341"/>
      <c r="F55" s="400">
        <v>0.79400000000000004</v>
      </c>
      <c r="G55" s="116"/>
      <c r="H55" s="116"/>
      <c r="I55" s="289"/>
      <c r="J55" s="374"/>
      <c r="K55" s="374"/>
      <c r="L55" s="374"/>
      <c r="M55" s="289"/>
      <c r="N55" s="344"/>
      <c r="O55" s="345"/>
      <c r="P55" s="163">
        <v>-219.37</v>
      </c>
      <c r="Q55" s="345"/>
      <c r="R55" s="344"/>
      <c r="S55" s="344"/>
      <c r="T55" s="344"/>
      <c r="U55" s="163"/>
      <c r="V55" s="345"/>
      <c r="W55" s="289">
        <f t="shared" si="0"/>
        <v>0</v>
      </c>
      <c r="X55" s="344">
        <f t="shared" si="1"/>
        <v>0</v>
      </c>
    </row>
    <row r="56" spans="1:24" x14ac:dyDescent="0.35">
      <c r="A56" s="19">
        <v>44515</v>
      </c>
      <c r="B56" s="340"/>
      <c r="C56" s="340"/>
      <c r="D56" s="341"/>
      <c r="E56" s="341"/>
      <c r="F56" s="304">
        <v>1.6060000000000001</v>
      </c>
      <c r="G56" s="289"/>
      <c r="H56" s="289"/>
      <c r="I56" s="116"/>
      <c r="J56" s="374"/>
      <c r="K56" s="374"/>
      <c r="L56" s="374"/>
      <c r="M56" s="116"/>
      <c r="N56" s="345"/>
      <c r="O56" s="344"/>
      <c r="P56" s="162">
        <v>-208.92</v>
      </c>
      <c r="Q56" s="344"/>
      <c r="R56" s="345"/>
      <c r="S56" s="345"/>
      <c r="T56" s="345"/>
      <c r="U56" s="162"/>
      <c r="V56" s="344"/>
      <c r="W56" s="289">
        <f t="shared" si="0"/>
        <v>0</v>
      </c>
      <c r="X56" s="344">
        <f t="shared" si="1"/>
        <v>0</v>
      </c>
    </row>
    <row r="57" spans="1:24" x14ac:dyDescent="0.35">
      <c r="A57" s="19">
        <v>44522</v>
      </c>
      <c r="B57" s="340"/>
      <c r="C57" s="340"/>
      <c r="D57" s="341"/>
      <c r="E57" s="341"/>
      <c r="F57" s="304"/>
      <c r="G57" s="289"/>
      <c r="H57" s="289"/>
      <c r="I57" s="289"/>
      <c r="J57" s="374"/>
      <c r="K57" s="374"/>
      <c r="L57" s="374"/>
      <c r="M57" s="289"/>
      <c r="N57" s="344"/>
      <c r="O57" s="344"/>
      <c r="P57" s="162"/>
      <c r="Q57" s="344"/>
      <c r="R57" s="344"/>
      <c r="S57" s="344"/>
      <c r="T57" s="344"/>
      <c r="U57" s="162"/>
      <c r="V57" s="344"/>
      <c r="W57" s="289">
        <f t="shared" si="0"/>
        <v>0</v>
      </c>
      <c r="X57" s="344">
        <f t="shared" si="1"/>
        <v>0</v>
      </c>
    </row>
    <row r="58" spans="1:24" x14ac:dyDescent="0.35">
      <c r="A58" s="19">
        <v>44529</v>
      </c>
      <c r="B58" s="340"/>
      <c r="C58" s="340"/>
      <c r="D58" s="341">
        <v>712.53</v>
      </c>
      <c r="E58" s="341"/>
      <c r="F58" s="304"/>
      <c r="G58" s="289"/>
      <c r="H58" s="289"/>
      <c r="I58" s="289"/>
      <c r="J58" s="374"/>
      <c r="K58" s="374"/>
      <c r="L58" s="374"/>
      <c r="M58" s="289"/>
      <c r="N58" s="344"/>
      <c r="O58" s="344"/>
      <c r="P58" s="162"/>
      <c r="Q58" s="344"/>
      <c r="R58" s="344"/>
      <c r="S58" s="344"/>
      <c r="T58" s="344"/>
      <c r="U58" s="162"/>
      <c r="V58" s="344"/>
      <c r="W58" s="289">
        <f t="shared" si="0"/>
        <v>0</v>
      </c>
      <c r="X58" s="344">
        <f t="shared" si="1"/>
        <v>0</v>
      </c>
    </row>
    <row r="59" spans="1:24" ht="14" x14ac:dyDescent="0.3">
      <c r="A59" s="27" t="s">
        <v>181</v>
      </c>
      <c r="B59" s="339">
        <f t="shared" ref="B59:G59" si="30">SUM(B54:B58)</f>
        <v>0</v>
      </c>
      <c r="C59" s="339">
        <f t="shared" si="30"/>
        <v>0</v>
      </c>
      <c r="D59" s="339">
        <f t="shared" si="30"/>
        <v>712.53</v>
      </c>
      <c r="E59" s="339">
        <f t="shared" si="30"/>
        <v>0</v>
      </c>
      <c r="F59" s="28">
        <f t="shared" si="30"/>
        <v>4.7949999999999999</v>
      </c>
      <c r="G59" s="339">
        <f t="shared" si="30"/>
        <v>0</v>
      </c>
      <c r="H59" s="339">
        <f t="shared" ref="H59:V59" si="31">SUM(H54:H58)</f>
        <v>0</v>
      </c>
      <c r="I59" s="339">
        <f t="shared" si="31"/>
        <v>0</v>
      </c>
      <c r="J59" s="339">
        <f t="shared" si="31"/>
        <v>0</v>
      </c>
      <c r="K59" s="339">
        <f t="shared" si="31"/>
        <v>0</v>
      </c>
      <c r="L59" s="339">
        <f t="shared" si="31"/>
        <v>0</v>
      </c>
      <c r="M59" s="339">
        <f t="shared" si="31"/>
        <v>0</v>
      </c>
      <c r="N59" s="339">
        <f t="shared" si="31"/>
        <v>0</v>
      </c>
      <c r="O59" s="339">
        <f t="shared" si="31"/>
        <v>0</v>
      </c>
      <c r="P59" s="39">
        <f t="shared" ref="P59" si="32">SUM(P54:P58)</f>
        <v>-503.86</v>
      </c>
      <c r="Q59" s="339">
        <f t="shared" si="31"/>
        <v>0</v>
      </c>
      <c r="R59" s="339">
        <f t="shared" si="31"/>
        <v>0</v>
      </c>
      <c r="S59" s="339">
        <f t="shared" si="31"/>
        <v>0</v>
      </c>
      <c r="T59" s="339">
        <f t="shared" si="31"/>
        <v>0</v>
      </c>
      <c r="U59" s="401">
        <f>SUM(U54:U58)</f>
        <v>0</v>
      </c>
      <c r="V59" s="339">
        <f t="shared" si="31"/>
        <v>0</v>
      </c>
      <c r="W59" s="290">
        <f t="shared" si="0"/>
        <v>0</v>
      </c>
      <c r="X59" s="346">
        <f t="shared" si="1"/>
        <v>0</v>
      </c>
    </row>
    <row r="60" spans="1:24" x14ac:dyDescent="0.35">
      <c r="A60" s="19">
        <v>44536</v>
      </c>
      <c r="B60" s="340"/>
      <c r="C60" s="340"/>
      <c r="D60" s="341"/>
      <c r="E60" s="341"/>
      <c r="F60" s="304"/>
      <c r="G60" s="289"/>
      <c r="H60" s="289"/>
      <c r="I60" s="289"/>
      <c r="J60" s="374"/>
      <c r="K60" s="374"/>
      <c r="L60" s="374"/>
      <c r="M60" s="289"/>
      <c r="N60" s="344"/>
      <c r="O60" s="344"/>
      <c r="P60" s="162"/>
      <c r="Q60" s="344"/>
      <c r="R60" s="344"/>
      <c r="S60" s="344"/>
      <c r="T60" s="344"/>
      <c r="U60" s="162"/>
      <c r="V60" s="344"/>
      <c r="W60" s="289">
        <f t="shared" si="0"/>
        <v>0</v>
      </c>
      <c r="X60" s="344">
        <f t="shared" si="1"/>
        <v>0</v>
      </c>
    </row>
    <row r="61" spans="1:24" x14ac:dyDescent="0.35">
      <c r="A61" s="19">
        <v>44543</v>
      </c>
      <c r="B61" s="340"/>
      <c r="C61" s="340"/>
      <c r="D61" s="341"/>
      <c r="E61" s="341"/>
      <c r="F61" s="304">
        <v>3.9180000000000001</v>
      </c>
      <c r="G61" s="116"/>
      <c r="H61" s="116"/>
      <c r="I61" s="289"/>
      <c r="J61" s="374"/>
      <c r="K61" s="374"/>
      <c r="L61" s="374"/>
      <c r="M61" s="289"/>
      <c r="N61" s="344"/>
      <c r="O61" s="345"/>
      <c r="P61" s="163">
        <v>-485.51</v>
      </c>
      <c r="Q61" s="345"/>
      <c r="R61" s="344"/>
      <c r="S61" s="344"/>
      <c r="T61" s="344"/>
      <c r="U61" s="163"/>
      <c r="V61" s="345"/>
      <c r="W61" s="289">
        <f t="shared" si="0"/>
        <v>0</v>
      </c>
      <c r="X61" s="344">
        <f t="shared" si="1"/>
        <v>0</v>
      </c>
    </row>
    <row r="62" spans="1:24" x14ac:dyDescent="0.35">
      <c r="A62" s="19">
        <v>44550</v>
      </c>
      <c r="B62" s="340"/>
      <c r="C62" s="340"/>
      <c r="D62" s="341"/>
      <c r="E62" s="341"/>
      <c r="F62" s="304">
        <v>1.2230000000000001</v>
      </c>
      <c r="G62" s="289"/>
      <c r="H62" s="289"/>
      <c r="I62" s="116"/>
      <c r="J62" s="374"/>
      <c r="K62" s="374"/>
      <c r="L62" s="374"/>
      <c r="M62" s="116"/>
      <c r="N62" s="345"/>
      <c r="O62" s="344"/>
      <c r="P62" s="162">
        <v>-116.27</v>
      </c>
      <c r="Q62" s="344"/>
      <c r="R62" s="345"/>
      <c r="S62" s="345"/>
      <c r="T62" s="345"/>
      <c r="U62" s="162"/>
      <c r="V62" s="344"/>
      <c r="W62" s="289">
        <f t="shared" si="0"/>
        <v>0</v>
      </c>
      <c r="X62" s="344">
        <f t="shared" si="1"/>
        <v>0</v>
      </c>
    </row>
    <row r="63" spans="1:24" x14ac:dyDescent="0.35">
      <c r="A63" s="19">
        <v>44557</v>
      </c>
      <c r="B63" s="340"/>
      <c r="C63" s="340"/>
      <c r="D63" s="341">
        <v>714.63</v>
      </c>
      <c r="E63" s="341"/>
      <c r="F63" s="304"/>
      <c r="G63" s="289"/>
      <c r="H63" s="289"/>
      <c r="I63" s="289"/>
      <c r="J63" s="374"/>
      <c r="K63" s="374"/>
      <c r="L63" s="374"/>
      <c r="M63" s="289"/>
      <c r="N63" s="344"/>
      <c r="O63" s="344"/>
      <c r="P63" s="162"/>
      <c r="Q63" s="344"/>
      <c r="R63" s="344"/>
      <c r="S63" s="344"/>
      <c r="T63" s="344"/>
      <c r="U63" s="162"/>
      <c r="V63" s="344"/>
      <c r="W63" s="289">
        <f t="shared" si="0"/>
        <v>0</v>
      </c>
      <c r="X63" s="344">
        <f t="shared" si="1"/>
        <v>0</v>
      </c>
    </row>
    <row r="64" spans="1:24" thickBot="1" x14ac:dyDescent="0.35">
      <c r="A64" s="27"/>
      <c r="B64" s="348">
        <f t="shared" ref="B64:G64" si="33">SUM(B60:B63)</f>
        <v>0</v>
      </c>
      <c r="C64" s="348">
        <f t="shared" si="33"/>
        <v>0</v>
      </c>
      <c r="D64" s="348">
        <f t="shared" si="33"/>
        <v>714.63</v>
      </c>
      <c r="E64" s="348">
        <f t="shared" si="33"/>
        <v>0</v>
      </c>
      <c r="F64" s="28">
        <f t="shared" si="33"/>
        <v>5.141</v>
      </c>
      <c r="G64" s="348">
        <f t="shared" si="33"/>
        <v>0</v>
      </c>
      <c r="H64" s="348">
        <f t="shared" ref="H64:V64" si="34">SUM(H60:H63)</f>
        <v>0</v>
      </c>
      <c r="I64" s="348">
        <f t="shared" si="34"/>
        <v>0</v>
      </c>
      <c r="J64" s="348">
        <f t="shared" si="34"/>
        <v>0</v>
      </c>
      <c r="K64" s="348">
        <f t="shared" si="34"/>
        <v>0</v>
      </c>
      <c r="L64" s="348">
        <f t="shared" si="34"/>
        <v>0</v>
      </c>
      <c r="M64" s="348">
        <f t="shared" si="34"/>
        <v>0</v>
      </c>
      <c r="N64" s="348">
        <f t="shared" si="34"/>
        <v>0</v>
      </c>
      <c r="O64" s="348">
        <f t="shared" si="34"/>
        <v>0</v>
      </c>
      <c r="P64" s="39">
        <f t="shared" ref="P64" si="35">SUM(P60:P63)</f>
        <v>-601.78</v>
      </c>
      <c r="Q64" s="348">
        <f t="shared" si="34"/>
        <v>0</v>
      </c>
      <c r="R64" s="348">
        <f t="shared" si="34"/>
        <v>0</v>
      </c>
      <c r="S64" s="348">
        <f t="shared" si="34"/>
        <v>0</v>
      </c>
      <c r="T64" s="348">
        <f t="shared" si="34"/>
        <v>0</v>
      </c>
      <c r="U64" s="406">
        <f>SUM(U60:U63)</f>
        <v>0</v>
      </c>
      <c r="V64" s="348">
        <f t="shared" si="34"/>
        <v>0</v>
      </c>
      <c r="W64" s="290">
        <f t="shared" si="0"/>
        <v>0</v>
      </c>
      <c r="X64" s="346">
        <f t="shared" si="1"/>
        <v>0</v>
      </c>
    </row>
    <row r="65" spans="1:24" s="282" customFormat="1" ht="18.5" thickBot="1" x14ac:dyDescent="0.45">
      <c r="A65" s="279" t="s">
        <v>156</v>
      </c>
      <c r="B65" s="280">
        <f t="shared" ref="B65:G65" si="36">SUM(B64,B59,B53,B48,B44,B38,B33,B28,B22,B17,B11,B6)</f>
        <v>25.867999999999999</v>
      </c>
      <c r="C65" s="280">
        <f t="shared" si="36"/>
        <v>17.649999999999999</v>
      </c>
      <c r="D65" s="280">
        <f t="shared" si="36"/>
        <v>8041.119999999999</v>
      </c>
      <c r="E65" s="280">
        <f t="shared" si="36"/>
        <v>6876.0300000000007</v>
      </c>
      <c r="F65" s="271">
        <f t="shared" si="36"/>
        <v>15.038</v>
      </c>
      <c r="G65" s="280">
        <f t="shared" si="36"/>
        <v>4.1950000000000003</v>
      </c>
      <c r="H65" s="280">
        <f t="shared" ref="H65:V65" si="37">SUM(H64,H59,H53,H48,H44,H38,H33,H28,H22,H17,H11,H6)</f>
        <v>1.746</v>
      </c>
      <c r="I65" s="280">
        <f t="shared" si="37"/>
        <v>0</v>
      </c>
      <c r="J65" s="280">
        <f t="shared" si="37"/>
        <v>2</v>
      </c>
      <c r="K65" s="280">
        <f t="shared" si="37"/>
        <v>45.286104149838799</v>
      </c>
      <c r="L65" s="280">
        <f t="shared" si="37"/>
        <v>0</v>
      </c>
      <c r="M65" s="280">
        <f t="shared" si="37"/>
        <v>0</v>
      </c>
      <c r="N65" s="280">
        <f t="shared" si="37"/>
        <v>0</v>
      </c>
      <c r="O65" s="280">
        <f t="shared" si="37"/>
        <v>792.96</v>
      </c>
      <c r="P65" s="274">
        <f t="shared" si="37"/>
        <v>-1497.9</v>
      </c>
      <c r="Q65" s="280">
        <f t="shared" si="37"/>
        <v>-1372.74</v>
      </c>
      <c r="R65" s="280">
        <f t="shared" si="37"/>
        <v>-401.49</v>
      </c>
      <c r="S65" s="280">
        <f t="shared" si="37"/>
        <v>0</v>
      </c>
      <c r="T65" s="280">
        <f t="shared" si="37"/>
        <v>-188.21</v>
      </c>
      <c r="U65" s="361">
        <f t="shared" si="37"/>
        <v>-1691.55</v>
      </c>
      <c r="V65" s="280">
        <f t="shared" si="37"/>
        <v>0</v>
      </c>
      <c r="W65" s="280">
        <f>SUM(W6+W11+W17+W22+W28+W33+W38+W44+W48+W53+W59+W64)</f>
        <v>53.227104149838802</v>
      </c>
      <c r="X65" s="349">
        <f>X64+X59+X53+X48+X44+X38+X33+X28+X22+X17+X11+X6</f>
        <v>-2861.03</v>
      </c>
    </row>
    <row r="66" spans="1:24" ht="15" thickBot="1" x14ac:dyDescent="0.4">
      <c r="A66" s="375"/>
      <c r="B66" s="375"/>
      <c r="C66" s="375"/>
      <c r="D66" s="375"/>
      <c r="E66" s="375"/>
      <c r="G66" s="375"/>
      <c r="H66" s="375"/>
      <c r="I66" s="375"/>
      <c r="J66" s="376"/>
      <c r="K66" s="376"/>
      <c r="L66" s="376"/>
      <c r="M66" s="375"/>
      <c r="N66" s="375"/>
      <c r="O66" s="375"/>
      <c r="Q66" s="375"/>
      <c r="R66" s="375"/>
      <c r="S66" s="375"/>
      <c r="T66" s="375"/>
      <c r="V66" s="375"/>
      <c r="W66" s="375"/>
      <c r="X66" s="375"/>
    </row>
    <row r="67" spans="1:24" ht="15.5" x14ac:dyDescent="0.35">
      <c r="A67" s="375"/>
      <c r="B67" s="377" t="s">
        <v>185</v>
      </c>
      <c r="C67" s="378"/>
      <c r="D67" s="379" t="s">
        <v>184</v>
      </c>
      <c r="E67" s="380"/>
      <c r="G67" s="375"/>
      <c r="H67" s="375"/>
      <c r="I67" s="375"/>
      <c r="J67" s="376"/>
      <c r="K67" s="376"/>
      <c r="L67" s="376"/>
      <c r="M67" s="375"/>
      <c r="N67" s="375"/>
      <c r="O67" s="375"/>
      <c r="Q67" s="375"/>
      <c r="R67" s="375"/>
      <c r="S67" s="375"/>
      <c r="T67" s="375"/>
      <c r="V67" s="375"/>
      <c r="W67" s="381" t="s">
        <v>186</v>
      </c>
      <c r="X67" s="382"/>
    </row>
    <row r="68" spans="1:24" ht="16" thickBot="1" x14ac:dyDescent="0.4">
      <c r="A68" s="375"/>
      <c r="B68" s="383">
        <f>D65/B65</f>
        <v>310.85201793721973</v>
      </c>
      <c r="C68" s="384"/>
      <c r="D68" s="385">
        <f>(E65+(399*C65)/C65)</f>
        <v>7275.0300000000007</v>
      </c>
      <c r="E68" s="386"/>
      <c r="G68" s="375"/>
      <c r="H68" s="375"/>
      <c r="I68" s="375"/>
      <c r="J68" s="376"/>
      <c r="K68" s="376"/>
      <c r="L68" s="376"/>
      <c r="M68" s="375"/>
      <c r="N68" s="375"/>
      <c r="O68" s="375"/>
      <c r="Q68" s="375"/>
      <c r="R68" s="375"/>
      <c r="S68" s="375"/>
      <c r="T68" s="375"/>
      <c r="V68" s="375"/>
      <c r="W68" s="387">
        <f>X65/W65</f>
        <v>-53.751374336389944</v>
      </c>
      <c r="X68" s="388"/>
    </row>
    <row r="69" spans="1:24" x14ac:dyDescent="0.35">
      <c r="A69" s="375"/>
      <c r="B69" s="375"/>
      <c r="C69" s="375"/>
      <c r="D69" s="375"/>
      <c r="E69" s="375"/>
      <c r="G69" s="375"/>
      <c r="H69" s="375"/>
      <c r="I69" s="375"/>
      <c r="J69" s="376"/>
      <c r="K69" s="376"/>
      <c r="L69" s="376"/>
      <c r="M69" s="375"/>
      <c r="N69" s="375"/>
      <c r="O69" s="375"/>
      <c r="Q69" s="375"/>
      <c r="R69" s="375"/>
      <c r="S69" s="375"/>
      <c r="T69" s="375"/>
      <c r="V69" s="375"/>
      <c r="W69" s="375"/>
      <c r="X69" s="375"/>
    </row>
    <row r="70" spans="1:24" ht="15" thickBot="1" x14ac:dyDescent="0.4">
      <c r="A70" s="375"/>
      <c r="B70" s="375"/>
      <c r="C70" s="375"/>
      <c r="D70" s="375"/>
      <c r="E70" s="375"/>
      <c r="G70" s="375"/>
      <c r="H70" s="375"/>
      <c r="I70" s="375"/>
      <c r="J70" s="376"/>
      <c r="K70" s="376"/>
      <c r="L70" s="376"/>
      <c r="M70" s="375"/>
      <c r="N70" s="375"/>
      <c r="O70" s="375"/>
      <c r="Q70" s="375"/>
      <c r="R70" s="375"/>
      <c r="S70" s="375"/>
      <c r="T70" s="375"/>
      <c r="V70" s="375"/>
      <c r="W70" s="375"/>
      <c r="X70" s="375"/>
    </row>
    <row r="71" spans="1:24" ht="23" x14ac:dyDescent="0.5">
      <c r="A71" s="375"/>
      <c r="B71" s="389" t="s">
        <v>101</v>
      </c>
      <c r="C71" s="390"/>
      <c r="D71" s="390"/>
      <c r="E71" s="391"/>
      <c r="G71" s="375"/>
      <c r="H71" s="375"/>
      <c r="I71" s="375"/>
      <c r="J71" s="376"/>
      <c r="K71" s="376"/>
      <c r="L71" s="376"/>
      <c r="M71" s="375"/>
      <c r="N71" s="375"/>
      <c r="O71" s="375"/>
      <c r="Q71" s="375"/>
      <c r="R71" s="375"/>
      <c r="S71" s="375"/>
      <c r="T71" s="375"/>
      <c r="V71" s="375"/>
      <c r="W71" s="375"/>
      <c r="X71" s="375"/>
    </row>
    <row r="72" spans="1:24" ht="23.5" thickBot="1" x14ac:dyDescent="0.55000000000000004">
      <c r="A72" s="375"/>
      <c r="B72" s="423">
        <f>(D65+E65+X65+(399*C65))</f>
        <v>19098.469999999998</v>
      </c>
      <c r="C72" s="424"/>
      <c r="D72" s="424"/>
      <c r="E72" s="425"/>
      <c r="G72" s="375"/>
      <c r="H72" s="375"/>
      <c r="I72" s="375"/>
      <c r="J72" s="376"/>
      <c r="K72" s="376"/>
      <c r="L72" s="376"/>
      <c r="M72" s="375"/>
      <c r="N72" s="375"/>
      <c r="O72" s="375"/>
      <c r="Q72" s="375"/>
      <c r="R72" s="375"/>
      <c r="S72" s="375"/>
      <c r="T72" s="375"/>
      <c r="V72" s="375"/>
      <c r="W72" s="375"/>
      <c r="X72" s="375"/>
    </row>
    <row r="73" spans="1:24" x14ac:dyDescent="0.35">
      <c r="A73" s="375"/>
      <c r="B73" s="392" t="s">
        <v>195</v>
      </c>
      <c r="C73" s="393"/>
      <c r="D73" s="393"/>
      <c r="E73" s="393"/>
      <c r="G73" s="375"/>
      <c r="H73" s="375"/>
      <c r="I73" s="375"/>
      <c r="J73" s="376"/>
      <c r="K73" s="376"/>
      <c r="L73" s="376"/>
      <c r="M73" s="375"/>
      <c r="N73" s="375"/>
      <c r="O73" s="375"/>
      <c r="Q73" s="375"/>
      <c r="R73" s="375"/>
      <c r="S73" s="375"/>
      <c r="T73" s="375"/>
      <c r="V73" s="375"/>
      <c r="W73" s="375"/>
      <c r="X73" s="375"/>
    </row>
    <row r="74" spans="1:24" ht="15" thickBot="1" x14ac:dyDescent="0.4">
      <c r="A74" s="375"/>
      <c r="B74" s="394">
        <f>B72/(B65+C65+W65)</f>
        <v>197.41019628673189</v>
      </c>
      <c r="C74" s="375"/>
      <c r="D74" s="375"/>
      <c r="E74" s="375"/>
      <c r="G74" s="375"/>
      <c r="H74" s="375"/>
      <c r="I74" s="375"/>
      <c r="J74" s="376"/>
      <c r="K74" s="376"/>
      <c r="L74" s="376"/>
      <c r="M74" s="375"/>
      <c r="N74" s="375"/>
      <c r="O74" s="375"/>
      <c r="Q74" s="375"/>
      <c r="R74" s="375"/>
      <c r="S74" s="375"/>
      <c r="T74" s="375"/>
      <c r="V74" s="375"/>
      <c r="W74" s="375"/>
      <c r="X74" s="375"/>
    </row>
  </sheetData>
  <mergeCells count="1">
    <mergeCell ref="B72:E7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1830-E56B-4F31-9A46-E2E19830BA28}">
  <sheetPr>
    <tabColor rgb="FF7030A0"/>
  </sheetPr>
  <dimension ref="A1:Y68"/>
  <sheetViews>
    <sheetView tabSelected="1" zoomScale="95" zoomScaleNormal="95" workbookViewId="0">
      <pane ySplit="1" topLeftCell="A2" activePane="bottomLeft" state="frozen"/>
      <selection pane="bottomLeft" activeCell="H26" sqref="H26"/>
    </sheetView>
  </sheetViews>
  <sheetFormatPr defaultRowHeight="14.5" x14ac:dyDescent="0.35"/>
  <cols>
    <col min="1" max="1" width="11.453125" customWidth="1"/>
    <col min="2" max="2" width="10.453125" customWidth="1"/>
    <col min="3" max="4" width="11.81640625" bestFit="1" customWidth="1"/>
    <col min="6" max="6" width="12.7265625" customWidth="1"/>
    <col min="7" max="7" width="10.1796875" customWidth="1"/>
    <col min="15" max="16" width="11.81640625" customWidth="1"/>
    <col min="17" max="17" width="11.453125" customWidth="1"/>
    <col min="18" max="18" width="11.7265625" customWidth="1"/>
    <col min="19" max="19" width="11.81640625" customWidth="1"/>
    <col min="20" max="20" width="12.1796875" customWidth="1"/>
    <col min="21" max="21" width="11.453125" customWidth="1"/>
    <col min="23" max="23" width="11.26953125" bestFit="1" customWidth="1"/>
  </cols>
  <sheetData>
    <row r="1" spans="1:23" ht="65.5" thickBot="1" x14ac:dyDescent="0.4">
      <c r="A1" s="295" t="s">
        <v>141</v>
      </c>
      <c r="B1" s="106" t="s">
        <v>177</v>
      </c>
      <c r="C1" s="106" t="s">
        <v>178</v>
      </c>
      <c r="D1" s="175" t="s">
        <v>187</v>
      </c>
      <c r="E1" s="106" t="s">
        <v>176</v>
      </c>
      <c r="F1" s="291" t="s">
        <v>80</v>
      </c>
      <c r="G1" s="186" t="s">
        <v>81</v>
      </c>
      <c r="H1" s="186" t="s">
        <v>171</v>
      </c>
      <c r="I1" s="292" t="s">
        <v>165</v>
      </c>
      <c r="J1" s="292" t="s">
        <v>170</v>
      </c>
      <c r="K1" s="292" t="s">
        <v>169</v>
      </c>
      <c r="L1" s="186" t="s">
        <v>175</v>
      </c>
      <c r="M1" s="186" t="s">
        <v>86</v>
      </c>
      <c r="N1" s="186" t="s">
        <v>162</v>
      </c>
      <c r="O1" s="294" t="s">
        <v>179</v>
      </c>
      <c r="P1" s="186" t="s">
        <v>163</v>
      </c>
      <c r="Q1" s="186" t="s">
        <v>164</v>
      </c>
      <c r="R1" s="186" t="s">
        <v>174</v>
      </c>
      <c r="S1" s="186" t="s">
        <v>172</v>
      </c>
      <c r="T1" s="186" t="s">
        <v>166</v>
      </c>
      <c r="U1" s="186" t="s">
        <v>167</v>
      </c>
      <c r="V1" s="186" t="s">
        <v>87</v>
      </c>
      <c r="W1" s="293" t="s">
        <v>89</v>
      </c>
    </row>
    <row r="2" spans="1:23" x14ac:dyDescent="0.35">
      <c r="A2" s="318">
        <v>44200</v>
      </c>
      <c r="B2" s="76">
        <v>0.73</v>
      </c>
      <c r="C2" s="300"/>
      <c r="D2" s="325">
        <f t="shared" ref="D2:D33" si="0">(B2*350)+C2</f>
        <v>255.5</v>
      </c>
      <c r="E2" s="301"/>
      <c r="F2" s="79"/>
      <c r="G2" s="302"/>
      <c r="H2" s="302"/>
      <c r="I2" s="302"/>
      <c r="J2" s="303"/>
      <c r="K2" s="303"/>
      <c r="L2" s="303"/>
      <c r="M2" s="312"/>
      <c r="N2" s="312"/>
      <c r="O2" s="183"/>
      <c r="P2" s="161"/>
      <c r="Q2" s="161"/>
      <c r="R2" s="161"/>
      <c r="S2" s="161"/>
      <c r="T2" s="161"/>
      <c r="U2" s="161"/>
      <c r="V2" s="117">
        <f t="shared" ref="V2:V33" si="1">SUM(E2:L2)</f>
        <v>0</v>
      </c>
      <c r="W2" s="151">
        <f>SUM(M2:U2)</f>
        <v>0</v>
      </c>
    </row>
    <row r="3" spans="1:23" x14ac:dyDescent="0.35">
      <c r="A3" s="318">
        <v>44207</v>
      </c>
      <c r="B3" s="6">
        <v>0.9</v>
      </c>
      <c r="C3" s="296">
        <v>431.6</v>
      </c>
      <c r="D3" s="325">
        <f t="shared" si="0"/>
        <v>746.6</v>
      </c>
      <c r="E3" s="304"/>
      <c r="F3" s="36"/>
      <c r="G3" s="305"/>
      <c r="H3" s="305"/>
      <c r="I3" s="305"/>
      <c r="J3" s="305"/>
      <c r="K3" s="305"/>
      <c r="L3" s="305"/>
      <c r="M3" s="313"/>
      <c r="N3" s="313"/>
      <c r="O3" s="163">
        <v>-89.54</v>
      </c>
      <c r="P3" s="162"/>
      <c r="Q3" s="163"/>
      <c r="R3" s="161"/>
      <c r="S3" s="163"/>
      <c r="T3" s="163"/>
      <c r="U3" s="163"/>
      <c r="V3" s="117">
        <f t="shared" si="1"/>
        <v>0</v>
      </c>
      <c r="W3" s="151">
        <f t="shared" ref="W3:W65" si="2">SUM(M3:U3)</f>
        <v>-89.54</v>
      </c>
    </row>
    <row r="4" spans="1:23" x14ac:dyDescent="0.35">
      <c r="A4" s="318">
        <v>44214</v>
      </c>
      <c r="B4" s="6">
        <v>0.55000000000000004</v>
      </c>
      <c r="C4" s="296">
        <v>440.55</v>
      </c>
      <c r="D4" s="325">
        <f t="shared" si="0"/>
        <v>633.05000000000007</v>
      </c>
      <c r="E4" s="304"/>
      <c r="F4" s="36"/>
      <c r="G4" s="306"/>
      <c r="H4" s="306"/>
      <c r="I4" s="306"/>
      <c r="J4" s="306"/>
      <c r="K4" s="306"/>
      <c r="L4" s="306"/>
      <c r="M4" s="314"/>
      <c r="N4" s="314"/>
      <c r="O4" s="162"/>
      <c r="P4" s="162"/>
      <c r="Q4" s="162"/>
      <c r="R4" s="161"/>
      <c r="S4" s="162"/>
      <c r="T4" s="162"/>
      <c r="U4" s="162"/>
      <c r="V4" s="117">
        <f t="shared" si="1"/>
        <v>0</v>
      </c>
      <c r="W4" s="151">
        <f t="shared" si="2"/>
        <v>0</v>
      </c>
    </row>
    <row r="5" spans="1:23" x14ac:dyDescent="0.35">
      <c r="A5" s="318">
        <v>44221</v>
      </c>
      <c r="B5" s="6">
        <v>0.6</v>
      </c>
      <c r="C5" s="296">
        <v>377.65</v>
      </c>
      <c r="D5" s="325">
        <f t="shared" si="0"/>
        <v>587.65</v>
      </c>
      <c r="E5" s="304">
        <v>1.5</v>
      </c>
      <c r="F5" s="36"/>
      <c r="G5" s="306"/>
      <c r="H5" s="306"/>
      <c r="I5" s="306"/>
      <c r="J5" s="306"/>
      <c r="K5" s="306"/>
      <c r="L5" s="306"/>
      <c r="M5" s="314"/>
      <c r="N5" s="314"/>
      <c r="O5" s="162">
        <v>-76.56</v>
      </c>
      <c r="P5" s="162"/>
      <c r="Q5" s="162"/>
      <c r="R5" s="161"/>
      <c r="S5" s="162"/>
      <c r="T5" s="162"/>
      <c r="U5" s="162"/>
      <c r="V5" s="117">
        <f t="shared" si="1"/>
        <v>1.5</v>
      </c>
      <c r="W5" s="151">
        <f t="shared" si="2"/>
        <v>-76.56</v>
      </c>
    </row>
    <row r="6" spans="1:23" x14ac:dyDescent="0.35">
      <c r="A6" s="143" t="s">
        <v>152</v>
      </c>
      <c r="B6" s="28">
        <f>SUM(B2:B5)</f>
        <v>2.78</v>
      </c>
      <c r="C6" s="28">
        <f>SUM(C2:C5)</f>
        <v>1249.8000000000002</v>
      </c>
      <c r="D6" s="327">
        <f t="shared" si="0"/>
        <v>2222.8000000000002</v>
      </c>
      <c r="E6" s="28">
        <f t="shared" ref="E6:U6" si="3">SUM(E2:E5)</f>
        <v>1.5</v>
      </c>
      <c r="F6" s="365">
        <f t="shared" si="3"/>
        <v>0</v>
      </c>
      <c r="G6" s="28">
        <f t="shared" si="3"/>
        <v>0</v>
      </c>
      <c r="H6" s="28">
        <f t="shared" si="3"/>
        <v>0</v>
      </c>
      <c r="I6" s="28">
        <f t="shared" si="3"/>
        <v>0</v>
      </c>
      <c r="J6" s="28">
        <f t="shared" si="3"/>
        <v>0</v>
      </c>
      <c r="K6" s="28">
        <f t="shared" si="3"/>
        <v>0</v>
      </c>
      <c r="L6" s="28">
        <f t="shared" si="3"/>
        <v>0</v>
      </c>
      <c r="M6" s="28">
        <f t="shared" si="3"/>
        <v>0</v>
      </c>
      <c r="N6" s="28">
        <f t="shared" si="3"/>
        <v>0</v>
      </c>
      <c r="O6" s="39">
        <f t="shared" si="3"/>
        <v>-166.10000000000002</v>
      </c>
      <c r="P6" s="39">
        <f t="shared" si="3"/>
        <v>0</v>
      </c>
      <c r="Q6" s="39">
        <f t="shared" si="3"/>
        <v>0</v>
      </c>
      <c r="R6" s="39">
        <f t="shared" si="3"/>
        <v>0</v>
      </c>
      <c r="S6" s="39">
        <f t="shared" si="3"/>
        <v>0</v>
      </c>
      <c r="T6" s="39">
        <f t="shared" si="3"/>
        <v>0</v>
      </c>
      <c r="U6" s="39">
        <f t="shared" si="3"/>
        <v>0</v>
      </c>
      <c r="V6" s="311">
        <f t="shared" si="1"/>
        <v>1.5</v>
      </c>
      <c r="W6" s="322">
        <f t="shared" si="2"/>
        <v>-166.10000000000002</v>
      </c>
    </row>
    <row r="7" spans="1:23" x14ac:dyDescent="0.35">
      <c r="A7" s="142">
        <v>44228</v>
      </c>
      <c r="B7" s="6">
        <v>0.8</v>
      </c>
      <c r="C7" s="296">
        <v>489.5</v>
      </c>
      <c r="D7" s="325">
        <f t="shared" si="0"/>
        <v>769.5</v>
      </c>
      <c r="E7" s="304"/>
      <c r="F7" s="366"/>
      <c r="G7" s="306"/>
      <c r="H7" s="306"/>
      <c r="I7" s="306"/>
      <c r="J7" s="306"/>
      <c r="K7" s="306"/>
      <c r="L7" s="306"/>
      <c r="M7" s="314"/>
      <c r="N7" s="314"/>
      <c r="O7" s="162"/>
      <c r="P7" s="162"/>
      <c r="Q7" s="162"/>
      <c r="R7" s="161"/>
      <c r="S7" s="162"/>
      <c r="T7" s="162"/>
      <c r="U7" s="162"/>
      <c r="V7" s="117">
        <f t="shared" si="1"/>
        <v>0</v>
      </c>
      <c r="W7" s="151">
        <f t="shared" si="2"/>
        <v>0</v>
      </c>
    </row>
    <row r="8" spans="1:23" x14ac:dyDescent="0.35">
      <c r="A8" s="142">
        <v>44235</v>
      </c>
      <c r="B8" s="6">
        <v>0.82</v>
      </c>
      <c r="C8" s="296">
        <v>587.4</v>
      </c>
      <c r="D8" s="325">
        <f t="shared" si="0"/>
        <v>874.4</v>
      </c>
      <c r="E8" s="304">
        <v>0.628</v>
      </c>
      <c r="F8" s="366"/>
      <c r="G8" s="307"/>
      <c r="H8" s="305"/>
      <c r="I8" s="305"/>
      <c r="J8" s="306"/>
      <c r="K8" s="306"/>
      <c r="L8" s="306"/>
      <c r="M8" s="314"/>
      <c r="N8" s="314"/>
      <c r="O8" s="163"/>
      <c r="P8" s="163"/>
      <c r="Q8" s="163"/>
      <c r="R8" s="161"/>
      <c r="S8" s="163"/>
      <c r="T8" s="163"/>
      <c r="U8" s="163"/>
      <c r="V8" s="117">
        <f t="shared" si="1"/>
        <v>0.628</v>
      </c>
      <c r="W8" s="151">
        <f t="shared" si="2"/>
        <v>0</v>
      </c>
    </row>
    <row r="9" spans="1:23" x14ac:dyDescent="0.35">
      <c r="A9" s="142">
        <v>44242</v>
      </c>
      <c r="B9" s="6">
        <v>0.45</v>
      </c>
      <c r="C9" s="296">
        <v>269.75</v>
      </c>
      <c r="D9" s="325">
        <f t="shared" si="0"/>
        <v>427.25</v>
      </c>
      <c r="E9" s="304"/>
      <c r="F9" s="366"/>
      <c r="G9" s="306"/>
      <c r="H9" s="306"/>
      <c r="I9" s="306"/>
      <c r="J9" s="305"/>
      <c r="K9" s="305"/>
      <c r="L9" s="305"/>
      <c r="M9" s="313"/>
      <c r="N9" s="313"/>
      <c r="O9" s="162">
        <v>-76.56</v>
      </c>
      <c r="P9" s="162"/>
      <c r="Q9" s="162"/>
      <c r="R9" s="161"/>
      <c r="S9" s="162"/>
      <c r="T9" s="162"/>
      <c r="U9" s="162"/>
      <c r="V9" s="117">
        <f t="shared" si="1"/>
        <v>0</v>
      </c>
      <c r="W9" s="151">
        <f t="shared" si="2"/>
        <v>-76.56</v>
      </c>
    </row>
    <row r="10" spans="1:23" x14ac:dyDescent="0.35">
      <c r="A10" s="142">
        <v>44249</v>
      </c>
      <c r="B10" s="6">
        <v>0.38</v>
      </c>
      <c r="C10" s="296">
        <v>377.65</v>
      </c>
      <c r="D10" s="325">
        <f t="shared" si="0"/>
        <v>510.65</v>
      </c>
      <c r="E10" s="304">
        <v>0.46400000000000002</v>
      </c>
      <c r="F10" s="366">
        <v>0.28000000000000003</v>
      </c>
      <c r="G10" s="306"/>
      <c r="H10" s="306"/>
      <c r="I10" s="306"/>
      <c r="J10" s="306"/>
      <c r="K10" s="306"/>
      <c r="L10" s="306"/>
      <c r="M10" s="314"/>
      <c r="N10" s="314"/>
      <c r="O10" s="162">
        <v>-167.47</v>
      </c>
      <c r="P10" s="162">
        <v>-95.47</v>
      </c>
      <c r="Q10" s="162"/>
      <c r="R10" s="161"/>
      <c r="S10" s="162"/>
      <c r="T10" s="162"/>
      <c r="U10" s="162"/>
      <c r="V10" s="117">
        <f t="shared" si="1"/>
        <v>0.74399999999999999</v>
      </c>
      <c r="W10" s="151">
        <f t="shared" si="2"/>
        <v>-262.94</v>
      </c>
    </row>
    <row r="11" spans="1:23" x14ac:dyDescent="0.35">
      <c r="A11" s="143" t="s">
        <v>153</v>
      </c>
      <c r="B11" s="28">
        <f>SUM(B7:B10)</f>
        <v>2.4500000000000002</v>
      </c>
      <c r="C11" s="28">
        <f>SUM(C7:C10)</f>
        <v>1724.3000000000002</v>
      </c>
      <c r="D11" s="327">
        <f t="shared" si="0"/>
        <v>2581.8000000000002</v>
      </c>
      <c r="E11" s="28">
        <f t="shared" ref="E11:U11" si="4">SUM(E7:E10)</f>
        <v>1.0920000000000001</v>
      </c>
      <c r="F11" s="365">
        <f t="shared" si="4"/>
        <v>0.28000000000000003</v>
      </c>
      <c r="G11" s="28">
        <f t="shared" si="4"/>
        <v>0</v>
      </c>
      <c r="H11" s="28">
        <f t="shared" si="4"/>
        <v>0</v>
      </c>
      <c r="I11" s="28">
        <f t="shared" si="4"/>
        <v>0</v>
      </c>
      <c r="J11" s="28">
        <f t="shared" si="4"/>
        <v>0</v>
      </c>
      <c r="K11" s="28">
        <f t="shared" si="4"/>
        <v>0</v>
      </c>
      <c r="L11" s="28">
        <f t="shared" si="4"/>
        <v>0</v>
      </c>
      <c r="M11" s="28">
        <f t="shared" si="4"/>
        <v>0</v>
      </c>
      <c r="N11" s="28">
        <f t="shared" si="4"/>
        <v>0</v>
      </c>
      <c r="O11" s="39">
        <f t="shared" si="4"/>
        <v>-244.03</v>
      </c>
      <c r="P11" s="39">
        <f t="shared" si="4"/>
        <v>-95.47</v>
      </c>
      <c r="Q11" s="39">
        <f t="shared" si="4"/>
        <v>0</v>
      </c>
      <c r="R11" s="39">
        <f t="shared" si="4"/>
        <v>0</v>
      </c>
      <c r="S11" s="39">
        <f t="shared" si="4"/>
        <v>0</v>
      </c>
      <c r="T11" s="39">
        <f t="shared" si="4"/>
        <v>0</v>
      </c>
      <c r="U11" s="39">
        <f t="shared" si="4"/>
        <v>0</v>
      </c>
      <c r="V11" s="311">
        <f t="shared" si="1"/>
        <v>1.3720000000000001</v>
      </c>
      <c r="W11" s="322">
        <f t="shared" si="2"/>
        <v>-339.5</v>
      </c>
    </row>
    <row r="12" spans="1:23" x14ac:dyDescent="0.35">
      <c r="A12" s="142">
        <v>44256</v>
      </c>
      <c r="B12" s="6">
        <v>0.55000000000000004</v>
      </c>
      <c r="C12" s="296"/>
      <c r="D12" s="325">
        <f t="shared" si="0"/>
        <v>192.50000000000003</v>
      </c>
      <c r="E12" s="304"/>
      <c r="F12" s="366"/>
      <c r="G12" s="306"/>
      <c r="H12" s="306"/>
      <c r="I12" s="306"/>
      <c r="J12" s="306"/>
      <c r="K12" s="306"/>
      <c r="L12" s="306"/>
      <c r="M12" s="314"/>
      <c r="N12" s="314"/>
      <c r="O12" s="162"/>
      <c r="P12" s="162"/>
      <c r="Q12" s="162"/>
      <c r="R12" s="161"/>
      <c r="S12" s="162"/>
      <c r="T12" s="162"/>
      <c r="U12" s="162"/>
      <c r="V12" s="117">
        <f t="shared" si="1"/>
        <v>0</v>
      </c>
      <c r="W12" s="151">
        <f t="shared" si="2"/>
        <v>0</v>
      </c>
    </row>
    <row r="13" spans="1:23" x14ac:dyDescent="0.35">
      <c r="A13" s="142">
        <v>44263</v>
      </c>
      <c r="B13" s="6">
        <v>0.5</v>
      </c>
      <c r="C13" s="296">
        <v>440.55</v>
      </c>
      <c r="D13" s="325">
        <f t="shared" si="0"/>
        <v>615.54999999999995</v>
      </c>
      <c r="E13" s="304">
        <v>0.55800000000000005</v>
      </c>
      <c r="F13" s="366"/>
      <c r="G13" s="305"/>
      <c r="H13" s="305"/>
      <c r="I13" s="305"/>
      <c r="J13" s="306"/>
      <c r="K13" s="306"/>
      <c r="L13" s="306"/>
      <c r="M13" s="314"/>
      <c r="N13" s="314"/>
      <c r="O13" s="163"/>
      <c r="P13" s="163"/>
      <c r="Q13" s="163"/>
      <c r="R13" s="161"/>
      <c r="S13" s="163"/>
      <c r="T13" s="163"/>
      <c r="U13" s="163"/>
      <c r="V13" s="117">
        <f t="shared" si="1"/>
        <v>0.55800000000000005</v>
      </c>
      <c r="W13" s="151">
        <f t="shared" si="2"/>
        <v>0</v>
      </c>
    </row>
    <row r="14" spans="1:23" x14ac:dyDescent="0.35">
      <c r="A14" s="142">
        <v>44270</v>
      </c>
      <c r="B14" s="6">
        <v>0.43</v>
      </c>
      <c r="C14" s="296">
        <v>377.65</v>
      </c>
      <c r="D14" s="325">
        <f t="shared" si="0"/>
        <v>528.15</v>
      </c>
      <c r="E14" s="304"/>
      <c r="F14" s="366"/>
      <c r="G14" s="306"/>
      <c r="H14" s="306"/>
      <c r="I14" s="306"/>
      <c r="J14" s="305"/>
      <c r="K14" s="305"/>
      <c r="L14" s="305"/>
      <c r="M14" s="313"/>
      <c r="N14" s="313"/>
      <c r="O14" s="162"/>
      <c r="P14" s="162"/>
      <c r="Q14" s="162"/>
      <c r="R14" s="161"/>
      <c r="S14" s="162"/>
      <c r="T14" s="162"/>
      <c r="U14" s="162"/>
      <c r="V14" s="117">
        <f t="shared" si="1"/>
        <v>0</v>
      </c>
      <c r="W14" s="151">
        <f t="shared" si="2"/>
        <v>0</v>
      </c>
    </row>
    <row r="15" spans="1:23" x14ac:dyDescent="0.35">
      <c r="A15" s="142">
        <v>44277</v>
      </c>
      <c r="B15" s="6">
        <v>0.42</v>
      </c>
      <c r="C15" s="296">
        <v>323.7</v>
      </c>
      <c r="D15" s="325">
        <f t="shared" si="0"/>
        <v>470.7</v>
      </c>
      <c r="E15" s="304"/>
      <c r="F15" s="366"/>
      <c r="G15" s="306"/>
      <c r="H15" s="306"/>
      <c r="I15" s="306"/>
      <c r="J15" s="306"/>
      <c r="K15" s="306"/>
      <c r="L15" s="306"/>
      <c r="M15" s="314"/>
      <c r="N15" s="314"/>
      <c r="O15" s="162">
        <v>-164.76</v>
      </c>
      <c r="P15" s="162"/>
      <c r="Q15" s="162"/>
      <c r="R15" s="161"/>
      <c r="S15" s="162"/>
      <c r="T15" s="162"/>
      <c r="U15" s="162"/>
      <c r="V15" s="117">
        <f t="shared" si="1"/>
        <v>0</v>
      </c>
      <c r="W15" s="151">
        <f t="shared" si="2"/>
        <v>-164.76</v>
      </c>
    </row>
    <row r="16" spans="1:23" x14ac:dyDescent="0.35">
      <c r="A16" s="142">
        <v>44284</v>
      </c>
      <c r="B16" s="50">
        <v>0.39</v>
      </c>
      <c r="C16" s="296">
        <v>323.7</v>
      </c>
      <c r="D16" s="325">
        <f t="shared" si="0"/>
        <v>460.2</v>
      </c>
      <c r="E16" s="308">
        <v>0.70299999999999996</v>
      </c>
      <c r="F16" s="367"/>
      <c r="G16" s="306"/>
      <c r="H16" s="306"/>
      <c r="I16" s="306"/>
      <c r="J16" s="306"/>
      <c r="K16" s="306"/>
      <c r="L16" s="306"/>
      <c r="M16" s="314"/>
      <c r="N16" s="314"/>
      <c r="O16" s="162">
        <v>-76.56</v>
      </c>
      <c r="P16" s="162"/>
      <c r="Q16" s="162"/>
      <c r="R16" s="161"/>
      <c r="S16" s="162"/>
      <c r="T16" s="162"/>
      <c r="U16" s="162"/>
      <c r="V16" s="117">
        <f t="shared" si="1"/>
        <v>0.70299999999999996</v>
      </c>
      <c r="W16" s="151">
        <f t="shared" si="2"/>
        <v>-76.56</v>
      </c>
    </row>
    <row r="17" spans="1:23" x14ac:dyDescent="0.35">
      <c r="A17" s="143" t="s">
        <v>154</v>
      </c>
      <c r="B17" s="28">
        <f>SUM(B12:B16)</f>
        <v>2.29</v>
      </c>
      <c r="C17" s="364">
        <f>SUM(C12:C16)</f>
        <v>1465.6000000000001</v>
      </c>
      <c r="D17" s="327">
        <f t="shared" si="0"/>
        <v>2267.1000000000004</v>
      </c>
      <c r="E17" s="28">
        <f t="shared" ref="E17:U17" si="5">SUM(E12:E16)</f>
        <v>1.2610000000000001</v>
      </c>
      <c r="F17" s="365">
        <f t="shared" si="5"/>
        <v>0</v>
      </c>
      <c r="G17" s="28">
        <f t="shared" si="5"/>
        <v>0</v>
      </c>
      <c r="H17" s="28">
        <f t="shared" si="5"/>
        <v>0</v>
      </c>
      <c r="I17" s="28">
        <f t="shared" si="5"/>
        <v>0</v>
      </c>
      <c r="J17" s="28">
        <f t="shared" si="5"/>
        <v>0</v>
      </c>
      <c r="K17" s="28">
        <f t="shared" si="5"/>
        <v>0</v>
      </c>
      <c r="L17" s="28">
        <f t="shared" si="5"/>
        <v>0</v>
      </c>
      <c r="M17" s="28">
        <f t="shared" si="5"/>
        <v>0</v>
      </c>
      <c r="N17" s="28">
        <f t="shared" si="5"/>
        <v>0</v>
      </c>
      <c r="O17" s="39">
        <f t="shared" si="5"/>
        <v>-241.32</v>
      </c>
      <c r="P17" s="39">
        <f t="shared" si="5"/>
        <v>0</v>
      </c>
      <c r="Q17" s="39">
        <f t="shared" si="5"/>
        <v>0</v>
      </c>
      <c r="R17" s="39">
        <f t="shared" si="5"/>
        <v>0</v>
      </c>
      <c r="S17" s="39">
        <f t="shared" si="5"/>
        <v>0</v>
      </c>
      <c r="T17" s="39">
        <f t="shared" si="5"/>
        <v>0</v>
      </c>
      <c r="U17" s="39">
        <f t="shared" si="5"/>
        <v>0</v>
      </c>
      <c r="V17" s="311">
        <f t="shared" si="1"/>
        <v>1.2610000000000001</v>
      </c>
      <c r="W17" s="322">
        <f t="shared" si="2"/>
        <v>-241.32</v>
      </c>
    </row>
    <row r="18" spans="1:23" x14ac:dyDescent="0.35">
      <c r="A18" s="142">
        <v>44291</v>
      </c>
      <c r="B18" s="398"/>
      <c r="C18" s="296"/>
      <c r="D18" s="325">
        <f t="shared" si="0"/>
        <v>0</v>
      </c>
      <c r="E18" s="308">
        <v>0.65800000000000003</v>
      </c>
      <c r="F18" s="367"/>
      <c r="G18" s="306"/>
      <c r="H18" s="306"/>
      <c r="I18" s="306"/>
      <c r="J18" s="305"/>
      <c r="K18" s="305"/>
      <c r="L18" s="305"/>
      <c r="M18" s="313"/>
      <c r="N18" s="313"/>
      <c r="O18" s="162"/>
      <c r="P18" s="162"/>
      <c r="Q18" s="162"/>
      <c r="R18" s="161"/>
      <c r="S18" s="162"/>
      <c r="T18" s="162"/>
      <c r="U18" s="162"/>
      <c r="V18" s="117">
        <f t="shared" si="1"/>
        <v>0.65800000000000003</v>
      </c>
      <c r="W18" s="151">
        <f t="shared" si="2"/>
        <v>0</v>
      </c>
    </row>
    <row r="19" spans="1:23" x14ac:dyDescent="0.35">
      <c r="A19" s="142">
        <v>44298</v>
      </c>
      <c r="B19" s="50">
        <v>0.82</v>
      </c>
      <c r="C19" s="296">
        <v>440.55</v>
      </c>
      <c r="D19" s="325">
        <f t="shared" si="0"/>
        <v>727.55</v>
      </c>
      <c r="E19" s="308">
        <v>0.81499999999999995</v>
      </c>
      <c r="F19" s="367"/>
      <c r="G19" s="306"/>
      <c r="H19" s="306"/>
      <c r="I19" s="306"/>
      <c r="J19" s="306"/>
      <c r="K19" s="306"/>
      <c r="L19" s="306" t="s">
        <v>200</v>
      </c>
      <c r="M19" s="314"/>
      <c r="N19" s="314"/>
      <c r="O19" s="162"/>
      <c r="P19" s="162"/>
      <c r="Q19" s="162"/>
      <c r="R19" s="161"/>
      <c r="S19" s="162"/>
      <c r="T19" s="162"/>
      <c r="U19" s="162"/>
      <c r="V19" s="117">
        <f t="shared" si="1"/>
        <v>0.81499999999999995</v>
      </c>
      <c r="W19" s="151">
        <f t="shared" si="2"/>
        <v>0</v>
      </c>
    </row>
    <row r="20" spans="1:23" x14ac:dyDescent="0.35">
      <c r="A20" s="142">
        <v>44305</v>
      </c>
      <c r="B20" s="397"/>
      <c r="C20" s="299"/>
      <c r="D20" s="325">
        <f t="shared" si="0"/>
        <v>0</v>
      </c>
      <c r="E20" s="304"/>
      <c r="F20" s="366"/>
      <c r="G20" s="306"/>
      <c r="H20" s="306"/>
      <c r="I20" s="306"/>
      <c r="J20" s="306"/>
      <c r="K20" s="306"/>
      <c r="L20" s="306"/>
      <c r="M20" s="314"/>
      <c r="N20" s="314"/>
      <c r="O20" s="162">
        <v>-51.19</v>
      </c>
      <c r="P20" s="162"/>
      <c r="Q20" s="162"/>
      <c r="R20" s="161"/>
      <c r="S20" s="162"/>
      <c r="T20" s="162"/>
      <c r="U20" s="162"/>
      <c r="V20" s="117">
        <f t="shared" si="1"/>
        <v>0</v>
      </c>
      <c r="W20" s="151">
        <f t="shared" si="2"/>
        <v>-51.19</v>
      </c>
    </row>
    <row r="21" spans="1:23" x14ac:dyDescent="0.35">
      <c r="A21" s="142">
        <v>44312</v>
      </c>
      <c r="B21" s="50">
        <v>0.51</v>
      </c>
      <c r="C21" s="296">
        <v>538.45000000000005</v>
      </c>
      <c r="D21" s="325">
        <f t="shared" si="0"/>
        <v>716.95</v>
      </c>
      <c r="E21" s="308"/>
      <c r="F21" s="367"/>
      <c r="G21" s="306">
        <v>0.68200000000000005</v>
      </c>
      <c r="H21" s="306"/>
      <c r="I21" s="306"/>
      <c r="J21" s="306"/>
      <c r="K21" s="306"/>
      <c r="L21" s="306"/>
      <c r="M21" s="314"/>
      <c r="N21" s="314"/>
      <c r="O21" s="162">
        <v>-76.56</v>
      </c>
      <c r="P21" s="162"/>
      <c r="Q21" s="162">
        <v>-156.82</v>
      </c>
      <c r="R21" s="161"/>
      <c r="S21" s="162"/>
      <c r="T21" s="162"/>
      <c r="U21" s="162"/>
      <c r="V21" s="117">
        <f t="shared" si="1"/>
        <v>0.68200000000000005</v>
      </c>
      <c r="W21" s="151">
        <f t="shared" si="2"/>
        <v>-233.38</v>
      </c>
    </row>
    <row r="22" spans="1:23" x14ac:dyDescent="0.35">
      <c r="A22" s="143" t="s">
        <v>155</v>
      </c>
      <c r="B22" s="28">
        <f>SUM(B18:B21)</f>
        <v>1.33</v>
      </c>
      <c r="C22" s="28">
        <f>SUM(C18:C21)</f>
        <v>979</v>
      </c>
      <c r="D22" s="327">
        <f t="shared" si="0"/>
        <v>1444.5</v>
      </c>
      <c r="E22" s="28">
        <f t="shared" ref="E22:U22" si="6">SUM(E18:E21)</f>
        <v>1.4729999999999999</v>
      </c>
      <c r="F22" s="365">
        <f t="shared" si="6"/>
        <v>0</v>
      </c>
      <c r="G22" s="28">
        <f t="shared" si="6"/>
        <v>0.68200000000000005</v>
      </c>
      <c r="H22" s="28">
        <f t="shared" si="6"/>
        <v>0</v>
      </c>
      <c r="I22" s="28">
        <f t="shared" si="6"/>
        <v>0</v>
      </c>
      <c r="J22" s="28">
        <f t="shared" si="6"/>
        <v>0</v>
      </c>
      <c r="K22" s="28">
        <f t="shared" si="6"/>
        <v>0</v>
      </c>
      <c r="L22" s="28">
        <f t="shared" si="6"/>
        <v>0</v>
      </c>
      <c r="M22" s="28">
        <f t="shared" si="6"/>
        <v>0</v>
      </c>
      <c r="N22" s="28">
        <f t="shared" si="6"/>
        <v>0</v>
      </c>
      <c r="O22" s="39">
        <f t="shared" si="6"/>
        <v>-127.75</v>
      </c>
      <c r="P22" s="39">
        <f t="shared" si="6"/>
        <v>0</v>
      </c>
      <c r="Q22" s="39">
        <f t="shared" si="6"/>
        <v>-156.82</v>
      </c>
      <c r="R22" s="39">
        <f t="shared" si="6"/>
        <v>0</v>
      </c>
      <c r="S22" s="39">
        <f t="shared" si="6"/>
        <v>0</v>
      </c>
      <c r="T22" s="39">
        <f t="shared" si="6"/>
        <v>0</v>
      </c>
      <c r="U22" s="39">
        <f t="shared" si="6"/>
        <v>0</v>
      </c>
      <c r="V22" s="311">
        <f t="shared" si="1"/>
        <v>2.1549999999999998</v>
      </c>
      <c r="W22" s="322">
        <f t="shared" si="2"/>
        <v>-284.57</v>
      </c>
    </row>
    <row r="23" spans="1:23" x14ac:dyDescent="0.35">
      <c r="A23" s="319">
        <v>44319</v>
      </c>
      <c r="B23" s="297">
        <v>0.5</v>
      </c>
      <c r="C23" s="298"/>
      <c r="D23" s="325">
        <f t="shared" si="0"/>
        <v>175</v>
      </c>
      <c r="E23" s="309"/>
      <c r="F23" s="368">
        <v>0.29399999999999998</v>
      </c>
      <c r="G23" s="309"/>
      <c r="H23" s="309"/>
      <c r="I23" s="309"/>
      <c r="J23" s="310"/>
      <c r="K23" s="310"/>
      <c r="L23" s="310"/>
      <c r="M23" s="315"/>
      <c r="N23" s="315"/>
      <c r="O23" s="236">
        <v>-131.05000000000001</v>
      </c>
      <c r="P23" s="236">
        <v>-97.8</v>
      </c>
      <c r="Q23" s="236"/>
      <c r="R23" s="236"/>
      <c r="S23" s="236"/>
      <c r="T23" s="236"/>
      <c r="U23" s="236"/>
      <c r="V23" s="117">
        <f t="shared" si="1"/>
        <v>0.29399999999999998</v>
      </c>
      <c r="W23" s="151">
        <f t="shared" si="2"/>
        <v>-228.85000000000002</v>
      </c>
    </row>
    <row r="24" spans="1:23" x14ac:dyDescent="0.35">
      <c r="A24" s="319">
        <v>44326</v>
      </c>
      <c r="B24" s="297">
        <v>0.42</v>
      </c>
      <c r="C24" s="298">
        <v>599.16</v>
      </c>
      <c r="D24" s="325">
        <f t="shared" si="0"/>
        <v>746.16</v>
      </c>
      <c r="E24" s="309"/>
      <c r="F24" s="368"/>
      <c r="G24" s="309"/>
      <c r="H24" s="309"/>
      <c r="I24" s="309"/>
      <c r="J24" s="309"/>
      <c r="K24" s="309"/>
      <c r="L24" s="309"/>
      <c r="M24" s="316"/>
      <c r="N24" s="316"/>
      <c r="O24" s="236">
        <v>-71.17</v>
      </c>
      <c r="P24" s="236"/>
      <c r="Q24" s="236"/>
      <c r="R24" s="236"/>
      <c r="S24" s="236"/>
      <c r="T24" s="236"/>
      <c r="U24" s="236"/>
      <c r="V24" s="117">
        <f t="shared" si="1"/>
        <v>0</v>
      </c>
      <c r="W24" s="151">
        <f t="shared" si="2"/>
        <v>-71.17</v>
      </c>
    </row>
    <row r="25" spans="1:23" x14ac:dyDescent="0.35">
      <c r="A25" s="319">
        <v>44333</v>
      </c>
      <c r="B25" s="6">
        <v>0.5</v>
      </c>
      <c r="C25" s="296"/>
      <c r="D25" s="325">
        <f t="shared" si="0"/>
        <v>175</v>
      </c>
      <c r="E25" s="301"/>
      <c r="F25" s="369"/>
      <c r="G25" s="302"/>
      <c r="H25" s="302"/>
      <c r="I25" s="302"/>
      <c r="J25" s="302"/>
      <c r="K25" s="302"/>
      <c r="L25" s="302"/>
      <c r="M25" s="317"/>
      <c r="N25" s="317"/>
      <c r="O25" s="161">
        <v>-140.15</v>
      </c>
      <c r="P25" s="161"/>
      <c r="Q25" s="161"/>
      <c r="R25" s="161"/>
      <c r="S25" s="161"/>
      <c r="T25" s="161"/>
      <c r="U25" s="161"/>
      <c r="V25" s="117">
        <f t="shared" si="1"/>
        <v>0</v>
      </c>
      <c r="W25" s="151">
        <f t="shared" si="2"/>
        <v>-140.15</v>
      </c>
    </row>
    <row r="26" spans="1:23" x14ac:dyDescent="0.35">
      <c r="A26" s="319">
        <v>44340</v>
      </c>
      <c r="B26" s="6">
        <v>0.76</v>
      </c>
      <c r="C26" s="296">
        <v>499.3</v>
      </c>
      <c r="D26" s="325">
        <f t="shared" si="0"/>
        <v>765.3</v>
      </c>
      <c r="E26" s="304">
        <v>1.242</v>
      </c>
      <c r="F26" s="366"/>
      <c r="G26" s="306"/>
      <c r="H26" s="306"/>
      <c r="I26" s="306"/>
      <c r="J26" s="306"/>
      <c r="K26" s="306"/>
      <c r="L26" s="306"/>
      <c r="M26" s="314"/>
      <c r="N26" s="314"/>
      <c r="O26" s="162"/>
      <c r="P26" s="162"/>
      <c r="Q26" s="162"/>
      <c r="R26" s="161"/>
      <c r="S26" s="162"/>
      <c r="T26" s="162"/>
      <c r="U26" s="162"/>
      <c r="V26" s="117">
        <f t="shared" si="1"/>
        <v>1.242</v>
      </c>
      <c r="W26" s="151">
        <f t="shared" si="2"/>
        <v>0</v>
      </c>
    </row>
    <row r="27" spans="1:23" x14ac:dyDescent="0.35">
      <c r="A27" s="319">
        <v>44347</v>
      </c>
      <c r="B27" s="6">
        <v>0.64</v>
      </c>
      <c r="C27" s="296">
        <v>599.16</v>
      </c>
      <c r="D27" s="325">
        <f t="shared" si="0"/>
        <v>823.16</v>
      </c>
      <c r="E27" s="304">
        <v>0.75900000000000001</v>
      </c>
      <c r="F27" s="366"/>
      <c r="G27" s="306"/>
      <c r="H27" s="306"/>
      <c r="I27" s="306"/>
      <c r="J27" s="306"/>
      <c r="K27" s="306">
        <v>2</v>
      </c>
      <c r="L27" s="306"/>
      <c r="M27" s="314"/>
      <c r="N27" s="314"/>
      <c r="O27" s="162">
        <v>-76.56</v>
      </c>
      <c r="P27" s="162"/>
      <c r="Q27" s="162"/>
      <c r="R27" s="161"/>
      <c r="S27" s="162">
        <v>-90</v>
      </c>
      <c r="T27" s="162"/>
      <c r="U27" s="162"/>
      <c r="V27" s="117">
        <f t="shared" si="1"/>
        <v>2.7589999999999999</v>
      </c>
      <c r="W27" s="151">
        <f t="shared" si="2"/>
        <v>-166.56</v>
      </c>
    </row>
    <row r="28" spans="1:23" x14ac:dyDescent="0.35">
      <c r="A28" s="143" t="s">
        <v>157</v>
      </c>
      <c r="B28" s="28">
        <f>SUM(B23:B27)</f>
        <v>2.82</v>
      </c>
      <c r="C28" s="28">
        <f>SUM(C23:C27)</f>
        <v>1697.62</v>
      </c>
      <c r="D28" s="327">
        <f t="shared" si="0"/>
        <v>2684.62</v>
      </c>
      <c r="E28" s="28">
        <f t="shared" ref="E28:U28" si="7">SUM(E23:E27)</f>
        <v>2.0009999999999999</v>
      </c>
      <c r="F28" s="365">
        <f t="shared" si="7"/>
        <v>0.29399999999999998</v>
      </c>
      <c r="G28" s="28">
        <f t="shared" si="7"/>
        <v>0</v>
      </c>
      <c r="H28" s="28">
        <f t="shared" si="7"/>
        <v>0</v>
      </c>
      <c r="I28" s="28">
        <f t="shared" si="7"/>
        <v>0</v>
      </c>
      <c r="J28" s="28">
        <f t="shared" si="7"/>
        <v>0</v>
      </c>
      <c r="K28" s="28">
        <f t="shared" si="7"/>
        <v>2</v>
      </c>
      <c r="L28" s="28">
        <f t="shared" si="7"/>
        <v>0</v>
      </c>
      <c r="M28" s="28">
        <f t="shared" si="7"/>
        <v>0</v>
      </c>
      <c r="N28" s="28">
        <f t="shared" si="7"/>
        <v>0</v>
      </c>
      <c r="O28" s="39">
        <f t="shared" si="7"/>
        <v>-418.93</v>
      </c>
      <c r="P28" s="39">
        <f t="shared" si="7"/>
        <v>-97.8</v>
      </c>
      <c r="Q28" s="39">
        <f t="shared" si="7"/>
        <v>0</v>
      </c>
      <c r="R28" s="39">
        <f t="shared" si="7"/>
        <v>0</v>
      </c>
      <c r="S28" s="39">
        <f t="shared" si="7"/>
        <v>-90</v>
      </c>
      <c r="T28" s="39">
        <f t="shared" si="7"/>
        <v>0</v>
      </c>
      <c r="U28" s="39">
        <f t="shared" si="7"/>
        <v>0</v>
      </c>
      <c r="V28" s="311">
        <f t="shared" si="1"/>
        <v>4.2949999999999999</v>
      </c>
      <c r="W28" s="322">
        <f t="shared" si="2"/>
        <v>-606.73</v>
      </c>
    </row>
    <row r="29" spans="1:23" x14ac:dyDescent="0.35">
      <c r="A29" s="142">
        <v>44354</v>
      </c>
      <c r="B29" s="6">
        <v>0.49</v>
      </c>
      <c r="C29" s="296"/>
      <c r="D29" s="325">
        <f t="shared" si="0"/>
        <v>171.5</v>
      </c>
      <c r="E29" s="304">
        <v>0.3</v>
      </c>
      <c r="F29" s="366"/>
      <c r="G29" s="306"/>
      <c r="H29" s="306"/>
      <c r="I29" s="306"/>
      <c r="J29" s="306"/>
      <c r="K29" s="306"/>
      <c r="L29" s="306"/>
      <c r="M29" s="314"/>
      <c r="N29" s="314"/>
      <c r="O29" s="162"/>
      <c r="P29" s="162"/>
      <c r="Q29" s="162"/>
      <c r="R29" s="161"/>
      <c r="S29" s="162"/>
      <c r="T29" s="162"/>
      <c r="U29" s="162"/>
      <c r="V29" s="117">
        <f t="shared" si="1"/>
        <v>0.3</v>
      </c>
      <c r="W29" s="151">
        <f t="shared" si="2"/>
        <v>0</v>
      </c>
    </row>
    <row r="30" spans="1:23" x14ac:dyDescent="0.35">
      <c r="A30" s="142">
        <v>44361</v>
      </c>
      <c r="B30" s="6">
        <v>0.45</v>
      </c>
      <c r="C30" s="296">
        <v>449.37</v>
      </c>
      <c r="D30" s="325">
        <f t="shared" si="0"/>
        <v>606.87</v>
      </c>
      <c r="E30" s="304"/>
      <c r="F30" s="366"/>
      <c r="G30" s="305"/>
      <c r="H30" s="305"/>
      <c r="I30" s="305"/>
      <c r="J30" s="306"/>
      <c r="K30" s="306"/>
      <c r="L30" s="306"/>
      <c r="M30" s="314"/>
      <c r="N30" s="314"/>
      <c r="O30" s="162">
        <v>-67.180000000000007</v>
      </c>
      <c r="P30" s="163"/>
      <c r="Q30" s="163"/>
      <c r="R30" s="161"/>
      <c r="S30" s="163"/>
      <c r="T30" s="163"/>
      <c r="U30" s="163"/>
      <c r="V30" s="117">
        <f t="shared" si="1"/>
        <v>0</v>
      </c>
      <c r="W30" s="151">
        <f t="shared" si="2"/>
        <v>-67.180000000000007</v>
      </c>
    </row>
    <row r="31" spans="1:23" x14ac:dyDescent="0.35">
      <c r="A31" s="142">
        <v>44368</v>
      </c>
      <c r="B31" s="6">
        <v>0.34</v>
      </c>
      <c r="C31" s="296">
        <v>449.37</v>
      </c>
      <c r="D31" s="325">
        <f t="shared" si="0"/>
        <v>568.37</v>
      </c>
      <c r="E31" s="304">
        <v>0.24399999999999999</v>
      </c>
      <c r="F31" s="366"/>
      <c r="G31" s="306"/>
      <c r="H31" s="306"/>
      <c r="I31" s="306"/>
      <c r="J31" s="305"/>
      <c r="K31" s="305"/>
      <c r="L31" s="305"/>
      <c r="M31" s="313"/>
      <c r="N31" s="313"/>
      <c r="O31" s="162">
        <v>-48.79</v>
      </c>
      <c r="P31" s="162"/>
      <c r="Q31" s="162"/>
      <c r="R31" s="161"/>
      <c r="S31" s="162"/>
      <c r="T31" s="162"/>
      <c r="U31" s="162"/>
      <c r="V31" s="117">
        <f t="shared" si="1"/>
        <v>0.24399999999999999</v>
      </c>
      <c r="W31" s="151">
        <f t="shared" si="2"/>
        <v>-48.79</v>
      </c>
    </row>
    <row r="32" spans="1:23" x14ac:dyDescent="0.35">
      <c r="A32" s="142">
        <v>44375</v>
      </c>
      <c r="B32" s="6">
        <v>0.96</v>
      </c>
      <c r="C32" s="296">
        <v>699.02</v>
      </c>
      <c r="D32" s="325">
        <f t="shared" si="0"/>
        <v>1035.02</v>
      </c>
      <c r="E32" s="304"/>
      <c r="F32" s="366"/>
      <c r="G32" s="306"/>
      <c r="H32" s="306"/>
      <c r="I32" s="306"/>
      <c r="J32" s="306"/>
      <c r="K32" s="306"/>
      <c r="L32" s="306"/>
      <c r="M32" s="314"/>
      <c r="N32" s="314"/>
      <c r="O32" s="162">
        <v>-76.56</v>
      </c>
      <c r="P32" s="162"/>
      <c r="Q32" s="162"/>
      <c r="R32" s="161"/>
      <c r="S32" s="162"/>
      <c r="T32" s="162"/>
      <c r="U32" s="162"/>
      <c r="V32" s="117">
        <f t="shared" si="1"/>
        <v>0</v>
      </c>
      <c r="W32" s="151">
        <f t="shared" si="2"/>
        <v>-76.56</v>
      </c>
    </row>
    <row r="33" spans="1:23" x14ac:dyDescent="0.35">
      <c r="A33" s="143" t="s">
        <v>158</v>
      </c>
      <c r="B33" s="28">
        <f>SUM(B29:B32)</f>
        <v>2.2400000000000002</v>
      </c>
      <c r="C33" s="28">
        <f>SUM(C29:C32)</f>
        <v>1597.76</v>
      </c>
      <c r="D33" s="327">
        <f t="shared" si="0"/>
        <v>2381.7600000000002</v>
      </c>
      <c r="E33" s="28">
        <f t="shared" ref="E33:U33" si="8">SUM(E29:E32)</f>
        <v>0.54400000000000004</v>
      </c>
      <c r="F33" s="365">
        <f t="shared" si="8"/>
        <v>0</v>
      </c>
      <c r="G33" s="28">
        <f t="shared" si="8"/>
        <v>0</v>
      </c>
      <c r="H33" s="28">
        <f t="shared" si="8"/>
        <v>0</v>
      </c>
      <c r="I33" s="28">
        <f t="shared" si="8"/>
        <v>0</v>
      </c>
      <c r="J33" s="28">
        <f t="shared" si="8"/>
        <v>0</v>
      </c>
      <c r="K33" s="28">
        <f t="shared" si="8"/>
        <v>0</v>
      </c>
      <c r="L33" s="28">
        <f t="shared" si="8"/>
        <v>0</v>
      </c>
      <c r="M33" s="28">
        <f t="shared" si="8"/>
        <v>0</v>
      </c>
      <c r="N33" s="28">
        <f t="shared" si="8"/>
        <v>0</v>
      </c>
      <c r="O33" s="39">
        <f t="shared" si="8"/>
        <v>-192.53</v>
      </c>
      <c r="P33" s="39">
        <f t="shared" si="8"/>
        <v>0</v>
      </c>
      <c r="Q33" s="39">
        <f t="shared" si="8"/>
        <v>0</v>
      </c>
      <c r="R33" s="39">
        <f t="shared" si="8"/>
        <v>0</v>
      </c>
      <c r="S33" s="39">
        <f t="shared" si="8"/>
        <v>0</v>
      </c>
      <c r="T33" s="39">
        <f t="shared" si="8"/>
        <v>0</v>
      </c>
      <c r="U33" s="39">
        <f t="shared" si="8"/>
        <v>0</v>
      </c>
      <c r="V33" s="311">
        <f t="shared" si="1"/>
        <v>0.54400000000000004</v>
      </c>
      <c r="W33" s="322">
        <f t="shared" si="2"/>
        <v>-192.53</v>
      </c>
    </row>
    <row r="34" spans="1:23" x14ac:dyDescent="0.35">
      <c r="A34" s="142">
        <v>44382</v>
      </c>
      <c r="B34" s="396"/>
      <c r="C34" s="296"/>
      <c r="D34" s="325">
        <f t="shared" ref="D34:D65" si="9">(B34*350)+C34</f>
        <v>0</v>
      </c>
      <c r="E34" s="304"/>
      <c r="F34" s="366"/>
      <c r="G34" s="306"/>
      <c r="H34" s="306"/>
      <c r="I34" s="306"/>
      <c r="J34" s="306"/>
      <c r="K34" s="306"/>
      <c r="L34" s="306"/>
      <c r="M34" s="314"/>
      <c r="N34" s="314"/>
      <c r="O34" s="162">
        <v>-32.880000000000003</v>
      </c>
      <c r="P34" s="162"/>
      <c r="Q34" s="162"/>
      <c r="R34" s="161"/>
      <c r="S34" s="162"/>
      <c r="T34" s="162"/>
      <c r="U34" s="162"/>
      <c r="V34" s="117">
        <f t="shared" ref="V34:V65" si="10">SUM(E34:L34)</f>
        <v>0</v>
      </c>
      <c r="W34" s="151">
        <f t="shared" si="2"/>
        <v>-32.880000000000003</v>
      </c>
    </row>
    <row r="35" spans="1:23" x14ac:dyDescent="0.35">
      <c r="A35" s="142">
        <v>44389</v>
      </c>
      <c r="B35" s="6">
        <v>0.8</v>
      </c>
      <c r="C35" s="296">
        <v>599.16</v>
      </c>
      <c r="D35" s="325">
        <f t="shared" si="9"/>
        <v>879.16</v>
      </c>
      <c r="E35" s="304"/>
      <c r="F35" s="366"/>
      <c r="G35" s="305"/>
      <c r="H35" s="305"/>
      <c r="I35" s="305"/>
      <c r="J35" s="306">
        <v>26.13</v>
      </c>
      <c r="K35" s="306"/>
      <c r="L35" s="306"/>
      <c r="M35" s="314"/>
      <c r="N35" s="314"/>
      <c r="O35" s="163"/>
      <c r="P35" s="163"/>
      <c r="Q35" s="163"/>
      <c r="R35" s="161"/>
      <c r="S35" s="163"/>
      <c r="T35" s="163"/>
      <c r="U35" s="163"/>
      <c r="V35" s="117">
        <f t="shared" si="10"/>
        <v>26.13</v>
      </c>
      <c r="W35" s="151">
        <f t="shared" si="2"/>
        <v>0</v>
      </c>
    </row>
    <row r="36" spans="1:23" x14ac:dyDescent="0.35">
      <c r="A36" s="142">
        <v>44396</v>
      </c>
      <c r="B36" s="6">
        <v>0.79</v>
      </c>
      <c r="C36" s="296">
        <v>699.02</v>
      </c>
      <c r="D36" s="325">
        <f t="shared" si="9"/>
        <v>975.52</v>
      </c>
      <c r="E36" s="304">
        <v>1.28</v>
      </c>
      <c r="F36" s="366"/>
      <c r="G36" s="306"/>
      <c r="H36" s="306"/>
      <c r="I36" s="306"/>
      <c r="J36" s="305"/>
      <c r="K36" s="305"/>
      <c r="L36" s="305" t="s">
        <v>201</v>
      </c>
      <c r="M36" s="313"/>
      <c r="N36" s="313"/>
      <c r="O36" s="162"/>
      <c r="P36" s="162"/>
      <c r="Q36" s="162"/>
      <c r="R36" s="161"/>
      <c r="S36" s="162"/>
      <c r="T36" s="162"/>
      <c r="U36" s="162"/>
      <c r="V36" s="117">
        <f t="shared" si="10"/>
        <v>1.28</v>
      </c>
      <c r="W36" s="151">
        <f t="shared" si="2"/>
        <v>0</v>
      </c>
    </row>
    <row r="37" spans="1:23" x14ac:dyDescent="0.35">
      <c r="A37" s="142">
        <v>44403</v>
      </c>
      <c r="B37" s="6">
        <v>1.1000000000000001</v>
      </c>
      <c r="C37" s="296">
        <v>748.95</v>
      </c>
      <c r="D37" s="325">
        <f t="shared" si="9"/>
        <v>1133.95</v>
      </c>
      <c r="E37" s="304"/>
      <c r="F37" s="366"/>
      <c r="G37" s="306"/>
      <c r="H37" s="306"/>
      <c r="I37" s="306"/>
      <c r="J37" s="306"/>
      <c r="K37" s="306"/>
      <c r="L37" s="306"/>
      <c r="M37" s="314"/>
      <c r="N37" s="314"/>
      <c r="O37" s="162">
        <v>-76.56</v>
      </c>
      <c r="P37" s="162"/>
      <c r="Q37" s="162"/>
      <c r="R37" s="161"/>
      <c r="S37" s="162"/>
      <c r="T37" s="162"/>
      <c r="U37" s="162"/>
      <c r="V37" s="117">
        <f t="shared" si="10"/>
        <v>0</v>
      </c>
      <c r="W37" s="151">
        <f t="shared" si="2"/>
        <v>-76.56</v>
      </c>
    </row>
    <row r="38" spans="1:23" x14ac:dyDescent="0.35">
      <c r="A38" s="143" t="s">
        <v>159</v>
      </c>
      <c r="B38" s="28">
        <f>SUM(B34:B37)</f>
        <v>2.6900000000000004</v>
      </c>
      <c r="C38" s="28">
        <f>SUM(C34:C37)</f>
        <v>2047.1299999999999</v>
      </c>
      <c r="D38" s="327">
        <f t="shared" si="9"/>
        <v>2988.63</v>
      </c>
      <c r="E38" s="28">
        <f t="shared" ref="E38:U38" si="11">SUM(E34:E37)</f>
        <v>1.28</v>
      </c>
      <c r="F38" s="365">
        <f t="shared" si="11"/>
        <v>0</v>
      </c>
      <c r="G38" s="28">
        <f t="shared" si="11"/>
        <v>0</v>
      </c>
      <c r="H38" s="28">
        <f t="shared" si="11"/>
        <v>0</v>
      </c>
      <c r="I38" s="28">
        <f t="shared" si="11"/>
        <v>0</v>
      </c>
      <c r="J38" s="28">
        <f t="shared" si="11"/>
        <v>26.13</v>
      </c>
      <c r="K38" s="28">
        <f t="shared" si="11"/>
        <v>0</v>
      </c>
      <c r="L38" s="28">
        <f t="shared" si="11"/>
        <v>0</v>
      </c>
      <c r="M38" s="28">
        <f t="shared" si="11"/>
        <v>0</v>
      </c>
      <c r="N38" s="28">
        <f t="shared" si="11"/>
        <v>0</v>
      </c>
      <c r="O38" s="39">
        <f t="shared" si="11"/>
        <v>-109.44</v>
      </c>
      <c r="P38" s="39">
        <f t="shared" si="11"/>
        <v>0</v>
      </c>
      <c r="Q38" s="39">
        <f t="shared" si="11"/>
        <v>0</v>
      </c>
      <c r="R38" s="39">
        <f t="shared" si="11"/>
        <v>0</v>
      </c>
      <c r="S38" s="39">
        <f t="shared" si="11"/>
        <v>0</v>
      </c>
      <c r="T38" s="39">
        <f t="shared" si="11"/>
        <v>0</v>
      </c>
      <c r="U38" s="39">
        <f t="shared" si="11"/>
        <v>0</v>
      </c>
      <c r="V38" s="311">
        <f t="shared" si="10"/>
        <v>27.41</v>
      </c>
      <c r="W38" s="322">
        <f t="shared" si="2"/>
        <v>-109.44</v>
      </c>
    </row>
    <row r="39" spans="1:23" x14ac:dyDescent="0.35">
      <c r="A39" s="142">
        <v>44410</v>
      </c>
      <c r="B39" s="6">
        <v>0.83</v>
      </c>
      <c r="C39" s="296">
        <v>699.02</v>
      </c>
      <c r="D39" s="325">
        <f t="shared" si="9"/>
        <v>989.52</v>
      </c>
      <c r="E39" s="304"/>
      <c r="F39" s="366"/>
      <c r="G39" s="305"/>
      <c r="H39" s="305"/>
      <c r="I39" s="305"/>
      <c r="J39" s="306"/>
      <c r="K39" s="306"/>
      <c r="L39" s="306"/>
      <c r="M39" s="314"/>
      <c r="N39" s="314"/>
      <c r="O39" s="163"/>
      <c r="P39" s="163"/>
      <c r="Q39" s="163"/>
      <c r="R39" s="161"/>
      <c r="S39" s="163"/>
      <c r="T39" s="163"/>
      <c r="U39" s="163"/>
      <c r="V39" s="117">
        <f t="shared" si="10"/>
        <v>0</v>
      </c>
      <c r="W39" s="151">
        <f t="shared" si="2"/>
        <v>0</v>
      </c>
    </row>
    <row r="40" spans="1:23" x14ac:dyDescent="0.35">
      <c r="A40" s="142">
        <v>44417</v>
      </c>
      <c r="B40" s="6">
        <v>0.57999999999999996</v>
      </c>
      <c r="C40" s="296">
        <v>1205.24</v>
      </c>
      <c r="D40" s="325">
        <f t="shared" si="9"/>
        <v>1408.24</v>
      </c>
      <c r="E40" s="306"/>
      <c r="F40" s="370"/>
      <c r="G40" s="306"/>
      <c r="H40" s="306"/>
      <c r="I40" s="306"/>
      <c r="J40" s="305"/>
      <c r="K40" s="305"/>
      <c r="L40" s="305"/>
      <c r="M40" s="313"/>
      <c r="N40" s="313"/>
      <c r="O40" s="162"/>
      <c r="P40" s="162"/>
      <c r="Q40" s="162"/>
      <c r="R40" s="161"/>
      <c r="S40" s="162"/>
      <c r="T40" s="162"/>
      <c r="U40" s="162"/>
      <c r="V40" s="117">
        <f t="shared" si="10"/>
        <v>0</v>
      </c>
      <c r="W40" s="151">
        <f t="shared" si="2"/>
        <v>0</v>
      </c>
    </row>
    <row r="41" spans="1:23" x14ac:dyDescent="0.35">
      <c r="A41" s="142">
        <v>44424</v>
      </c>
      <c r="B41" s="6">
        <v>0.34</v>
      </c>
      <c r="C41" s="296"/>
      <c r="D41" s="325">
        <f t="shared" si="9"/>
        <v>119.00000000000001</v>
      </c>
      <c r="E41" s="399">
        <f>1.026+(1.026*0.25)</f>
        <v>1.2825</v>
      </c>
      <c r="F41" s="370"/>
      <c r="G41" s="306"/>
      <c r="H41" s="306"/>
      <c r="I41" s="306"/>
      <c r="J41" s="306"/>
      <c r="K41" s="306"/>
      <c r="L41" s="306"/>
      <c r="M41" s="314"/>
      <c r="N41" s="314"/>
      <c r="O41" s="162"/>
      <c r="P41" s="162"/>
      <c r="Q41" s="162"/>
      <c r="R41" s="161"/>
      <c r="S41" s="162"/>
      <c r="T41" s="162"/>
      <c r="U41" s="162"/>
      <c r="V41" s="117">
        <f t="shared" si="10"/>
        <v>1.2825</v>
      </c>
      <c r="W41" s="151">
        <f t="shared" si="2"/>
        <v>0</v>
      </c>
    </row>
    <row r="42" spans="1:23" x14ac:dyDescent="0.35">
      <c r="A42" s="142">
        <v>44431</v>
      </c>
      <c r="B42" s="396"/>
      <c r="C42" s="296">
        <v>765</v>
      </c>
      <c r="D42" s="325">
        <f t="shared" si="9"/>
        <v>765</v>
      </c>
      <c r="E42" s="306"/>
      <c r="F42" s="370"/>
      <c r="G42" s="306"/>
      <c r="H42" s="306"/>
      <c r="I42" s="306"/>
      <c r="J42" s="306"/>
      <c r="K42" s="306"/>
      <c r="L42" s="306"/>
      <c r="M42" s="314"/>
      <c r="N42" s="314"/>
      <c r="O42" s="162"/>
      <c r="P42" s="162"/>
      <c r="Q42" s="162"/>
      <c r="R42" s="161"/>
      <c r="S42" s="162"/>
      <c r="T42" s="162"/>
      <c r="U42" s="162"/>
      <c r="V42" s="117">
        <f t="shared" si="10"/>
        <v>0</v>
      </c>
      <c r="W42" s="151">
        <f t="shared" si="2"/>
        <v>0</v>
      </c>
    </row>
    <row r="43" spans="1:23" x14ac:dyDescent="0.35">
      <c r="A43" s="142">
        <v>44438</v>
      </c>
      <c r="B43" s="6">
        <v>1.1100000000000001</v>
      </c>
      <c r="C43" s="296"/>
      <c r="D43" s="325">
        <f t="shared" si="9"/>
        <v>388.50000000000006</v>
      </c>
      <c r="E43" s="306"/>
      <c r="F43" s="371"/>
      <c r="G43" s="306"/>
      <c r="H43" s="306"/>
      <c r="I43" s="306"/>
      <c r="J43" s="306"/>
      <c r="K43" s="306"/>
      <c r="L43" s="306"/>
      <c r="M43" s="314"/>
      <c r="N43" s="314"/>
      <c r="O43" s="162">
        <v>-76.56</v>
      </c>
      <c r="P43" s="162"/>
      <c r="Q43" s="162"/>
      <c r="R43" s="161"/>
      <c r="S43" s="162"/>
      <c r="T43" s="162"/>
      <c r="U43" s="162"/>
      <c r="V43" s="117">
        <f t="shared" si="10"/>
        <v>0</v>
      </c>
      <c r="W43" s="151">
        <f t="shared" si="2"/>
        <v>-76.56</v>
      </c>
    </row>
    <row r="44" spans="1:23" x14ac:dyDescent="0.35">
      <c r="A44" s="143" t="s">
        <v>168</v>
      </c>
      <c r="B44" s="28">
        <f>SUM(B39:B43)</f>
        <v>2.8600000000000003</v>
      </c>
      <c r="C44" s="28">
        <f>SUM(C39:C43)</f>
        <v>2669.26</v>
      </c>
      <c r="D44" s="327">
        <f t="shared" si="9"/>
        <v>3670.26</v>
      </c>
      <c r="E44" s="339">
        <f t="shared" ref="E44:U44" si="12">SUM(E39:E43)</f>
        <v>1.2825</v>
      </c>
      <c r="F44" s="372">
        <f t="shared" si="12"/>
        <v>0</v>
      </c>
      <c r="G44" s="187">
        <f t="shared" si="12"/>
        <v>0</v>
      </c>
      <c r="H44" s="187">
        <f t="shared" si="12"/>
        <v>0</v>
      </c>
      <c r="I44" s="187">
        <f t="shared" si="12"/>
        <v>0</v>
      </c>
      <c r="J44" s="187">
        <f t="shared" si="12"/>
        <v>0</v>
      </c>
      <c r="K44" s="187">
        <f t="shared" si="12"/>
        <v>0</v>
      </c>
      <c r="L44" s="187">
        <f t="shared" si="12"/>
        <v>0</v>
      </c>
      <c r="M44" s="187">
        <f t="shared" si="12"/>
        <v>0</v>
      </c>
      <c r="N44" s="187">
        <f t="shared" si="12"/>
        <v>0</v>
      </c>
      <c r="O44" s="40">
        <f t="shared" si="12"/>
        <v>-76.56</v>
      </c>
      <c r="P44" s="40">
        <f t="shared" si="12"/>
        <v>0</v>
      </c>
      <c r="Q44" s="40">
        <f t="shared" si="12"/>
        <v>0</v>
      </c>
      <c r="R44" s="40">
        <f t="shared" si="12"/>
        <v>0</v>
      </c>
      <c r="S44" s="40">
        <f t="shared" si="12"/>
        <v>0</v>
      </c>
      <c r="T44" s="40">
        <f t="shared" si="12"/>
        <v>0</v>
      </c>
      <c r="U44" s="40">
        <f t="shared" si="12"/>
        <v>0</v>
      </c>
      <c r="V44" s="311">
        <f t="shared" si="10"/>
        <v>1.2825</v>
      </c>
      <c r="W44" s="322">
        <f t="shared" si="2"/>
        <v>-76.56</v>
      </c>
    </row>
    <row r="45" spans="1:23" x14ac:dyDescent="0.35">
      <c r="A45" s="142">
        <v>44445</v>
      </c>
      <c r="B45" s="396"/>
      <c r="C45" s="296">
        <v>440.24</v>
      </c>
      <c r="D45" s="325">
        <f t="shared" si="9"/>
        <v>440.24</v>
      </c>
      <c r="E45" s="399">
        <f>0.06825+(0.06825*0.25)</f>
        <v>8.5312500000000013E-2</v>
      </c>
      <c r="F45" s="370">
        <v>0.316</v>
      </c>
      <c r="G45" s="305"/>
      <c r="H45" s="305"/>
      <c r="I45" s="305"/>
      <c r="J45" s="306"/>
      <c r="K45" s="306"/>
      <c r="L45" s="306"/>
      <c r="M45" s="314"/>
      <c r="N45" s="314"/>
      <c r="O45" s="162">
        <v>-13.93</v>
      </c>
      <c r="P45" s="162">
        <v>-109.05</v>
      </c>
      <c r="Q45" s="163"/>
      <c r="R45" s="161"/>
      <c r="S45" s="163"/>
      <c r="T45" s="163"/>
      <c r="U45" s="163"/>
      <c r="V45" s="117">
        <f t="shared" si="10"/>
        <v>0.40131250000000002</v>
      </c>
      <c r="W45" s="151">
        <f t="shared" si="2"/>
        <v>-122.97999999999999</v>
      </c>
    </row>
    <row r="46" spans="1:23" x14ac:dyDescent="0.35">
      <c r="A46" s="142">
        <v>44455</v>
      </c>
      <c r="B46" s="6">
        <v>1.81</v>
      </c>
      <c r="C46" s="296">
        <v>649.09</v>
      </c>
      <c r="D46" s="325">
        <f t="shared" si="9"/>
        <v>1282.5900000000001</v>
      </c>
      <c r="E46" s="400">
        <f>0.57675+(0.57675*0.25)</f>
        <v>0.72093750000000001</v>
      </c>
      <c r="F46" s="366"/>
      <c r="G46" s="306"/>
      <c r="H46" s="306"/>
      <c r="I46" s="306"/>
      <c r="J46" s="305"/>
      <c r="K46" s="305"/>
      <c r="L46" s="305"/>
      <c r="M46" s="313"/>
      <c r="N46" s="313"/>
      <c r="O46" s="162">
        <v>-72.25</v>
      </c>
      <c r="P46" s="162"/>
      <c r="Q46" s="162"/>
      <c r="R46" s="161"/>
      <c r="S46" s="162"/>
      <c r="T46" s="162"/>
      <c r="U46" s="162"/>
      <c r="V46" s="117">
        <f t="shared" si="10"/>
        <v>0.72093750000000001</v>
      </c>
      <c r="W46" s="151">
        <f t="shared" si="2"/>
        <v>-72.25</v>
      </c>
    </row>
    <row r="47" spans="1:23" x14ac:dyDescent="0.35">
      <c r="A47" s="142">
        <v>44465</v>
      </c>
      <c r="B47" s="6">
        <v>0.82</v>
      </c>
      <c r="C47" s="296"/>
      <c r="D47" s="325">
        <f t="shared" si="9"/>
        <v>287</v>
      </c>
      <c r="E47" s="304"/>
      <c r="F47" s="366"/>
      <c r="G47" s="306"/>
      <c r="H47" s="306"/>
      <c r="I47" s="306"/>
      <c r="J47" s="305"/>
      <c r="K47" s="305"/>
      <c r="L47" s="305"/>
      <c r="M47" s="313"/>
      <c r="N47" s="313"/>
      <c r="O47" s="162"/>
      <c r="P47" s="162"/>
      <c r="Q47" s="162"/>
      <c r="R47" s="161"/>
      <c r="S47" s="162"/>
      <c r="T47" s="162"/>
      <c r="U47" s="162"/>
      <c r="V47" s="117">
        <f t="shared" si="10"/>
        <v>0</v>
      </c>
      <c r="W47" s="151">
        <f t="shared" si="2"/>
        <v>0</v>
      </c>
    </row>
    <row r="48" spans="1:23" x14ac:dyDescent="0.35">
      <c r="A48" s="144" t="s">
        <v>180</v>
      </c>
      <c r="B48" s="28">
        <f>SUM(B45:B47)</f>
        <v>2.63</v>
      </c>
      <c r="C48" s="28">
        <f>SUM(C45:C47)</f>
        <v>1089.33</v>
      </c>
      <c r="D48" s="327">
        <f t="shared" si="9"/>
        <v>2009.83</v>
      </c>
      <c r="E48" s="29">
        <f t="shared" ref="E48:U48" si="13">SUM(E45:E47)</f>
        <v>0.80625000000000002</v>
      </c>
      <c r="F48" s="365">
        <f t="shared" si="13"/>
        <v>0.316</v>
      </c>
      <c r="G48" s="28">
        <f t="shared" si="13"/>
        <v>0</v>
      </c>
      <c r="H48" s="28">
        <f t="shared" si="13"/>
        <v>0</v>
      </c>
      <c r="I48" s="28">
        <f t="shared" si="13"/>
        <v>0</v>
      </c>
      <c r="J48" s="28">
        <f t="shared" si="13"/>
        <v>0</v>
      </c>
      <c r="K48" s="28">
        <f t="shared" si="13"/>
        <v>0</v>
      </c>
      <c r="L48" s="28">
        <f t="shared" si="13"/>
        <v>0</v>
      </c>
      <c r="M48" s="28">
        <f t="shared" si="13"/>
        <v>0</v>
      </c>
      <c r="N48" s="28">
        <f t="shared" si="13"/>
        <v>0</v>
      </c>
      <c r="O48" s="39">
        <f t="shared" si="13"/>
        <v>-86.18</v>
      </c>
      <c r="P48" s="39">
        <f t="shared" si="13"/>
        <v>-109.05</v>
      </c>
      <c r="Q48" s="39">
        <f t="shared" si="13"/>
        <v>0</v>
      </c>
      <c r="R48" s="39">
        <f t="shared" si="13"/>
        <v>0</v>
      </c>
      <c r="S48" s="39">
        <f t="shared" si="13"/>
        <v>0</v>
      </c>
      <c r="T48" s="39">
        <f t="shared" si="13"/>
        <v>0</v>
      </c>
      <c r="U48" s="39">
        <f t="shared" si="13"/>
        <v>0</v>
      </c>
      <c r="V48" s="311">
        <f t="shared" si="10"/>
        <v>1.12225</v>
      </c>
      <c r="W48" s="322">
        <f t="shared" si="2"/>
        <v>-195.23000000000002</v>
      </c>
    </row>
    <row r="49" spans="1:25" x14ac:dyDescent="0.35">
      <c r="A49" s="142">
        <v>44473</v>
      </c>
      <c r="B49" s="6">
        <v>0.36</v>
      </c>
      <c r="C49" s="296"/>
      <c r="D49" s="325">
        <f t="shared" si="9"/>
        <v>126</v>
      </c>
      <c r="E49" s="304"/>
      <c r="F49" s="366"/>
      <c r="G49" s="305"/>
      <c r="H49" s="305"/>
      <c r="I49" s="305"/>
      <c r="J49" s="306"/>
      <c r="K49" s="306"/>
      <c r="L49" s="306"/>
      <c r="M49" s="314"/>
      <c r="N49" s="314"/>
      <c r="O49" s="162">
        <v>-33.51</v>
      </c>
      <c r="P49" s="163"/>
      <c r="Q49" s="163"/>
      <c r="R49" s="161"/>
      <c r="S49" s="163"/>
      <c r="T49" s="163"/>
      <c r="U49" s="163"/>
      <c r="V49" s="117">
        <f t="shared" si="10"/>
        <v>0</v>
      </c>
      <c r="W49" s="151">
        <f t="shared" si="2"/>
        <v>-33.51</v>
      </c>
    </row>
    <row r="50" spans="1:25" x14ac:dyDescent="0.35">
      <c r="A50" s="142">
        <v>44480</v>
      </c>
      <c r="B50" s="396"/>
      <c r="C50" s="296">
        <v>499.3</v>
      </c>
      <c r="D50" s="325">
        <f t="shared" si="9"/>
        <v>499.3</v>
      </c>
      <c r="E50" s="400">
        <f>0.2175+(0.2175*0.25)</f>
        <v>0.27187499999999998</v>
      </c>
      <c r="F50" s="366"/>
      <c r="G50" s="306"/>
      <c r="H50" s="306"/>
      <c r="I50" s="306"/>
      <c r="J50" s="305"/>
      <c r="K50" s="305"/>
      <c r="L50" s="305">
        <v>12</v>
      </c>
      <c r="M50" s="313"/>
      <c r="N50" s="313"/>
      <c r="O50" s="162"/>
      <c r="P50" s="162"/>
      <c r="Q50" s="162"/>
      <c r="R50" s="161"/>
      <c r="S50" s="162"/>
      <c r="T50" s="162"/>
      <c r="U50" s="162"/>
      <c r="V50" s="117">
        <f t="shared" si="10"/>
        <v>12.271875</v>
      </c>
      <c r="W50" s="151">
        <f t="shared" si="2"/>
        <v>0</v>
      </c>
    </row>
    <row r="51" spans="1:25" x14ac:dyDescent="0.35">
      <c r="A51" s="142">
        <v>44487</v>
      </c>
      <c r="B51" s="396"/>
      <c r="C51" s="296">
        <v>499.3</v>
      </c>
      <c r="D51" s="325">
        <f t="shared" si="9"/>
        <v>499.3</v>
      </c>
      <c r="E51" s="304"/>
      <c r="F51" s="366"/>
      <c r="G51" s="306"/>
      <c r="H51" s="306"/>
      <c r="I51" s="306"/>
      <c r="J51" s="306"/>
      <c r="K51" s="306"/>
      <c r="L51" s="306"/>
      <c r="M51" s="314"/>
      <c r="N51" s="314"/>
      <c r="O51" s="162"/>
      <c r="P51" s="162"/>
      <c r="Q51" s="162"/>
      <c r="R51" s="161"/>
      <c r="S51" s="162"/>
      <c r="T51" s="162"/>
      <c r="U51" s="162"/>
      <c r="V51" s="117">
        <f t="shared" si="10"/>
        <v>0</v>
      </c>
      <c r="W51" s="151">
        <f t="shared" si="2"/>
        <v>0</v>
      </c>
    </row>
    <row r="52" spans="1:25" x14ac:dyDescent="0.35">
      <c r="A52" s="142">
        <v>44494</v>
      </c>
      <c r="B52" s="6">
        <v>0.86</v>
      </c>
      <c r="C52" s="296"/>
      <c r="D52" s="325">
        <f t="shared" si="9"/>
        <v>301</v>
      </c>
      <c r="E52" s="304"/>
      <c r="F52" s="366"/>
      <c r="G52" s="306"/>
      <c r="H52" s="306"/>
      <c r="I52" s="306"/>
      <c r="J52" s="306"/>
      <c r="K52" s="306"/>
      <c r="L52" s="306"/>
      <c r="M52" s="314"/>
      <c r="N52" s="314"/>
      <c r="O52" s="162"/>
      <c r="P52" s="162"/>
      <c r="Q52" s="162"/>
      <c r="R52" s="161"/>
      <c r="S52" s="162"/>
      <c r="T52" s="162"/>
      <c r="U52" s="162"/>
      <c r="V52" s="117">
        <f t="shared" si="10"/>
        <v>0</v>
      </c>
      <c r="W52" s="151">
        <f t="shared" si="2"/>
        <v>0</v>
      </c>
    </row>
    <row r="53" spans="1:25" x14ac:dyDescent="0.35">
      <c r="A53" s="143" t="s">
        <v>182</v>
      </c>
      <c r="B53" s="28">
        <f>SUM(B49:B52)</f>
        <v>1.22</v>
      </c>
      <c r="C53" s="28">
        <f>SUM(C49:C52)</f>
        <v>998.6</v>
      </c>
      <c r="D53" s="327">
        <f t="shared" si="9"/>
        <v>1425.6</v>
      </c>
      <c r="E53" s="28">
        <f t="shared" ref="E53:U53" si="14">SUM(E49:E52)</f>
        <v>0.27187499999999998</v>
      </c>
      <c r="F53" s="365">
        <f t="shared" si="14"/>
        <v>0</v>
      </c>
      <c r="G53" s="28">
        <f t="shared" si="14"/>
        <v>0</v>
      </c>
      <c r="H53" s="28">
        <f t="shared" si="14"/>
        <v>0</v>
      </c>
      <c r="I53" s="28">
        <f t="shared" si="14"/>
        <v>0</v>
      </c>
      <c r="J53" s="28">
        <f t="shared" si="14"/>
        <v>0</v>
      </c>
      <c r="K53" s="28">
        <f t="shared" si="14"/>
        <v>0</v>
      </c>
      <c r="L53" s="28">
        <f t="shared" si="14"/>
        <v>12</v>
      </c>
      <c r="M53" s="28">
        <f t="shared" si="14"/>
        <v>0</v>
      </c>
      <c r="N53" s="28">
        <f t="shared" si="14"/>
        <v>0</v>
      </c>
      <c r="O53" s="39">
        <f t="shared" si="14"/>
        <v>-33.51</v>
      </c>
      <c r="P53" s="39">
        <f t="shared" si="14"/>
        <v>0</v>
      </c>
      <c r="Q53" s="39">
        <f t="shared" si="14"/>
        <v>0</v>
      </c>
      <c r="R53" s="39">
        <f t="shared" si="14"/>
        <v>0</v>
      </c>
      <c r="S53" s="39">
        <f t="shared" si="14"/>
        <v>0</v>
      </c>
      <c r="T53" s="39">
        <f t="shared" si="14"/>
        <v>0</v>
      </c>
      <c r="U53" s="39">
        <f t="shared" si="14"/>
        <v>0</v>
      </c>
      <c r="V53" s="311">
        <f t="shared" si="10"/>
        <v>12.271875</v>
      </c>
      <c r="W53" s="322">
        <f t="shared" si="2"/>
        <v>-33.51</v>
      </c>
    </row>
    <row r="54" spans="1:25" x14ac:dyDescent="0.35">
      <c r="A54" s="142">
        <v>44501</v>
      </c>
      <c r="B54" s="6"/>
      <c r="C54" s="296">
        <v>939.54</v>
      </c>
      <c r="D54" s="325">
        <f t="shared" si="9"/>
        <v>939.54</v>
      </c>
      <c r="E54" s="304"/>
      <c r="F54" s="366"/>
      <c r="G54" s="306"/>
      <c r="H54" s="306"/>
      <c r="I54" s="306"/>
      <c r="J54" s="306"/>
      <c r="K54" s="306"/>
      <c r="L54" s="306"/>
      <c r="M54" s="314"/>
      <c r="N54" s="314"/>
      <c r="O54" s="162">
        <v>-16.059999999999999</v>
      </c>
      <c r="P54" s="162"/>
      <c r="Q54" s="162"/>
      <c r="R54" s="161"/>
      <c r="S54" s="162"/>
      <c r="T54" s="162"/>
      <c r="U54" s="162"/>
      <c r="V54" s="117">
        <f t="shared" si="10"/>
        <v>0</v>
      </c>
      <c r="W54" s="151">
        <f t="shared" si="2"/>
        <v>-16.059999999999999</v>
      </c>
    </row>
    <row r="55" spans="1:25" x14ac:dyDescent="0.35">
      <c r="A55" s="142">
        <v>44508</v>
      </c>
      <c r="B55" s="6">
        <v>0.92</v>
      </c>
      <c r="C55" s="296">
        <v>440.24</v>
      </c>
      <c r="D55" s="325">
        <f t="shared" si="9"/>
        <v>762.24</v>
      </c>
      <c r="E55" s="400">
        <f>0.171+(0.171*0.25)</f>
        <v>0.21375000000000002</v>
      </c>
      <c r="F55" s="366"/>
      <c r="G55" s="305"/>
      <c r="H55" s="305"/>
      <c r="I55" s="305"/>
      <c r="J55" s="306"/>
      <c r="K55" s="306"/>
      <c r="L55" s="306"/>
      <c r="M55" s="314"/>
      <c r="N55" s="314"/>
      <c r="O55" s="163"/>
      <c r="P55" s="163"/>
      <c r="Q55" s="163"/>
      <c r="R55" s="161"/>
      <c r="S55" s="163"/>
      <c r="T55" s="163"/>
      <c r="U55" s="163"/>
      <c r="V55" s="117">
        <f t="shared" si="10"/>
        <v>0.21375000000000002</v>
      </c>
      <c r="W55" s="151">
        <f t="shared" si="2"/>
        <v>0</v>
      </c>
    </row>
    <row r="56" spans="1:25" x14ac:dyDescent="0.35">
      <c r="A56" s="142">
        <v>44515</v>
      </c>
      <c r="B56" s="6"/>
      <c r="C56" s="296">
        <v>440.24</v>
      </c>
      <c r="D56" s="325">
        <f t="shared" si="9"/>
        <v>440.24</v>
      </c>
      <c r="E56" s="304"/>
      <c r="F56" s="366"/>
      <c r="G56" s="306"/>
      <c r="H56" s="306"/>
      <c r="I56" s="306"/>
      <c r="J56" s="305"/>
      <c r="K56" s="305"/>
      <c r="L56" s="305"/>
      <c r="M56" s="313"/>
      <c r="N56" s="313"/>
      <c r="O56" s="162"/>
      <c r="P56" s="162"/>
      <c r="Q56" s="162"/>
      <c r="R56" s="161"/>
      <c r="S56" s="162"/>
      <c r="T56" s="162"/>
      <c r="U56" s="162"/>
      <c r="V56" s="117">
        <f t="shared" si="10"/>
        <v>0</v>
      </c>
      <c r="W56" s="151">
        <f t="shared" si="2"/>
        <v>0</v>
      </c>
    </row>
    <row r="57" spans="1:25" x14ac:dyDescent="0.35">
      <c r="A57" s="142">
        <v>44522</v>
      </c>
      <c r="B57" s="6">
        <v>0.69</v>
      </c>
      <c r="C57" s="296"/>
      <c r="D57" s="325">
        <f t="shared" si="9"/>
        <v>241.49999999999997</v>
      </c>
      <c r="E57" s="304"/>
      <c r="F57" s="366"/>
      <c r="G57" s="306"/>
      <c r="H57" s="306"/>
      <c r="I57" s="306"/>
      <c r="J57" s="306"/>
      <c r="K57" s="306"/>
      <c r="L57" s="306"/>
      <c r="M57" s="314"/>
      <c r="N57" s="314"/>
      <c r="O57" s="162"/>
      <c r="P57" s="162"/>
      <c r="Q57" s="162"/>
      <c r="R57" s="161"/>
      <c r="S57" s="162"/>
      <c r="T57" s="162"/>
      <c r="U57" s="162"/>
      <c r="V57" s="117">
        <f t="shared" si="10"/>
        <v>0</v>
      </c>
      <c r="W57" s="151">
        <f t="shared" si="2"/>
        <v>0</v>
      </c>
    </row>
    <row r="58" spans="1:25" x14ac:dyDescent="0.35">
      <c r="A58" s="142">
        <v>44529</v>
      </c>
      <c r="B58" s="6"/>
      <c r="C58" s="296"/>
      <c r="D58" s="325">
        <f t="shared" si="9"/>
        <v>0</v>
      </c>
      <c r="E58" s="304"/>
      <c r="F58" s="366"/>
      <c r="G58" s="306"/>
      <c r="H58" s="306"/>
      <c r="I58" s="306"/>
      <c r="J58" s="306"/>
      <c r="K58" s="306"/>
      <c r="L58" s="306"/>
      <c r="M58" s="314"/>
      <c r="N58" s="314"/>
      <c r="O58" s="162"/>
      <c r="P58" s="162"/>
      <c r="Q58" s="162"/>
      <c r="R58" s="161"/>
      <c r="S58" s="162"/>
      <c r="T58" s="162"/>
      <c r="U58" s="162"/>
      <c r="V58" s="117">
        <f t="shared" si="10"/>
        <v>0</v>
      </c>
      <c r="W58" s="151">
        <f t="shared" si="2"/>
        <v>0</v>
      </c>
    </row>
    <row r="59" spans="1:25" x14ac:dyDescent="0.35">
      <c r="A59" s="143" t="s">
        <v>181</v>
      </c>
      <c r="B59" s="28">
        <f>SUM(B54:B58)</f>
        <v>1.6099999999999999</v>
      </c>
      <c r="C59" s="28">
        <f>SUM(C54:C58)</f>
        <v>1820.02</v>
      </c>
      <c r="D59" s="327">
        <f>(B59*350)+C59</f>
        <v>2383.52</v>
      </c>
      <c r="E59" s="28">
        <f>SUM(E54:E58)</f>
        <v>0.21375000000000002</v>
      </c>
      <c r="F59" s="365">
        <f t="shared" ref="F59:U59" si="15">SUM(F54:F58)</f>
        <v>0</v>
      </c>
      <c r="G59" s="28">
        <f t="shared" si="15"/>
        <v>0</v>
      </c>
      <c r="H59" s="28">
        <f t="shared" si="15"/>
        <v>0</v>
      </c>
      <c r="I59" s="28">
        <f t="shared" si="15"/>
        <v>0</v>
      </c>
      <c r="J59" s="28">
        <f t="shared" si="15"/>
        <v>0</v>
      </c>
      <c r="K59" s="28">
        <f t="shared" si="15"/>
        <v>0</v>
      </c>
      <c r="L59" s="28">
        <f t="shared" si="15"/>
        <v>0</v>
      </c>
      <c r="M59" s="28">
        <f t="shared" si="15"/>
        <v>0</v>
      </c>
      <c r="N59" s="28">
        <f t="shared" si="15"/>
        <v>0</v>
      </c>
      <c r="O59" s="39">
        <f t="shared" si="15"/>
        <v>-16.059999999999999</v>
      </c>
      <c r="P59" s="39">
        <f t="shared" si="15"/>
        <v>0</v>
      </c>
      <c r="Q59" s="39">
        <f t="shared" si="15"/>
        <v>0</v>
      </c>
      <c r="R59" s="39">
        <f t="shared" si="15"/>
        <v>0</v>
      </c>
      <c r="S59" s="39">
        <f t="shared" si="15"/>
        <v>0</v>
      </c>
      <c r="T59" s="39">
        <f t="shared" si="15"/>
        <v>0</v>
      </c>
      <c r="U59" s="39">
        <f t="shared" si="15"/>
        <v>0</v>
      </c>
      <c r="V59" s="311">
        <f t="shared" si="10"/>
        <v>0.21375000000000002</v>
      </c>
      <c r="W59" s="322">
        <f t="shared" si="2"/>
        <v>-16.059999999999999</v>
      </c>
    </row>
    <row r="60" spans="1:25" x14ac:dyDescent="0.35">
      <c r="A60" s="142">
        <v>44536</v>
      </c>
      <c r="B60" s="6">
        <v>0.78</v>
      </c>
      <c r="C60" s="296">
        <v>649.09</v>
      </c>
      <c r="D60" s="325">
        <f t="shared" si="9"/>
        <v>922.09</v>
      </c>
      <c r="E60" s="304"/>
      <c r="F60" s="366"/>
      <c r="G60" s="306"/>
      <c r="H60" s="306"/>
      <c r="I60" s="306"/>
      <c r="J60" s="306"/>
      <c r="K60" s="306"/>
      <c r="L60" s="306"/>
      <c r="M60" s="314"/>
      <c r="N60" s="314"/>
      <c r="O60" s="162"/>
      <c r="P60" s="162"/>
      <c r="Q60" s="162"/>
      <c r="R60" s="161"/>
      <c r="S60" s="162"/>
      <c r="T60" s="162"/>
      <c r="U60" s="162"/>
      <c r="V60" s="117">
        <f t="shared" si="10"/>
        <v>0</v>
      </c>
      <c r="W60" s="151">
        <f t="shared" si="2"/>
        <v>0</v>
      </c>
      <c r="Y60" s="323"/>
    </row>
    <row r="61" spans="1:25" x14ac:dyDescent="0.35">
      <c r="A61" s="142">
        <v>44543</v>
      </c>
      <c r="B61" s="6"/>
      <c r="C61" s="296">
        <v>549.23</v>
      </c>
      <c r="D61" s="325">
        <f t="shared" si="9"/>
        <v>549.23</v>
      </c>
      <c r="E61" s="304"/>
      <c r="F61" s="366"/>
      <c r="G61" s="305"/>
      <c r="H61" s="305"/>
      <c r="I61" s="305"/>
      <c r="J61" s="306"/>
      <c r="K61" s="306"/>
      <c r="L61" s="306"/>
      <c r="M61" s="314"/>
      <c r="N61" s="314"/>
      <c r="O61" s="163"/>
      <c r="P61" s="163"/>
      <c r="Q61" s="163"/>
      <c r="R61" s="161"/>
      <c r="S61" s="163"/>
      <c r="T61" s="163"/>
      <c r="U61" s="163"/>
      <c r="V61" s="117">
        <f t="shared" si="10"/>
        <v>0</v>
      </c>
      <c r="W61" s="151">
        <f t="shared" si="2"/>
        <v>0</v>
      </c>
    </row>
    <row r="62" spans="1:25" x14ac:dyDescent="0.35">
      <c r="A62" s="142">
        <v>44550</v>
      </c>
      <c r="B62" s="6"/>
      <c r="C62" s="296"/>
      <c r="D62" s="325">
        <f t="shared" si="9"/>
        <v>0</v>
      </c>
      <c r="E62" s="304"/>
      <c r="F62" s="366"/>
      <c r="G62" s="306"/>
      <c r="H62" s="306"/>
      <c r="I62" s="306"/>
      <c r="J62" s="305"/>
      <c r="K62" s="305"/>
      <c r="L62" s="305"/>
      <c r="M62" s="313"/>
      <c r="N62" s="313"/>
      <c r="O62" s="162"/>
      <c r="P62" s="162"/>
      <c r="Q62" s="162"/>
      <c r="R62" s="161"/>
      <c r="S62" s="162"/>
      <c r="T62" s="162"/>
      <c r="U62" s="162"/>
      <c r="V62" s="117">
        <f t="shared" si="10"/>
        <v>0</v>
      </c>
      <c r="W62" s="151">
        <f t="shared" si="2"/>
        <v>0</v>
      </c>
    </row>
    <row r="63" spans="1:25" x14ac:dyDescent="0.35">
      <c r="A63" s="142">
        <v>44557</v>
      </c>
      <c r="B63" s="6"/>
      <c r="C63" s="296"/>
      <c r="D63" s="325">
        <f t="shared" si="9"/>
        <v>0</v>
      </c>
      <c r="E63" s="304"/>
      <c r="F63" s="366"/>
      <c r="G63" s="306"/>
      <c r="H63" s="306"/>
      <c r="I63" s="306"/>
      <c r="J63" s="306"/>
      <c r="K63" s="306"/>
      <c r="L63" s="306"/>
      <c r="M63" s="314"/>
      <c r="N63" s="314"/>
      <c r="O63" s="162"/>
      <c r="P63" s="162"/>
      <c r="Q63" s="162"/>
      <c r="R63" s="161"/>
      <c r="S63" s="162"/>
      <c r="T63" s="162"/>
      <c r="U63" s="162"/>
      <c r="V63" s="117">
        <f t="shared" si="10"/>
        <v>0</v>
      </c>
      <c r="W63" s="151">
        <f t="shared" si="2"/>
        <v>0</v>
      </c>
    </row>
    <row r="64" spans="1:25" ht="15" thickBot="1" x14ac:dyDescent="0.4">
      <c r="A64" s="143" t="s">
        <v>183</v>
      </c>
      <c r="B64" s="28">
        <f>SUM(B60:B63)</f>
        <v>0.78</v>
      </c>
      <c r="C64" s="28">
        <f>SUM(C60:C63)</f>
        <v>1198.3200000000002</v>
      </c>
      <c r="D64" s="327">
        <f t="shared" si="9"/>
        <v>1471.3200000000002</v>
      </c>
      <c r="E64" s="28">
        <f>SUM(E60:E63)</f>
        <v>0</v>
      </c>
      <c r="F64" s="365">
        <f t="shared" ref="F64:U64" si="16">SUM(F60:F63)</f>
        <v>0</v>
      </c>
      <c r="G64" s="28">
        <f t="shared" si="16"/>
        <v>0</v>
      </c>
      <c r="H64" s="28">
        <f t="shared" si="16"/>
        <v>0</v>
      </c>
      <c r="I64" s="28">
        <f t="shared" si="16"/>
        <v>0</v>
      </c>
      <c r="J64" s="28">
        <f t="shared" si="16"/>
        <v>0</v>
      </c>
      <c r="K64" s="28">
        <f t="shared" si="16"/>
        <v>0</v>
      </c>
      <c r="L64" s="28">
        <f t="shared" si="16"/>
        <v>0</v>
      </c>
      <c r="M64" s="28">
        <f t="shared" si="16"/>
        <v>0</v>
      </c>
      <c r="N64" s="28">
        <f t="shared" si="16"/>
        <v>0</v>
      </c>
      <c r="O64" s="39">
        <f t="shared" si="16"/>
        <v>0</v>
      </c>
      <c r="P64" s="39">
        <f t="shared" si="16"/>
        <v>0</v>
      </c>
      <c r="Q64" s="39">
        <f t="shared" si="16"/>
        <v>0</v>
      </c>
      <c r="R64" s="39">
        <f t="shared" si="16"/>
        <v>0</v>
      </c>
      <c r="S64" s="39">
        <f t="shared" si="16"/>
        <v>0</v>
      </c>
      <c r="T64" s="39">
        <f t="shared" si="16"/>
        <v>0</v>
      </c>
      <c r="U64" s="39">
        <f t="shared" si="16"/>
        <v>0</v>
      </c>
      <c r="V64" s="320">
        <f t="shared" si="10"/>
        <v>0</v>
      </c>
      <c r="W64" s="321">
        <f t="shared" si="2"/>
        <v>0</v>
      </c>
    </row>
    <row r="65" spans="1:23" s="324" customFormat="1" ht="18.5" thickBot="1" x14ac:dyDescent="0.4">
      <c r="A65" s="279" t="s">
        <v>156</v>
      </c>
      <c r="B65" s="271">
        <f>SUM(B64,B59,B53,B48,B44,B38,B33,B28,B22,B17,B11,B6)</f>
        <v>25.7</v>
      </c>
      <c r="C65" s="274">
        <f>SUM(C64,C59,C53,C48,C44,C38,C33,C28,C22,C17,C11,C6)</f>
        <v>18536.740000000002</v>
      </c>
      <c r="D65" s="326">
        <f t="shared" si="9"/>
        <v>27531.74</v>
      </c>
      <c r="E65" s="271">
        <f t="shared" ref="E65:U65" si="17">SUM(E64,E59,E53,E48,E44,E38,E33,E28,E22,E17,E11,E6)</f>
        <v>11.725375</v>
      </c>
      <c r="F65" s="373">
        <f t="shared" si="17"/>
        <v>0.89</v>
      </c>
      <c r="G65" s="271">
        <f t="shared" si="17"/>
        <v>0.68200000000000005</v>
      </c>
      <c r="H65" s="271">
        <f t="shared" si="17"/>
        <v>0</v>
      </c>
      <c r="I65" s="271">
        <f t="shared" si="17"/>
        <v>0</v>
      </c>
      <c r="J65" s="271">
        <f t="shared" si="17"/>
        <v>26.13</v>
      </c>
      <c r="K65" s="271">
        <f t="shared" si="17"/>
        <v>2</v>
      </c>
      <c r="L65" s="271">
        <f t="shared" si="17"/>
        <v>12</v>
      </c>
      <c r="M65" s="271">
        <f t="shared" si="17"/>
        <v>0</v>
      </c>
      <c r="N65" s="271">
        <f t="shared" si="17"/>
        <v>0</v>
      </c>
      <c r="O65" s="274">
        <f t="shared" si="17"/>
        <v>-1712.4099999999999</v>
      </c>
      <c r="P65" s="274">
        <f t="shared" si="17"/>
        <v>-302.32</v>
      </c>
      <c r="Q65" s="274">
        <f t="shared" si="17"/>
        <v>-156.82</v>
      </c>
      <c r="R65" s="274">
        <f t="shared" si="17"/>
        <v>0</v>
      </c>
      <c r="S65" s="274">
        <f t="shared" si="17"/>
        <v>-90</v>
      </c>
      <c r="T65" s="274">
        <f t="shared" si="17"/>
        <v>0</v>
      </c>
      <c r="U65" s="274">
        <f t="shared" si="17"/>
        <v>0</v>
      </c>
      <c r="V65" s="173">
        <f t="shared" si="10"/>
        <v>53.427374999999998</v>
      </c>
      <c r="W65" s="154">
        <f t="shared" si="2"/>
        <v>-2261.5499999999997</v>
      </c>
    </row>
    <row r="66" spans="1:23" ht="15" thickBot="1" x14ac:dyDescent="0.4"/>
    <row r="67" spans="1:23" ht="23.5" x14ac:dyDescent="0.55000000000000004">
      <c r="B67" s="338" t="s">
        <v>108</v>
      </c>
      <c r="C67" s="328"/>
      <c r="D67" s="329"/>
      <c r="F67" s="395" t="s">
        <v>188</v>
      </c>
      <c r="G67" s="336"/>
      <c r="H67" s="336"/>
      <c r="I67" s="337"/>
      <c r="U67" s="330" t="s">
        <v>186</v>
      </c>
      <c r="V67" s="331"/>
      <c r="W67" s="332"/>
    </row>
    <row r="68" spans="1:23" ht="24" thickBot="1" x14ac:dyDescent="0.6">
      <c r="B68" s="426">
        <f>D65/B65</f>
        <v>1071.2739299610896</v>
      </c>
      <c r="C68" s="427"/>
      <c r="D68" s="428"/>
      <c r="F68" s="429">
        <f>(W65+D65)/(V65+B65)</f>
        <v>319.36090385912593</v>
      </c>
      <c r="G68" s="430"/>
      <c r="H68" s="430"/>
      <c r="I68" s="431"/>
      <c r="U68" s="333">
        <f>W65/V65</f>
        <v>-42.329423820653737</v>
      </c>
      <c r="V68" s="334"/>
      <c r="W68" s="335"/>
    </row>
  </sheetData>
  <mergeCells count="2">
    <mergeCell ref="B68:D68"/>
    <mergeCell ref="F68:I68"/>
  </mergeCells>
  <pageMargins left="0.7" right="0.7" top="0.75" bottom="0.75" header="0.3" footer="0.3"/>
  <ignoredErrors>
    <ignoredError sqref="D6 D11 D17 D22 D28 D33 D38 D44 D64:D65 D53 D48" formula="1"/>
  </ignoredErrors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E637-2FA2-4C07-B391-FAC3D55A1A13}">
  <sheetPr>
    <tabColor rgb="FF7030A0"/>
  </sheetPr>
  <dimension ref="A1:I65"/>
  <sheetViews>
    <sheetView workbookViewId="0">
      <selection activeCell="E70" sqref="E70"/>
    </sheetView>
  </sheetViews>
  <sheetFormatPr defaultRowHeight="14.5" x14ac:dyDescent="0.35"/>
  <cols>
    <col min="1" max="1" width="14.453125" bestFit="1" customWidth="1"/>
    <col min="2" max="2" width="12.54296875" customWidth="1"/>
    <col min="3" max="3" width="12.26953125" customWidth="1"/>
    <col min="4" max="4" width="11.453125" customWidth="1"/>
    <col min="5" max="5" width="12.453125" customWidth="1"/>
    <col min="6" max="6" width="12.1796875" customWidth="1"/>
    <col min="8" max="8" width="12.453125" customWidth="1"/>
    <col min="9" max="9" width="13.453125" customWidth="1"/>
  </cols>
  <sheetData>
    <row r="1" spans="1:9" ht="64.5" customHeight="1" x14ac:dyDescent="0.35">
      <c r="A1" s="353" t="s">
        <v>192</v>
      </c>
      <c r="B1" s="354" t="s">
        <v>193</v>
      </c>
      <c r="C1" s="355" t="s">
        <v>194</v>
      </c>
      <c r="D1" s="354" t="s">
        <v>82</v>
      </c>
      <c r="E1" s="354" t="s">
        <v>189</v>
      </c>
      <c r="F1" s="354" t="s">
        <v>190</v>
      </c>
      <c r="G1" s="354" t="s">
        <v>162</v>
      </c>
      <c r="H1" s="354" t="s">
        <v>166</v>
      </c>
      <c r="I1" s="356" t="s">
        <v>191</v>
      </c>
    </row>
    <row r="2" spans="1:9" x14ac:dyDescent="0.35">
      <c r="A2" s="318">
        <v>44200</v>
      </c>
      <c r="B2" s="114">
        <v>0.8</v>
      </c>
      <c r="C2" s="64"/>
      <c r="D2" s="350"/>
      <c r="E2" s="351"/>
      <c r="F2" s="352"/>
      <c r="G2" s="350"/>
      <c r="H2" s="162"/>
      <c r="I2" s="157"/>
    </row>
    <row r="3" spans="1:9" x14ac:dyDescent="0.35">
      <c r="A3" s="318">
        <v>44207</v>
      </c>
      <c r="B3" s="114">
        <v>0.8</v>
      </c>
      <c r="C3" s="64"/>
      <c r="D3" s="115"/>
      <c r="E3" s="115"/>
      <c r="F3" s="163"/>
      <c r="G3" s="115"/>
      <c r="H3" s="162"/>
      <c r="I3" s="156"/>
    </row>
    <row r="4" spans="1:9" x14ac:dyDescent="0.35">
      <c r="A4" s="318">
        <v>44214</v>
      </c>
      <c r="B4" s="114">
        <v>0.8</v>
      </c>
      <c r="C4" s="64"/>
      <c r="D4" s="114"/>
      <c r="E4" s="114"/>
      <c r="F4" s="162"/>
      <c r="G4" s="114"/>
      <c r="H4" s="162"/>
      <c r="I4" s="157"/>
    </row>
    <row r="5" spans="1:9" x14ac:dyDescent="0.35">
      <c r="A5" s="318">
        <v>44221</v>
      </c>
      <c r="B5" s="114">
        <v>0.8</v>
      </c>
      <c r="C5" s="64">
        <v>582.55999999999995</v>
      </c>
      <c r="D5" s="114"/>
      <c r="E5" s="114"/>
      <c r="F5" s="162"/>
      <c r="G5" s="114"/>
      <c r="H5" s="162">
        <v>-138.6</v>
      </c>
      <c r="I5" s="157"/>
    </row>
    <row r="6" spans="1:9" x14ac:dyDescent="0.35">
      <c r="A6" s="357" t="s">
        <v>152</v>
      </c>
      <c r="B6" s="187">
        <f>SUM(B2:B5)</f>
        <v>3.2</v>
      </c>
      <c r="C6" s="187">
        <f t="shared" ref="C6:I6" si="0">SUM(C2:C5)</f>
        <v>582.55999999999995</v>
      </c>
      <c r="D6" s="187">
        <f t="shared" si="0"/>
        <v>0</v>
      </c>
      <c r="E6" s="187">
        <f t="shared" si="0"/>
        <v>0</v>
      </c>
      <c r="F6" s="187">
        <f t="shared" si="0"/>
        <v>0</v>
      </c>
      <c r="G6" s="187">
        <f t="shared" si="0"/>
        <v>0</v>
      </c>
      <c r="H6" s="187">
        <f t="shared" si="0"/>
        <v>-138.6</v>
      </c>
      <c r="I6" s="187">
        <f t="shared" si="0"/>
        <v>0</v>
      </c>
    </row>
    <row r="7" spans="1:9" x14ac:dyDescent="0.35">
      <c r="A7" s="318">
        <v>44228</v>
      </c>
      <c r="B7" s="114">
        <v>0.8</v>
      </c>
      <c r="C7" s="64"/>
      <c r="D7" s="114"/>
      <c r="E7" s="114"/>
      <c r="F7" s="162"/>
      <c r="G7" s="114"/>
      <c r="H7" s="162"/>
      <c r="I7" s="157"/>
    </row>
    <row r="8" spans="1:9" x14ac:dyDescent="0.35">
      <c r="A8" s="318">
        <v>44235</v>
      </c>
      <c r="B8" s="114">
        <v>0.8</v>
      </c>
      <c r="C8" s="64"/>
      <c r="D8" s="115"/>
      <c r="E8" s="114"/>
      <c r="F8" s="162"/>
      <c r="G8" s="115"/>
      <c r="H8" s="163"/>
      <c r="I8" s="156"/>
    </row>
    <row r="9" spans="1:9" x14ac:dyDescent="0.35">
      <c r="A9" s="318">
        <v>44242</v>
      </c>
      <c r="B9" s="114">
        <v>0.8</v>
      </c>
      <c r="C9" s="64"/>
      <c r="D9" s="114"/>
      <c r="E9" s="115"/>
      <c r="F9" s="163"/>
      <c r="G9" s="114"/>
      <c r="H9" s="162"/>
      <c r="I9" s="157"/>
    </row>
    <row r="10" spans="1:9" x14ac:dyDescent="0.35">
      <c r="A10" s="318">
        <v>44249</v>
      </c>
      <c r="B10" s="114">
        <v>0.8</v>
      </c>
      <c r="C10" s="64">
        <v>582.55999999999995</v>
      </c>
      <c r="D10" s="114"/>
      <c r="E10" s="114"/>
      <c r="F10" s="162"/>
      <c r="G10" s="114"/>
      <c r="H10" s="162">
        <v>-117.6</v>
      </c>
      <c r="I10" s="157"/>
    </row>
    <row r="11" spans="1:9" x14ac:dyDescent="0.35">
      <c r="A11" s="357" t="s">
        <v>153</v>
      </c>
      <c r="B11" s="187">
        <f>SUM(B2:B5)</f>
        <v>3.2</v>
      </c>
      <c r="C11" s="401">
        <f>SUM(C2:C5)</f>
        <v>582.55999999999995</v>
      </c>
      <c r="D11" s="187">
        <f t="shared" ref="D11:I11" si="1">SUM(D2:D5)</f>
        <v>0</v>
      </c>
      <c r="E11" s="187">
        <f t="shared" si="1"/>
        <v>0</v>
      </c>
      <c r="F11" s="187">
        <f t="shared" si="1"/>
        <v>0</v>
      </c>
      <c r="G11" s="187">
        <f t="shared" si="1"/>
        <v>0</v>
      </c>
      <c r="H11" s="401">
        <f>SUM(H7:H10)</f>
        <v>-117.6</v>
      </c>
      <c r="I11" s="187">
        <f t="shared" si="1"/>
        <v>0</v>
      </c>
    </row>
    <row r="12" spans="1:9" x14ac:dyDescent="0.35">
      <c r="A12" s="318">
        <v>44256</v>
      </c>
      <c r="B12" s="114">
        <v>0.8</v>
      </c>
      <c r="C12" s="64"/>
      <c r="D12" s="114"/>
      <c r="E12" s="114"/>
      <c r="F12" s="162"/>
      <c r="G12" s="114"/>
      <c r="H12" s="162"/>
      <c r="I12" s="157"/>
    </row>
    <row r="13" spans="1:9" x14ac:dyDescent="0.35">
      <c r="A13" s="318">
        <v>44263</v>
      </c>
      <c r="B13" s="114">
        <v>0.8</v>
      </c>
      <c r="C13" s="64"/>
      <c r="D13" s="115"/>
      <c r="E13" s="114"/>
      <c r="F13" s="162"/>
      <c r="G13" s="115"/>
      <c r="H13" s="163"/>
      <c r="I13" s="156"/>
    </row>
    <row r="14" spans="1:9" x14ac:dyDescent="0.35">
      <c r="A14" s="318">
        <v>44270</v>
      </c>
      <c r="B14" s="114">
        <v>0.8</v>
      </c>
      <c r="C14" s="64"/>
      <c r="D14" s="114"/>
      <c r="E14" s="115"/>
      <c r="F14" s="163"/>
      <c r="G14" s="114"/>
      <c r="H14" s="162"/>
      <c r="I14" s="157"/>
    </row>
    <row r="15" spans="1:9" x14ac:dyDescent="0.35">
      <c r="A15" s="318">
        <v>44277</v>
      </c>
      <c r="B15" s="114">
        <v>0.8</v>
      </c>
      <c r="C15" s="64"/>
      <c r="D15" s="114"/>
      <c r="E15" s="114"/>
      <c r="F15" s="162"/>
      <c r="G15" s="114"/>
      <c r="H15" s="162"/>
      <c r="I15" s="157"/>
    </row>
    <row r="16" spans="1:9" x14ac:dyDescent="0.35">
      <c r="A16" s="318">
        <v>44284</v>
      </c>
      <c r="B16" s="114">
        <v>0.8</v>
      </c>
      <c r="C16" s="64">
        <v>582.55999999999995</v>
      </c>
      <c r="D16" s="114"/>
      <c r="E16" s="114"/>
      <c r="F16" s="162"/>
      <c r="G16" s="114"/>
      <c r="H16" s="162"/>
      <c r="I16" s="157"/>
    </row>
    <row r="17" spans="1:9" x14ac:dyDescent="0.35">
      <c r="A17" s="357" t="s">
        <v>154</v>
      </c>
      <c r="B17" s="187">
        <f>SUM(B12:B16)</f>
        <v>4</v>
      </c>
      <c r="C17" s="40">
        <f>SUM(C12:C16)</f>
        <v>582.55999999999995</v>
      </c>
      <c r="D17" s="40">
        <f t="shared" ref="D17:I17" si="2">SUM(D12:D16)</f>
        <v>0</v>
      </c>
      <c r="E17" s="40">
        <f t="shared" si="2"/>
        <v>0</v>
      </c>
      <c r="F17" s="40">
        <f t="shared" si="2"/>
        <v>0</v>
      </c>
      <c r="G17" s="40">
        <f t="shared" si="2"/>
        <v>0</v>
      </c>
      <c r="H17" s="40">
        <f>SUM(H12:H16)</f>
        <v>0</v>
      </c>
      <c r="I17" s="40">
        <f t="shared" si="2"/>
        <v>0</v>
      </c>
    </row>
    <row r="18" spans="1:9" x14ac:dyDescent="0.35">
      <c r="A18" s="318">
        <v>44291</v>
      </c>
      <c r="B18" s="114">
        <v>0.8</v>
      </c>
      <c r="C18" s="64"/>
      <c r="D18" s="114"/>
      <c r="E18" s="115"/>
      <c r="F18" s="163"/>
      <c r="G18" s="114"/>
      <c r="H18" s="162"/>
      <c r="I18" s="157"/>
    </row>
    <row r="19" spans="1:9" x14ac:dyDescent="0.35">
      <c r="A19" s="318">
        <v>44298</v>
      </c>
      <c r="B19" s="114">
        <v>0.8</v>
      </c>
      <c r="C19" s="64"/>
      <c r="D19" s="114">
        <v>37.83</v>
      </c>
      <c r="E19" s="114"/>
      <c r="F19" s="162"/>
      <c r="G19" s="114"/>
      <c r="H19" s="162"/>
      <c r="I19" s="157"/>
    </row>
    <row r="20" spans="1:9" x14ac:dyDescent="0.35">
      <c r="A20" s="318">
        <v>44305</v>
      </c>
      <c r="B20" s="114">
        <v>0.8</v>
      </c>
      <c r="C20" s="64"/>
      <c r="D20" s="114"/>
      <c r="E20" s="114"/>
      <c r="F20" s="162"/>
      <c r="G20" s="114"/>
      <c r="H20" s="162"/>
      <c r="I20" s="157"/>
    </row>
    <row r="21" spans="1:9" x14ac:dyDescent="0.35">
      <c r="A21" s="318">
        <v>44312</v>
      </c>
      <c r="B21" s="114">
        <v>0.8</v>
      </c>
      <c r="C21" s="64">
        <v>706.86</v>
      </c>
      <c r="D21" s="114"/>
      <c r="E21" s="114"/>
      <c r="F21" s="162"/>
      <c r="G21" s="114"/>
      <c r="H21" s="162">
        <v>-432.6</v>
      </c>
      <c r="I21" s="157"/>
    </row>
    <row r="22" spans="1:9" x14ac:dyDescent="0.35">
      <c r="A22" s="357" t="s">
        <v>155</v>
      </c>
      <c r="B22" s="187">
        <f>SUM(B18:B21)</f>
        <v>3.2</v>
      </c>
      <c r="C22" s="40">
        <f>SUM(C18:C21)</f>
        <v>706.86</v>
      </c>
      <c r="D22" s="40">
        <f t="shared" ref="D22:I22" si="3">SUM(D18:D21)</f>
        <v>37.83</v>
      </c>
      <c r="E22" s="40">
        <f t="shared" si="3"/>
        <v>0</v>
      </c>
      <c r="F22" s="40">
        <f t="shared" si="3"/>
        <v>0</v>
      </c>
      <c r="G22" s="40">
        <f t="shared" si="3"/>
        <v>0</v>
      </c>
      <c r="H22" s="40">
        <f>SUM(H12:H16)</f>
        <v>0</v>
      </c>
      <c r="I22" s="40">
        <f t="shared" si="3"/>
        <v>0</v>
      </c>
    </row>
    <row r="23" spans="1:9" x14ac:dyDescent="0.35">
      <c r="A23" s="318">
        <v>44319</v>
      </c>
      <c r="B23" s="114">
        <v>0.8</v>
      </c>
      <c r="C23" s="64"/>
      <c r="D23" s="114"/>
      <c r="E23" s="115"/>
      <c r="F23" s="163"/>
      <c r="G23" s="114"/>
      <c r="H23" s="162"/>
      <c r="I23" s="157"/>
    </row>
    <row r="24" spans="1:9" x14ac:dyDescent="0.35">
      <c r="A24" s="318">
        <v>44326</v>
      </c>
      <c r="B24" s="114">
        <v>0.8</v>
      </c>
      <c r="C24" s="64"/>
      <c r="D24" s="114"/>
      <c r="E24" s="114"/>
      <c r="F24" s="162"/>
      <c r="G24" s="114"/>
      <c r="H24" s="162"/>
      <c r="I24" s="157"/>
    </row>
    <row r="25" spans="1:9" x14ac:dyDescent="0.35">
      <c r="A25" s="318">
        <v>44333</v>
      </c>
      <c r="B25" s="114">
        <v>0.8</v>
      </c>
      <c r="C25" s="64"/>
      <c r="D25" s="114"/>
      <c r="E25" s="114"/>
      <c r="F25" s="162"/>
      <c r="G25" s="114"/>
      <c r="H25" s="162"/>
      <c r="I25" s="157"/>
    </row>
    <row r="26" spans="1:9" x14ac:dyDescent="0.35">
      <c r="A26" s="318">
        <v>44340</v>
      </c>
      <c r="B26" s="114">
        <v>0.8</v>
      </c>
      <c r="C26" s="64"/>
      <c r="D26" s="114"/>
      <c r="E26" s="114"/>
      <c r="F26" s="162"/>
      <c r="G26" s="114"/>
      <c r="H26" s="162"/>
      <c r="I26" s="157"/>
    </row>
    <row r="27" spans="1:9" x14ac:dyDescent="0.35">
      <c r="A27" s="318">
        <v>44347</v>
      </c>
      <c r="B27" s="114">
        <v>0.8</v>
      </c>
      <c r="C27" s="64">
        <v>725.99</v>
      </c>
      <c r="D27" s="114"/>
      <c r="E27" s="114"/>
      <c r="F27" s="162"/>
      <c r="G27" s="114"/>
      <c r="H27" s="162">
        <v>-1216.95</v>
      </c>
      <c r="I27" s="157"/>
    </row>
    <row r="28" spans="1:9" x14ac:dyDescent="0.35">
      <c r="A28" s="357" t="s">
        <v>157</v>
      </c>
      <c r="B28" s="187">
        <f>SUM(B23:B27)</f>
        <v>4</v>
      </c>
      <c r="C28" s="187">
        <f t="shared" ref="C28:I28" si="4">SUM(C23:C27)</f>
        <v>725.99</v>
      </c>
      <c r="D28" s="187">
        <f t="shared" si="4"/>
        <v>0</v>
      </c>
      <c r="E28" s="187">
        <f t="shared" si="4"/>
        <v>0</v>
      </c>
      <c r="F28" s="187">
        <f t="shared" si="4"/>
        <v>0</v>
      </c>
      <c r="G28" s="187">
        <f t="shared" si="4"/>
        <v>0</v>
      </c>
      <c r="H28" s="401">
        <f>SUM(H23:H27)</f>
        <v>-1216.95</v>
      </c>
      <c r="I28" s="187">
        <f t="shared" si="4"/>
        <v>0</v>
      </c>
    </row>
    <row r="29" spans="1:9" x14ac:dyDescent="0.35">
      <c r="A29" s="318">
        <v>44354</v>
      </c>
      <c r="B29" s="114">
        <v>0.8</v>
      </c>
      <c r="C29" s="64"/>
      <c r="D29" s="114"/>
      <c r="E29" s="114"/>
      <c r="F29" s="162"/>
      <c r="G29" s="114"/>
      <c r="H29" s="162"/>
      <c r="I29" s="157"/>
    </row>
    <row r="30" spans="1:9" x14ac:dyDescent="0.35">
      <c r="A30" s="318">
        <v>44361</v>
      </c>
      <c r="B30" s="114">
        <v>0.8</v>
      </c>
      <c r="C30" s="64"/>
      <c r="D30" s="115"/>
      <c r="E30" s="114"/>
      <c r="F30" s="162"/>
      <c r="G30" s="115"/>
      <c r="H30" s="163"/>
      <c r="I30" s="156"/>
    </row>
    <row r="31" spans="1:9" x14ac:dyDescent="0.35">
      <c r="A31" s="318">
        <v>44368</v>
      </c>
      <c r="B31" s="114">
        <v>0.8</v>
      </c>
      <c r="C31" s="64"/>
      <c r="D31" s="114"/>
      <c r="E31" s="115"/>
      <c r="F31" s="163"/>
      <c r="G31" s="114"/>
      <c r="H31" s="162"/>
      <c r="I31" s="157"/>
    </row>
    <row r="32" spans="1:9" x14ac:dyDescent="0.35">
      <c r="A32" s="318">
        <v>44375</v>
      </c>
      <c r="B32" s="114">
        <v>0.8</v>
      </c>
      <c r="C32" s="64">
        <v>725.99</v>
      </c>
      <c r="D32" s="114"/>
      <c r="E32" s="114"/>
      <c r="F32" s="162"/>
      <c r="G32" s="114"/>
      <c r="H32" s="162">
        <v>-1189.6500000000001</v>
      </c>
      <c r="I32" s="157"/>
    </row>
    <row r="33" spans="1:9" x14ac:dyDescent="0.35">
      <c r="A33" s="357" t="s">
        <v>158</v>
      </c>
      <c r="B33" s="187">
        <f>SUM(B29:B32)</f>
        <v>3.2</v>
      </c>
      <c r="C33" s="187">
        <f t="shared" ref="C33:I33" si="5">SUM(C29:C32)</f>
        <v>725.99</v>
      </c>
      <c r="D33" s="187">
        <f t="shared" si="5"/>
        <v>0</v>
      </c>
      <c r="E33" s="187">
        <f t="shared" si="5"/>
        <v>0</v>
      </c>
      <c r="F33" s="187">
        <f t="shared" si="5"/>
        <v>0</v>
      </c>
      <c r="G33" s="187">
        <f t="shared" si="5"/>
        <v>0</v>
      </c>
      <c r="H33" s="401">
        <f>SUM(H29:H32)</f>
        <v>-1189.6500000000001</v>
      </c>
      <c r="I33" s="187">
        <f t="shared" si="5"/>
        <v>0</v>
      </c>
    </row>
    <row r="34" spans="1:9" x14ac:dyDescent="0.35">
      <c r="A34" s="318">
        <v>44382</v>
      </c>
      <c r="B34" s="114">
        <v>0.8</v>
      </c>
      <c r="C34" s="64"/>
      <c r="D34" s="114"/>
      <c r="E34" s="114"/>
      <c r="F34" s="162"/>
      <c r="G34" s="114"/>
      <c r="H34" s="162"/>
      <c r="I34" s="157"/>
    </row>
    <row r="35" spans="1:9" x14ac:dyDescent="0.35">
      <c r="A35" s="318">
        <v>44389</v>
      </c>
      <c r="B35" s="114">
        <v>0.8</v>
      </c>
      <c r="C35" s="64"/>
      <c r="D35" s="115">
        <v>69.849999999999994</v>
      </c>
      <c r="E35" s="114"/>
      <c r="F35" s="162"/>
      <c r="G35" s="115"/>
      <c r="H35" s="163"/>
      <c r="I35" s="156"/>
    </row>
    <row r="36" spans="1:9" x14ac:dyDescent="0.35">
      <c r="A36" s="318">
        <v>44396</v>
      </c>
      <c r="B36" s="114">
        <v>0.8</v>
      </c>
      <c r="C36" s="64"/>
      <c r="D36" s="114"/>
      <c r="E36" s="115"/>
      <c r="F36" s="163"/>
      <c r="G36" s="114"/>
      <c r="H36" s="162"/>
      <c r="I36" s="157"/>
    </row>
    <row r="37" spans="1:9" x14ac:dyDescent="0.35">
      <c r="A37" s="318">
        <v>44403</v>
      </c>
      <c r="B37" s="114">
        <v>0.8</v>
      </c>
      <c r="C37" s="64">
        <v>725.99</v>
      </c>
      <c r="D37" s="114"/>
      <c r="E37" s="114"/>
      <c r="F37" s="162"/>
      <c r="G37" s="114"/>
      <c r="H37" s="162">
        <v>-239.4</v>
      </c>
      <c r="I37" s="157"/>
    </row>
    <row r="38" spans="1:9" x14ac:dyDescent="0.35">
      <c r="A38" s="357" t="s">
        <v>159</v>
      </c>
      <c r="B38" s="187">
        <f>SUM(B34:B37)</f>
        <v>3.2</v>
      </c>
      <c r="C38" s="187">
        <f t="shared" ref="C38:I38" si="6">SUM(C34:C37)</f>
        <v>725.99</v>
      </c>
      <c r="D38" s="187">
        <f t="shared" si="6"/>
        <v>69.849999999999994</v>
      </c>
      <c r="E38" s="187">
        <f t="shared" si="6"/>
        <v>0</v>
      </c>
      <c r="F38" s="187">
        <f t="shared" si="6"/>
        <v>0</v>
      </c>
      <c r="G38" s="187">
        <f t="shared" si="6"/>
        <v>0</v>
      </c>
      <c r="H38" s="401">
        <f>SUM(H34:H37)</f>
        <v>-239.4</v>
      </c>
      <c r="I38" s="187">
        <f t="shared" si="6"/>
        <v>0</v>
      </c>
    </row>
    <row r="39" spans="1:9" x14ac:dyDescent="0.35">
      <c r="A39" s="318">
        <v>44410</v>
      </c>
      <c r="B39" s="114">
        <v>0.8</v>
      </c>
      <c r="C39" s="64"/>
      <c r="D39" s="115"/>
      <c r="E39" s="114"/>
      <c r="F39" s="162"/>
      <c r="G39" s="115"/>
      <c r="H39" s="163"/>
      <c r="I39" s="156"/>
    </row>
    <row r="40" spans="1:9" x14ac:dyDescent="0.35">
      <c r="A40" s="318">
        <v>44417</v>
      </c>
      <c r="B40" s="114">
        <v>0.8</v>
      </c>
      <c r="C40" s="64"/>
      <c r="D40" s="114"/>
      <c r="E40" s="115"/>
      <c r="F40" s="163"/>
      <c r="G40" s="114"/>
      <c r="H40" s="162"/>
      <c r="I40" s="157"/>
    </row>
    <row r="41" spans="1:9" x14ac:dyDescent="0.35">
      <c r="A41" s="318">
        <v>44424</v>
      </c>
      <c r="B41" s="114">
        <v>0.8</v>
      </c>
      <c r="C41" s="64"/>
      <c r="D41" s="114"/>
      <c r="E41" s="114"/>
      <c r="F41" s="162"/>
      <c r="G41" s="114"/>
      <c r="H41" s="162"/>
      <c r="I41" s="157"/>
    </row>
    <row r="42" spans="1:9" x14ac:dyDescent="0.35">
      <c r="A42" s="318">
        <v>44431</v>
      </c>
      <c r="B42" s="114">
        <v>0.8</v>
      </c>
      <c r="C42" s="64"/>
      <c r="D42" s="114"/>
      <c r="E42" s="114"/>
      <c r="F42" s="162"/>
      <c r="G42" s="114"/>
      <c r="H42" s="162"/>
      <c r="I42" s="157"/>
    </row>
    <row r="43" spans="1:9" x14ac:dyDescent="0.35">
      <c r="A43" s="318">
        <v>44438</v>
      </c>
      <c r="B43" s="114">
        <v>0.8</v>
      </c>
      <c r="C43" s="64">
        <v>725.99</v>
      </c>
      <c r="D43" s="114"/>
      <c r="E43" s="114"/>
      <c r="F43" s="162"/>
      <c r="G43" s="114"/>
      <c r="H43" s="162">
        <v>-155.4</v>
      </c>
      <c r="I43" s="157"/>
    </row>
    <row r="44" spans="1:9" x14ac:dyDescent="0.35">
      <c r="A44" s="357" t="s">
        <v>168</v>
      </c>
      <c r="B44" s="187">
        <f>SUM(B39:B43)</f>
        <v>4</v>
      </c>
      <c r="C44" s="187">
        <f t="shared" ref="C44:I44" si="7">SUM(C39:C43)</f>
        <v>725.99</v>
      </c>
      <c r="D44" s="187">
        <f t="shared" si="7"/>
        <v>0</v>
      </c>
      <c r="E44" s="187">
        <f t="shared" si="7"/>
        <v>0</v>
      </c>
      <c r="F44" s="187">
        <f t="shared" si="7"/>
        <v>0</v>
      </c>
      <c r="G44" s="187">
        <f t="shared" si="7"/>
        <v>0</v>
      </c>
      <c r="H44" s="401">
        <f>SUM(H39:H43)</f>
        <v>-155.4</v>
      </c>
      <c r="I44" s="187">
        <f t="shared" si="7"/>
        <v>0</v>
      </c>
    </row>
    <row r="45" spans="1:9" x14ac:dyDescent="0.35">
      <c r="A45" s="318">
        <v>44445</v>
      </c>
      <c r="B45" s="114">
        <v>0.8</v>
      </c>
      <c r="C45" s="64"/>
      <c r="D45" s="115"/>
      <c r="E45" s="114"/>
      <c r="F45" s="162"/>
      <c r="G45" s="115"/>
      <c r="H45" s="163"/>
      <c r="I45" s="156"/>
    </row>
    <row r="46" spans="1:9" x14ac:dyDescent="0.35">
      <c r="A46" s="318">
        <v>44455</v>
      </c>
      <c r="B46" s="114">
        <v>0.8</v>
      </c>
      <c r="C46" s="64"/>
      <c r="D46" s="114"/>
      <c r="E46" s="115"/>
      <c r="F46" s="163"/>
      <c r="G46" s="114"/>
      <c r="H46" s="162"/>
      <c r="I46" s="157"/>
    </row>
    <row r="47" spans="1:9" x14ac:dyDescent="0.35">
      <c r="A47" s="318">
        <v>44465</v>
      </c>
      <c r="B47" s="114">
        <v>0.8</v>
      </c>
      <c r="C47" s="64">
        <v>725.99</v>
      </c>
      <c r="D47" s="114"/>
      <c r="E47" s="115"/>
      <c r="F47" s="163"/>
      <c r="G47" s="114"/>
      <c r="H47" s="162">
        <v>-1299.9000000000001</v>
      </c>
      <c r="I47" s="157"/>
    </row>
    <row r="48" spans="1:9" x14ac:dyDescent="0.35">
      <c r="A48" s="358" t="s">
        <v>180</v>
      </c>
      <c r="B48" s="187">
        <f>SUM(B45:B47)</f>
        <v>2.4000000000000004</v>
      </c>
      <c r="C48" s="187">
        <f t="shared" ref="C48:I48" si="8">SUM(C45:C47)</f>
        <v>725.99</v>
      </c>
      <c r="D48" s="187">
        <f t="shared" si="8"/>
        <v>0</v>
      </c>
      <c r="E48" s="187">
        <f t="shared" si="8"/>
        <v>0</v>
      </c>
      <c r="F48" s="187">
        <f t="shared" si="8"/>
        <v>0</v>
      </c>
      <c r="G48" s="187">
        <f t="shared" si="8"/>
        <v>0</v>
      </c>
      <c r="H48" s="401">
        <f>SUM(H45:H47)</f>
        <v>-1299.9000000000001</v>
      </c>
      <c r="I48" s="187">
        <f t="shared" si="8"/>
        <v>0</v>
      </c>
    </row>
    <row r="49" spans="1:9" x14ac:dyDescent="0.35">
      <c r="A49" s="318">
        <v>44473</v>
      </c>
      <c r="B49" s="114">
        <v>0.8</v>
      </c>
      <c r="C49" s="64"/>
      <c r="D49" s="115"/>
      <c r="E49" s="114"/>
      <c r="F49" s="162"/>
      <c r="G49" s="115"/>
      <c r="H49" s="163"/>
      <c r="I49" s="156"/>
    </row>
    <row r="50" spans="1:9" x14ac:dyDescent="0.35">
      <c r="A50" s="318">
        <v>44480</v>
      </c>
      <c r="B50" s="114">
        <v>0.8</v>
      </c>
      <c r="C50" s="64"/>
      <c r="D50" s="114">
        <v>51.082999999999998</v>
      </c>
      <c r="E50" s="115"/>
      <c r="F50" s="163"/>
      <c r="G50" s="114"/>
      <c r="H50" s="162"/>
      <c r="I50" s="157"/>
    </row>
    <row r="51" spans="1:9" x14ac:dyDescent="0.35">
      <c r="A51" s="318">
        <v>44487</v>
      </c>
      <c r="B51" s="114">
        <v>0.8</v>
      </c>
      <c r="C51" s="64"/>
      <c r="D51" s="114"/>
      <c r="E51" s="114"/>
      <c r="F51" s="162"/>
      <c r="G51" s="114"/>
      <c r="H51" s="162"/>
      <c r="I51" s="157"/>
    </row>
    <row r="52" spans="1:9" x14ac:dyDescent="0.35">
      <c r="A52" s="318">
        <v>44494</v>
      </c>
      <c r="B52" s="114">
        <v>0.8</v>
      </c>
      <c r="C52" s="64">
        <v>725.99</v>
      </c>
      <c r="D52" s="114"/>
      <c r="E52" s="114"/>
      <c r="F52" s="162"/>
      <c r="G52" s="114"/>
      <c r="H52" s="162">
        <v>-214.2</v>
      </c>
      <c r="I52" s="157"/>
    </row>
    <row r="53" spans="1:9" x14ac:dyDescent="0.35">
      <c r="A53" s="357" t="s">
        <v>182</v>
      </c>
      <c r="B53" s="187">
        <f>SUM(B49:B52)</f>
        <v>3.2</v>
      </c>
      <c r="C53" s="187">
        <f t="shared" ref="C53:I53" si="9">SUM(C49:C52)</f>
        <v>725.99</v>
      </c>
      <c r="D53" s="187">
        <f t="shared" si="9"/>
        <v>51.082999999999998</v>
      </c>
      <c r="E53" s="187">
        <f t="shared" si="9"/>
        <v>0</v>
      </c>
      <c r="F53" s="187">
        <f t="shared" si="9"/>
        <v>0</v>
      </c>
      <c r="G53" s="187">
        <f t="shared" si="9"/>
        <v>0</v>
      </c>
      <c r="H53" s="401">
        <f>SUM(H49:H52)</f>
        <v>-214.2</v>
      </c>
      <c r="I53" s="187">
        <f t="shared" si="9"/>
        <v>0</v>
      </c>
    </row>
    <row r="54" spans="1:9" x14ac:dyDescent="0.35">
      <c r="A54" s="318">
        <v>44501</v>
      </c>
      <c r="B54" s="114">
        <v>0.8</v>
      </c>
      <c r="C54" s="64"/>
      <c r="D54" s="114"/>
      <c r="E54" s="114"/>
      <c r="F54" s="162"/>
      <c r="G54" s="114"/>
      <c r="H54" s="162"/>
      <c r="I54" s="157"/>
    </row>
    <row r="55" spans="1:9" x14ac:dyDescent="0.35">
      <c r="A55" s="318">
        <v>44508</v>
      </c>
      <c r="B55" s="114">
        <v>0.8</v>
      </c>
      <c r="C55" s="64"/>
      <c r="D55" s="115"/>
      <c r="E55" s="114"/>
      <c r="F55" s="162"/>
      <c r="G55" s="115"/>
      <c r="H55" s="163"/>
      <c r="I55" s="156"/>
    </row>
    <row r="56" spans="1:9" x14ac:dyDescent="0.35">
      <c r="A56" s="318">
        <v>44515</v>
      </c>
      <c r="B56" s="114">
        <v>0.8</v>
      </c>
      <c r="C56" s="64"/>
      <c r="D56" s="114"/>
      <c r="E56" s="115"/>
      <c r="F56" s="163"/>
      <c r="G56" s="114"/>
      <c r="H56" s="162"/>
      <c r="I56" s="157"/>
    </row>
    <row r="57" spans="1:9" x14ac:dyDescent="0.35">
      <c r="A57" s="318">
        <v>44522</v>
      </c>
      <c r="B57" s="114">
        <v>0.8</v>
      </c>
      <c r="C57" s="64"/>
      <c r="D57" s="114"/>
      <c r="E57" s="114"/>
      <c r="F57" s="162"/>
      <c r="G57" s="114"/>
      <c r="H57" s="162"/>
      <c r="I57" s="157"/>
    </row>
    <row r="58" spans="1:9" x14ac:dyDescent="0.35">
      <c r="A58" s="318">
        <v>44529</v>
      </c>
      <c r="B58" s="114">
        <v>0.8</v>
      </c>
      <c r="C58" s="64">
        <v>728.09</v>
      </c>
      <c r="D58" s="114"/>
      <c r="E58" s="114"/>
      <c r="F58" s="162"/>
      <c r="G58" s="114"/>
      <c r="H58" s="162">
        <v>-138.6</v>
      </c>
      <c r="I58" s="157"/>
    </row>
    <row r="59" spans="1:9" x14ac:dyDescent="0.35">
      <c r="A59" s="357" t="s">
        <v>181</v>
      </c>
      <c r="B59" s="187">
        <f>SUM(B54:B58)</f>
        <v>4</v>
      </c>
      <c r="C59" s="187">
        <f t="shared" ref="C59:I59" si="10">SUM(C54:C58)</f>
        <v>728.09</v>
      </c>
      <c r="D59" s="187">
        <f t="shared" si="10"/>
        <v>0</v>
      </c>
      <c r="E59" s="187">
        <f t="shared" si="10"/>
        <v>0</v>
      </c>
      <c r="F59" s="187">
        <f t="shared" si="10"/>
        <v>0</v>
      </c>
      <c r="G59" s="187">
        <f t="shared" si="10"/>
        <v>0</v>
      </c>
      <c r="H59" s="401">
        <f>SUM(H54:H58)</f>
        <v>-138.6</v>
      </c>
      <c r="I59" s="187">
        <f t="shared" si="10"/>
        <v>0</v>
      </c>
    </row>
    <row r="60" spans="1:9" x14ac:dyDescent="0.35">
      <c r="A60" s="318">
        <v>44536</v>
      </c>
      <c r="B60" s="114">
        <v>0.8</v>
      </c>
      <c r="C60" s="64"/>
      <c r="D60" s="114"/>
      <c r="E60" s="114"/>
      <c r="F60" s="162"/>
      <c r="G60" s="114"/>
      <c r="H60" s="162"/>
      <c r="I60" s="157"/>
    </row>
    <row r="61" spans="1:9" x14ac:dyDescent="0.35">
      <c r="A61" s="318">
        <v>44543</v>
      </c>
      <c r="B61" s="114">
        <v>0.8</v>
      </c>
      <c r="C61" s="64"/>
      <c r="D61" s="115"/>
      <c r="E61" s="114"/>
      <c r="F61" s="162"/>
      <c r="G61" s="115"/>
      <c r="H61" s="163"/>
      <c r="I61" s="156"/>
    </row>
    <row r="62" spans="1:9" x14ac:dyDescent="0.35">
      <c r="A62" s="318">
        <v>44550</v>
      </c>
      <c r="B62" s="114">
        <v>0.8</v>
      </c>
      <c r="C62" s="64"/>
      <c r="D62" s="114"/>
      <c r="E62" s="115"/>
      <c r="F62" s="163"/>
      <c r="G62" s="114"/>
      <c r="H62" s="162"/>
      <c r="I62" s="157"/>
    </row>
    <row r="63" spans="1:9" x14ac:dyDescent="0.35">
      <c r="A63" s="318">
        <v>44557</v>
      </c>
      <c r="B63" s="114">
        <v>0.8</v>
      </c>
      <c r="C63" s="64">
        <v>728.09</v>
      </c>
      <c r="D63" s="114"/>
      <c r="E63" s="114"/>
      <c r="F63" s="162"/>
      <c r="G63" s="114"/>
      <c r="H63" s="162">
        <v>-989.1</v>
      </c>
      <c r="I63" s="157"/>
    </row>
    <row r="64" spans="1:9" ht="15" thickBot="1" x14ac:dyDescent="0.4">
      <c r="A64" s="359" t="s">
        <v>183</v>
      </c>
      <c r="B64" s="148">
        <f>SUM(B60:B63)</f>
        <v>3.2</v>
      </c>
      <c r="C64" s="148">
        <f t="shared" ref="C64:I64" si="11">SUM(C60:C63)</f>
        <v>728.09</v>
      </c>
      <c r="D64" s="148">
        <f t="shared" si="11"/>
        <v>0</v>
      </c>
      <c r="E64" s="148">
        <f t="shared" si="11"/>
        <v>0</v>
      </c>
      <c r="F64" s="148">
        <f t="shared" si="11"/>
        <v>0</v>
      </c>
      <c r="G64" s="148">
        <f t="shared" si="11"/>
        <v>0</v>
      </c>
      <c r="H64" s="406">
        <f>SUM(H60:H63)</f>
        <v>-989.1</v>
      </c>
      <c r="I64" s="148">
        <f t="shared" si="11"/>
        <v>0</v>
      </c>
    </row>
    <row r="65" spans="1:9" ht="15" thickBot="1" x14ac:dyDescent="0.4">
      <c r="A65" s="360" t="s">
        <v>156</v>
      </c>
      <c r="B65" s="361">
        <f>SUM(B64,B59,B53,B48,B44,B38,B33,B28,B22,B17,B11,B6)</f>
        <v>40.800000000000004</v>
      </c>
      <c r="C65" s="361">
        <f>SUM(C64,C59,C53,C48,C44,C38,C33,C28,C22,C17,C11,C6)</f>
        <v>8266.659999999998</v>
      </c>
      <c r="D65" s="361">
        <f t="shared" ref="D65:I65" si="12">SUM(D64,D59,D53,D48,D44,D38,D33,D28,D22,D17,D11,D6)</f>
        <v>158.76299999999998</v>
      </c>
      <c r="E65" s="361">
        <f t="shared" si="12"/>
        <v>0</v>
      </c>
      <c r="F65" s="361">
        <f t="shared" si="12"/>
        <v>0</v>
      </c>
      <c r="G65" s="361">
        <f t="shared" si="12"/>
        <v>0</v>
      </c>
      <c r="H65" s="361">
        <f t="shared" si="12"/>
        <v>-5699.4000000000005</v>
      </c>
      <c r="I65" s="361">
        <f t="shared" si="12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121A-70B3-4453-8F3B-216B45842794}">
  <sheetPr>
    <tabColor theme="7"/>
  </sheetPr>
  <dimension ref="A1:U74"/>
  <sheetViews>
    <sheetView workbookViewId="0">
      <selection activeCell="L2" sqref="L2"/>
    </sheetView>
  </sheetViews>
  <sheetFormatPr defaultColWidth="9.1796875" defaultRowHeight="14.5" x14ac:dyDescent="0.35"/>
  <cols>
    <col min="1" max="1" width="11" style="55" customWidth="1"/>
    <col min="2" max="2" width="13.54296875" style="55" customWidth="1"/>
    <col min="4" max="4" width="11" style="55" customWidth="1"/>
    <col min="5" max="5" width="9.26953125" style="55" bestFit="1" customWidth="1"/>
    <col min="6" max="6" width="12.81640625" style="55" customWidth="1"/>
    <col min="7" max="9" width="10.26953125" customWidth="1"/>
    <col min="10" max="11" width="9.26953125" style="55" bestFit="1" customWidth="1"/>
    <col min="12" max="12" width="9.81640625" style="55" bestFit="1" customWidth="1"/>
    <col min="13" max="13" width="11.81640625" customWidth="1"/>
    <col min="14" max="14" width="12" style="55" customWidth="1"/>
    <col min="15" max="15" width="11.81640625" style="55" customWidth="1"/>
    <col min="16" max="16" width="11.54296875" style="55" customWidth="1"/>
    <col min="17" max="17" width="12.54296875" style="55" customWidth="1"/>
    <col min="18" max="18" width="12.453125" customWidth="1"/>
    <col min="19" max="19" width="11.54296875" style="55" customWidth="1"/>
    <col min="20" max="20" width="9.81640625" style="55" customWidth="1"/>
    <col min="21" max="21" width="11.453125" style="55" customWidth="1"/>
    <col min="22" max="16384" width="9.1796875" style="55"/>
  </cols>
  <sheetData>
    <row r="1" spans="1:21" ht="65.5" thickBot="1" x14ac:dyDescent="0.35">
      <c r="A1" s="281" t="s">
        <v>141</v>
      </c>
      <c r="B1" s="278" t="s">
        <v>144</v>
      </c>
      <c r="C1" s="106" t="s">
        <v>176</v>
      </c>
      <c r="D1" s="284" t="s">
        <v>80</v>
      </c>
      <c r="E1" s="285" t="s">
        <v>81</v>
      </c>
      <c r="F1" s="285" t="s">
        <v>171</v>
      </c>
      <c r="G1" s="287" t="s">
        <v>165</v>
      </c>
      <c r="H1" s="288" t="s">
        <v>196</v>
      </c>
      <c r="I1" s="288" t="s">
        <v>169</v>
      </c>
      <c r="J1" s="285" t="s">
        <v>175</v>
      </c>
      <c r="K1" s="285" t="s">
        <v>86</v>
      </c>
      <c r="L1" s="285" t="s">
        <v>162</v>
      </c>
      <c r="M1" s="294" t="s">
        <v>179</v>
      </c>
      <c r="N1" s="285" t="s">
        <v>163</v>
      </c>
      <c r="O1" s="285" t="s">
        <v>164</v>
      </c>
      <c r="P1" s="285" t="s">
        <v>174</v>
      </c>
      <c r="Q1" s="285" t="s">
        <v>172</v>
      </c>
      <c r="R1" s="354" t="s">
        <v>166</v>
      </c>
      <c r="S1" s="285" t="s">
        <v>167</v>
      </c>
      <c r="T1" s="285" t="s">
        <v>87</v>
      </c>
      <c r="U1" s="286" t="s">
        <v>89</v>
      </c>
    </row>
    <row r="2" spans="1:21" x14ac:dyDescent="0.35">
      <c r="A2" s="73">
        <v>44200</v>
      </c>
      <c r="B2" s="341"/>
      <c r="C2" s="408"/>
      <c r="D2" s="289"/>
      <c r="E2" s="289"/>
      <c r="F2" s="342"/>
      <c r="G2" s="343"/>
      <c r="H2" s="343"/>
      <c r="I2" s="343"/>
      <c r="J2" s="342"/>
      <c r="K2" s="342"/>
      <c r="L2" s="342"/>
      <c r="M2" s="183"/>
      <c r="N2" s="344"/>
      <c r="O2" s="342"/>
      <c r="P2" s="342"/>
      <c r="Q2" s="342"/>
      <c r="R2" s="162"/>
      <c r="S2" s="344"/>
      <c r="T2" s="289"/>
      <c r="U2" s="344"/>
    </row>
    <row r="3" spans="1:21" x14ac:dyDescent="0.35">
      <c r="A3" s="73">
        <v>44207</v>
      </c>
      <c r="B3" s="341"/>
      <c r="C3" s="409">
        <v>1.8440000000000001</v>
      </c>
      <c r="D3" s="116"/>
      <c r="E3" s="116"/>
      <c r="F3" s="116"/>
      <c r="G3" s="343"/>
      <c r="H3" s="343"/>
      <c r="I3" s="343"/>
      <c r="J3" s="116"/>
      <c r="K3" s="345"/>
      <c r="L3" s="345"/>
      <c r="M3" s="163"/>
      <c r="N3" s="345"/>
      <c r="O3" s="345"/>
      <c r="P3" s="345"/>
      <c r="Q3" s="345"/>
      <c r="R3" s="162"/>
      <c r="S3" s="345"/>
      <c r="T3" s="289"/>
      <c r="U3" s="344"/>
    </row>
    <row r="4" spans="1:21" x14ac:dyDescent="0.35">
      <c r="A4" s="73">
        <v>44214</v>
      </c>
      <c r="B4" s="341"/>
      <c r="C4" s="409"/>
      <c r="D4" s="289"/>
      <c r="E4" s="289"/>
      <c r="F4" s="289"/>
      <c r="G4" s="343"/>
      <c r="H4" s="343"/>
      <c r="I4" s="343"/>
      <c r="J4" s="289"/>
      <c r="K4" s="344"/>
      <c r="L4" s="344"/>
      <c r="M4" s="162"/>
      <c r="N4" s="344"/>
      <c r="O4" s="344"/>
      <c r="P4" s="344"/>
      <c r="Q4" s="344"/>
      <c r="R4" s="162"/>
      <c r="S4" s="344"/>
      <c r="T4" s="289"/>
      <c r="U4" s="344"/>
    </row>
    <row r="5" spans="1:21" x14ac:dyDescent="0.35">
      <c r="A5" s="73">
        <v>44221</v>
      </c>
      <c r="B5" s="341">
        <v>714.63</v>
      </c>
      <c r="C5" s="409">
        <v>2.5089999999999999</v>
      </c>
      <c r="D5" s="289"/>
      <c r="E5" s="289"/>
      <c r="F5" s="289"/>
      <c r="G5" s="343"/>
      <c r="H5" s="343"/>
      <c r="I5" s="343"/>
      <c r="J5" s="289"/>
      <c r="K5" s="344"/>
      <c r="L5" s="344"/>
      <c r="M5" s="162"/>
      <c r="N5" s="344"/>
      <c r="O5" s="344"/>
      <c r="P5" s="344"/>
      <c r="Q5" s="344"/>
      <c r="R5" s="162"/>
      <c r="S5" s="344"/>
      <c r="T5" s="289"/>
      <c r="U5" s="344"/>
    </row>
    <row r="6" spans="1:21" ht="14" x14ac:dyDescent="0.3">
      <c r="A6" s="27" t="s">
        <v>152</v>
      </c>
      <c r="B6" s="339">
        <f t="shared" ref="B6:S6" si="0">SUM(B2:B5)</f>
        <v>714.63</v>
      </c>
      <c r="C6" s="28">
        <f t="shared" si="0"/>
        <v>4.3529999999999998</v>
      </c>
      <c r="D6" s="339">
        <f t="shared" si="0"/>
        <v>0</v>
      </c>
      <c r="E6" s="339">
        <f t="shared" si="0"/>
        <v>0</v>
      </c>
      <c r="F6" s="339">
        <f t="shared" si="0"/>
        <v>0</v>
      </c>
      <c r="G6" s="339">
        <f t="shared" si="0"/>
        <v>0</v>
      </c>
      <c r="H6" s="339">
        <f t="shared" si="0"/>
        <v>0</v>
      </c>
      <c r="I6" s="339">
        <f t="shared" si="0"/>
        <v>0</v>
      </c>
      <c r="J6" s="339">
        <f t="shared" si="0"/>
        <v>0</v>
      </c>
      <c r="K6" s="339">
        <f t="shared" si="0"/>
        <v>0</v>
      </c>
      <c r="L6" s="339">
        <f t="shared" si="0"/>
        <v>0</v>
      </c>
      <c r="M6" s="39">
        <f t="shared" si="0"/>
        <v>0</v>
      </c>
      <c r="N6" s="339">
        <f t="shared" si="0"/>
        <v>0</v>
      </c>
      <c r="O6" s="339">
        <f t="shared" si="0"/>
        <v>0</v>
      </c>
      <c r="P6" s="339">
        <f t="shared" si="0"/>
        <v>0</v>
      </c>
      <c r="Q6" s="339">
        <f t="shared" si="0"/>
        <v>0</v>
      </c>
      <c r="R6" s="401">
        <f>SUM(R2:R5)</f>
        <v>0</v>
      </c>
      <c r="S6" s="339">
        <f t="shared" si="0"/>
        <v>0</v>
      </c>
      <c r="T6" s="290">
        <f t="shared" ref="T6" si="1">I6+H6+G6+F6+E6+D6</f>
        <v>0</v>
      </c>
      <c r="U6" s="346">
        <f t="shared" ref="U6" si="2">S6+R6+Q6+P6+O6+N6+L6+K6</f>
        <v>0</v>
      </c>
    </row>
    <row r="7" spans="1:21" x14ac:dyDescent="0.35">
      <c r="A7" s="19">
        <v>44228</v>
      </c>
      <c r="B7" s="341"/>
      <c r="C7" s="409"/>
      <c r="D7" s="289"/>
      <c r="E7" s="289"/>
      <c r="F7" s="289"/>
      <c r="G7" s="343"/>
      <c r="H7" s="343"/>
      <c r="I7" s="343"/>
      <c r="J7" s="289"/>
      <c r="K7" s="344"/>
      <c r="L7" s="344"/>
      <c r="M7" s="162"/>
      <c r="N7" s="344"/>
      <c r="O7" s="344"/>
      <c r="P7" s="344"/>
      <c r="Q7" s="344"/>
      <c r="R7" s="162"/>
      <c r="S7" s="344"/>
      <c r="T7" s="289"/>
      <c r="U7" s="344"/>
    </row>
    <row r="8" spans="1:21" x14ac:dyDescent="0.35">
      <c r="A8" s="19">
        <v>44235</v>
      </c>
      <c r="B8" s="341"/>
      <c r="C8" s="409">
        <v>1.1950000000000001</v>
      </c>
      <c r="D8" s="116"/>
      <c r="E8" s="116"/>
      <c r="F8" s="289"/>
      <c r="G8" s="374"/>
      <c r="H8" s="374"/>
      <c r="I8" s="374"/>
      <c r="J8" s="289"/>
      <c r="K8" s="344"/>
      <c r="L8" s="345"/>
      <c r="M8" s="163"/>
      <c r="N8" s="345"/>
      <c r="O8" s="344"/>
      <c r="P8" s="344"/>
      <c r="Q8" s="344"/>
      <c r="R8" s="163"/>
      <c r="S8" s="345"/>
      <c r="T8" s="289"/>
      <c r="U8" s="344"/>
    </row>
    <row r="9" spans="1:21" x14ac:dyDescent="0.35">
      <c r="A9" s="19">
        <v>44242</v>
      </c>
      <c r="B9" s="341"/>
      <c r="C9" s="409"/>
      <c r="D9" s="289"/>
      <c r="E9" s="289"/>
      <c r="F9" s="116"/>
      <c r="G9" s="374"/>
      <c r="H9" s="374"/>
      <c r="I9" s="374"/>
      <c r="J9" s="116"/>
      <c r="K9" s="345"/>
      <c r="L9" s="344"/>
      <c r="M9" s="162"/>
      <c r="N9" s="344"/>
      <c r="O9" s="345"/>
      <c r="P9" s="345"/>
      <c r="Q9" s="345"/>
      <c r="R9" s="162"/>
      <c r="S9" s="344"/>
      <c r="T9" s="289"/>
      <c r="U9" s="344"/>
    </row>
    <row r="10" spans="1:21" x14ac:dyDescent="0.35">
      <c r="A10" s="19">
        <v>44249</v>
      </c>
      <c r="B10" s="341">
        <v>714.63</v>
      </c>
      <c r="C10" s="409"/>
      <c r="D10" s="289"/>
      <c r="E10" s="289"/>
      <c r="F10" s="289"/>
      <c r="G10" s="374"/>
      <c r="H10" s="374"/>
      <c r="I10" s="374"/>
      <c r="J10" s="289"/>
      <c r="K10" s="344"/>
      <c r="L10" s="344"/>
      <c r="M10" s="162"/>
      <c r="N10" s="344"/>
      <c r="O10" s="344"/>
      <c r="P10" s="344"/>
      <c r="Q10" s="344"/>
      <c r="R10" s="162"/>
      <c r="S10" s="344"/>
      <c r="T10" s="289"/>
      <c r="U10" s="344"/>
    </row>
    <row r="11" spans="1:21" ht="14" x14ac:dyDescent="0.3">
      <c r="A11" s="27" t="s">
        <v>153</v>
      </c>
      <c r="B11" s="339">
        <f t="shared" ref="B11:S11" si="3">SUM(B7:B10)</f>
        <v>714.63</v>
      </c>
      <c r="C11" s="28">
        <f t="shared" si="3"/>
        <v>1.1950000000000001</v>
      </c>
      <c r="D11" s="339">
        <f t="shared" si="3"/>
        <v>0</v>
      </c>
      <c r="E11" s="339">
        <f t="shared" si="3"/>
        <v>0</v>
      </c>
      <c r="F11" s="339">
        <f t="shared" si="3"/>
        <v>0</v>
      </c>
      <c r="G11" s="339">
        <f t="shared" si="3"/>
        <v>0</v>
      </c>
      <c r="H11" s="339">
        <f t="shared" si="3"/>
        <v>0</v>
      </c>
      <c r="I11" s="339">
        <f t="shared" si="3"/>
        <v>0</v>
      </c>
      <c r="J11" s="339">
        <f t="shared" si="3"/>
        <v>0</v>
      </c>
      <c r="K11" s="339">
        <f t="shared" si="3"/>
        <v>0</v>
      </c>
      <c r="L11" s="339">
        <f t="shared" si="3"/>
        <v>0</v>
      </c>
      <c r="M11" s="39">
        <f t="shared" si="3"/>
        <v>0</v>
      </c>
      <c r="N11" s="339">
        <f t="shared" si="3"/>
        <v>0</v>
      </c>
      <c r="O11" s="339">
        <f t="shared" si="3"/>
        <v>0</v>
      </c>
      <c r="P11" s="339">
        <f t="shared" si="3"/>
        <v>0</v>
      </c>
      <c r="Q11" s="339">
        <f t="shared" si="3"/>
        <v>0</v>
      </c>
      <c r="R11" s="401">
        <f>SUM(R7:R10)</f>
        <v>0</v>
      </c>
      <c r="S11" s="339">
        <f t="shared" si="3"/>
        <v>0</v>
      </c>
      <c r="T11" s="290">
        <f t="shared" ref="T11" si="4">I11+H11+G11+F11+E11+D11</f>
        <v>0</v>
      </c>
      <c r="U11" s="346">
        <f t="shared" ref="U11" si="5">S11+R11+Q11+P11+O11+N11+L11+K11</f>
        <v>0</v>
      </c>
    </row>
    <row r="12" spans="1:21" x14ac:dyDescent="0.35">
      <c r="A12" s="19">
        <v>44256</v>
      </c>
      <c r="B12" s="341"/>
      <c r="C12" s="409">
        <v>1.502</v>
      </c>
      <c r="D12" s="289"/>
      <c r="E12" s="289"/>
      <c r="F12" s="289"/>
      <c r="G12" s="374"/>
      <c r="H12" s="374"/>
      <c r="I12" s="374"/>
      <c r="J12" s="289"/>
      <c r="K12" s="344"/>
      <c r="L12" s="344"/>
      <c r="M12" s="162"/>
      <c r="N12" s="344"/>
      <c r="O12" s="344"/>
      <c r="P12" s="344"/>
      <c r="Q12" s="344"/>
      <c r="R12" s="162"/>
      <c r="S12" s="344"/>
      <c r="T12" s="289"/>
      <c r="U12" s="344"/>
    </row>
    <row r="13" spans="1:21" x14ac:dyDescent="0.35">
      <c r="A13" s="19">
        <v>44263</v>
      </c>
      <c r="B13" s="341"/>
      <c r="C13" s="409">
        <v>3.1160000000000001</v>
      </c>
      <c r="D13" s="116"/>
      <c r="E13" s="116"/>
      <c r="F13" s="289"/>
      <c r="G13" s="374"/>
      <c r="H13" s="374"/>
      <c r="I13" s="374"/>
      <c r="J13" s="289"/>
      <c r="K13" s="344"/>
      <c r="L13" s="345"/>
      <c r="M13" s="163"/>
      <c r="N13" s="345"/>
      <c r="O13" s="344"/>
      <c r="P13" s="344"/>
      <c r="Q13" s="344"/>
      <c r="R13" s="163"/>
      <c r="S13" s="345"/>
      <c r="T13" s="289"/>
      <c r="U13" s="344"/>
    </row>
    <row r="14" spans="1:21" x14ac:dyDescent="0.35">
      <c r="A14" s="19">
        <v>44270</v>
      </c>
      <c r="B14" s="341"/>
      <c r="C14" s="409">
        <v>2.1560000000000001</v>
      </c>
      <c r="D14" s="289"/>
      <c r="E14" s="289"/>
      <c r="F14" s="116"/>
      <c r="G14" s="374"/>
      <c r="H14" s="374"/>
      <c r="I14" s="374"/>
      <c r="J14" s="116"/>
      <c r="K14" s="345"/>
      <c r="L14" s="344"/>
      <c r="M14" s="162"/>
      <c r="N14" s="344"/>
      <c r="O14" s="345"/>
      <c r="P14" s="345"/>
      <c r="Q14" s="345"/>
      <c r="R14" s="162"/>
      <c r="S14" s="344"/>
      <c r="T14" s="289"/>
      <c r="U14" s="344"/>
    </row>
    <row r="15" spans="1:21" x14ac:dyDescent="0.35">
      <c r="A15" s="19">
        <v>44277</v>
      </c>
      <c r="B15" s="341"/>
      <c r="C15" s="409"/>
      <c r="D15" s="289"/>
      <c r="E15" s="289"/>
      <c r="F15" s="289"/>
      <c r="G15" s="374"/>
      <c r="H15" s="374"/>
      <c r="I15" s="374"/>
      <c r="J15" s="289"/>
      <c r="K15" s="344"/>
      <c r="L15" s="344"/>
      <c r="M15" s="162"/>
      <c r="N15" s="344"/>
      <c r="O15" s="344"/>
      <c r="P15" s="344"/>
      <c r="Q15" s="344"/>
      <c r="R15" s="162"/>
      <c r="S15" s="344"/>
      <c r="T15" s="289"/>
      <c r="U15" s="344"/>
    </row>
    <row r="16" spans="1:21" x14ac:dyDescent="0.35">
      <c r="A16" s="19">
        <v>44284</v>
      </c>
      <c r="B16" s="341"/>
      <c r="C16" s="410"/>
      <c r="D16" s="289"/>
      <c r="E16" s="289"/>
      <c r="F16" s="289"/>
      <c r="G16" s="374"/>
      <c r="H16" s="374"/>
      <c r="I16" s="374"/>
      <c r="J16" s="289"/>
      <c r="K16" s="344"/>
      <c r="L16" s="344"/>
      <c r="M16" s="162"/>
      <c r="N16" s="344"/>
      <c r="O16" s="344"/>
      <c r="P16" s="344"/>
      <c r="Q16" s="344"/>
      <c r="R16" s="162"/>
      <c r="S16" s="344"/>
      <c r="T16" s="289"/>
      <c r="U16" s="344"/>
    </row>
    <row r="17" spans="1:21" ht="14" x14ac:dyDescent="0.3">
      <c r="A17" s="27" t="s">
        <v>154</v>
      </c>
      <c r="B17" s="339">
        <f>SUM(B12:B16)</f>
        <v>0</v>
      </c>
      <c r="C17" s="28">
        <f t="shared" ref="C17" si="6">SUM(C12:C16)</f>
        <v>6.7740000000000009</v>
      </c>
      <c r="D17" s="339">
        <f>SUM(D12:D16)</f>
        <v>0</v>
      </c>
      <c r="E17" s="339">
        <f t="shared" ref="E17:S17" si="7">SUM(E12:E16)</f>
        <v>0</v>
      </c>
      <c r="F17" s="339">
        <f t="shared" si="7"/>
        <v>0</v>
      </c>
      <c r="G17" s="339">
        <f t="shared" si="7"/>
        <v>0</v>
      </c>
      <c r="H17" s="339">
        <f t="shared" si="7"/>
        <v>0</v>
      </c>
      <c r="I17" s="339">
        <f t="shared" si="7"/>
        <v>0</v>
      </c>
      <c r="J17" s="339">
        <f t="shared" si="7"/>
        <v>0</v>
      </c>
      <c r="K17" s="339">
        <f t="shared" si="7"/>
        <v>0</v>
      </c>
      <c r="L17" s="339">
        <f t="shared" si="7"/>
        <v>0</v>
      </c>
      <c r="M17" s="39">
        <f t="shared" si="7"/>
        <v>0</v>
      </c>
      <c r="N17" s="339">
        <f t="shared" si="7"/>
        <v>0</v>
      </c>
      <c r="O17" s="339">
        <f t="shared" si="7"/>
        <v>0</v>
      </c>
      <c r="P17" s="339">
        <f t="shared" si="7"/>
        <v>0</v>
      </c>
      <c r="Q17" s="339">
        <f t="shared" si="7"/>
        <v>0</v>
      </c>
      <c r="R17" s="40">
        <f>SUM(R12:R16)</f>
        <v>0</v>
      </c>
      <c r="S17" s="339">
        <f t="shared" si="7"/>
        <v>0</v>
      </c>
      <c r="T17" s="290">
        <f t="shared" ref="T17" si="8">I17+H17+G17+F17+E17+D17</f>
        <v>0</v>
      </c>
      <c r="U17" s="346">
        <f t="shared" ref="U17" si="9">S17+R17+Q17+P17+O17+N17+L17+K17</f>
        <v>0</v>
      </c>
    </row>
    <row r="18" spans="1:21" x14ac:dyDescent="0.35">
      <c r="A18" s="19">
        <v>44291</v>
      </c>
      <c r="B18" s="341"/>
      <c r="C18" s="410"/>
      <c r="D18" s="289"/>
      <c r="E18" s="289"/>
      <c r="F18" s="116"/>
      <c r="G18" s="374"/>
      <c r="H18" s="374"/>
      <c r="I18" s="374"/>
      <c r="J18" s="116"/>
      <c r="K18" s="345"/>
      <c r="L18" s="344"/>
      <c r="M18" s="162"/>
      <c r="N18" s="344"/>
      <c r="O18" s="345"/>
      <c r="P18" s="345"/>
      <c r="Q18" s="345"/>
      <c r="R18" s="162"/>
      <c r="S18" s="344"/>
      <c r="T18" s="289"/>
      <c r="U18" s="344"/>
    </row>
    <row r="19" spans="1:21" x14ac:dyDescent="0.35">
      <c r="A19" s="19">
        <v>44298</v>
      </c>
      <c r="B19" s="341"/>
      <c r="C19" s="410"/>
      <c r="D19" s="289"/>
      <c r="E19" s="289"/>
      <c r="F19" s="289"/>
      <c r="G19" s="374"/>
      <c r="H19" s="374"/>
      <c r="I19" s="374"/>
      <c r="J19" s="289"/>
      <c r="K19" s="344"/>
      <c r="L19" s="344"/>
      <c r="M19" s="162"/>
      <c r="N19" s="344"/>
      <c r="O19" s="344"/>
      <c r="P19" s="344"/>
      <c r="Q19" s="344"/>
      <c r="R19" s="162"/>
      <c r="S19" s="344"/>
      <c r="T19" s="289"/>
      <c r="U19" s="344"/>
    </row>
    <row r="20" spans="1:21" x14ac:dyDescent="0.35">
      <c r="A20" s="19">
        <v>44305</v>
      </c>
      <c r="B20" s="341"/>
      <c r="C20" s="409"/>
      <c r="D20" s="289"/>
      <c r="E20" s="289"/>
      <c r="F20" s="289"/>
      <c r="G20" s="374"/>
      <c r="H20" s="374"/>
      <c r="I20" s="374"/>
      <c r="J20" s="289"/>
      <c r="K20" s="344"/>
      <c r="L20" s="344"/>
      <c r="M20" s="162"/>
      <c r="N20" s="344"/>
      <c r="O20" s="344"/>
      <c r="P20" s="344"/>
      <c r="Q20" s="344"/>
      <c r="R20" s="162"/>
      <c r="S20" s="344"/>
      <c r="T20" s="289"/>
      <c r="U20" s="344"/>
    </row>
    <row r="21" spans="1:21" x14ac:dyDescent="0.35">
      <c r="A21" s="19">
        <v>44312</v>
      </c>
      <c r="B21" s="341"/>
      <c r="C21" s="410"/>
      <c r="D21" s="289"/>
      <c r="E21" s="289"/>
      <c r="F21" s="289"/>
      <c r="G21" s="374"/>
      <c r="H21" s="374"/>
      <c r="I21" s="374"/>
      <c r="J21" s="289"/>
      <c r="K21" s="344"/>
      <c r="L21" s="344"/>
      <c r="M21" s="162"/>
      <c r="N21" s="344"/>
      <c r="O21" s="344"/>
      <c r="P21" s="344"/>
      <c r="Q21" s="344"/>
      <c r="R21" s="162"/>
      <c r="S21" s="344"/>
      <c r="T21" s="289"/>
      <c r="U21" s="344"/>
    </row>
    <row r="22" spans="1:21" ht="14" x14ac:dyDescent="0.3">
      <c r="A22" s="27" t="s">
        <v>155</v>
      </c>
      <c r="B22" s="339">
        <f>SUM(B18:B21)</f>
        <v>0</v>
      </c>
      <c r="C22" s="28">
        <f t="shared" ref="C22" si="10">SUM(C18:C21)</f>
        <v>0</v>
      </c>
      <c r="D22" s="339">
        <f>SUM(D18:D21)</f>
        <v>0</v>
      </c>
      <c r="E22" s="339">
        <f t="shared" ref="E22:S22" si="11">SUM(E18:E21)</f>
        <v>0</v>
      </c>
      <c r="F22" s="339">
        <f t="shared" si="11"/>
        <v>0</v>
      </c>
      <c r="G22" s="339">
        <f t="shared" si="11"/>
        <v>0</v>
      </c>
      <c r="H22" s="339">
        <f t="shared" si="11"/>
        <v>0</v>
      </c>
      <c r="I22" s="339">
        <f t="shared" si="11"/>
        <v>0</v>
      </c>
      <c r="J22" s="339">
        <f t="shared" si="11"/>
        <v>0</v>
      </c>
      <c r="K22" s="339">
        <f t="shared" si="11"/>
        <v>0</v>
      </c>
      <c r="L22" s="339">
        <f t="shared" si="11"/>
        <v>0</v>
      </c>
      <c r="M22" s="39">
        <f t="shared" si="11"/>
        <v>0</v>
      </c>
      <c r="N22" s="339">
        <f t="shared" si="11"/>
        <v>0</v>
      </c>
      <c r="O22" s="339">
        <f t="shared" si="11"/>
        <v>0</v>
      </c>
      <c r="P22" s="339">
        <f t="shared" si="11"/>
        <v>0</v>
      </c>
      <c r="Q22" s="339">
        <f t="shared" si="11"/>
        <v>0</v>
      </c>
      <c r="R22" s="40">
        <f>SUM(R18:R21)</f>
        <v>0</v>
      </c>
      <c r="S22" s="339">
        <f t="shared" si="11"/>
        <v>0</v>
      </c>
      <c r="T22" s="290">
        <f t="shared" ref="T22" si="12">I22+H22+G22+F22+E22+D22</f>
        <v>0</v>
      </c>
      <c r="U22" s="346">
        <f t="shared" ref="U22" si="13">S22+R22+Q22+P22+O22+N22+L22+K22</f>
        <v>0</v>
      </c>
    </row>
    <row r="23" spans="1:21" x14ac:dyDescent="0.35">
      <c r="A23" s="283">
        <v>44319</v>
      </c>
      <c r="B23" s="341"/>
      <c r="C23" s="231"/>
      <c r="D23" s="347"/>
      <c r="E23" s="347"/>
      <c r="F23" s="347"/>
      <c r="G23" s="374"/>
      <c r="H23" s="374"/>
      <c r="I23" s="374"/>
      <c r="J23" s="347"/>
      <c r="K23" s="347"/>
      <c r="L23" s="347"/>
      <c r="M23" s="236"/>
      <c r="N23" s="347"/>
      <c r="O23" s="347"/>
      <c r="P23" s="347"/>
      <c r="Q23" s="347"/>
      <c r="R23" s="162"/>
      <c r="S23" s="347"/>
      <c r="T23" s="289"/>
      <c r="U23" s="344"/>
    </row>
    <row r="24" spans="1:21" x14ac:dyDescent="0.35">
      <c r="A24" s="283">
        <v>44326</v>
      </c>
      <c r="B24" s="341"/>
      <c r="C24" s="231"/>
      <c r="D24" s="347"/>
      <c r="E24" s="347"/>
      <c r="F24" s="347"/>
      <c r="G24" s="374"/>
      <c r="H24" s="374"/>
      <c r="I24" s="374"/>
      <c r="J24" s="347"/>
      <c r="K24" s="347"/>
      <c r="L24" s="347"/>
      <c r="M24" s="236"/>
      <c r="N24" s="347"/>
      <c r="O24" s="347"/>
      <c r="P24" s="347"/>
      <c r="Q24" s="347"/>
      <c r="R24" s="162"/>
      <c r="S24" s="347"/>
      <c r="T24" s="289"/>
      <c r="U24" s="344"/>
    </row>
    <row r="25" spans="1:21" x14ac:dyDescent="0.35">
      <c r="A25" s="283">
        <v>44333</v>
      </c>
      <c r="B25" s="341"/>
      <c r="C25" s="408"/>
      <c r="D25" s="289"/>
      <c r="E25" s="289"/>
      <c r="F25" s="289"/>
      <c r="G25" s="374"/>
      <c r="H25" s="374"/>
      <c r="I25" s="374"/>
      <c r="J25" s="289"/>
      <c r="K25" s="344"/>
      <c r="L25" s="344"/>
      <c r="M25" s="161"/>
      <c r="N25" s="344"/>
      <c r="O25" s="344"/>
      <c r="P25" s="344"/>
      <c r="Q25" s="344"/>
      <c r="R25" s="162"/>
      <c r="S25" s="344"/>
      <c r="T25" s="289"/>
      <c r="U25" s="344"/>
    </row>
    <row r="26" spans="1:21" x14ac:dyDescent="0.35">
      <c r="A26" s="283">
        <v>44340</v>
      </c>
      <c r="B26" s="341"/>
      <c r="C26" s="409"/>
      <c r="D26" s="289"/>
      <c r="E26" s="289"/>
      <c r="F26" s="289"/>
      <c r="G26" s="374"/>
      <c r="H26" s="374"/>
      <c r="I26" s="374"/>
      <c r="J26" s="289"/>
      <c r="K26" s="344"/>
      <c r="L26" s="344"/>
      <c r="M26" s="162"/>
      <c r="N26" s="344"/>
      <c r="O26" s="344"/>
      <c r="P26" s="344"/>
      <c r="Q26" s="344"/>
      <c r="R26" s="162"/>
      <c r="S26" s="344"/>
      <c r="T26" s="289"/>
      <c r="U26" s="344"/>
    </row>
    <row r="27" spans="1:21" x14ac:dyDescent="0.35">
      <c r="A27" s="283">
        <v>44347</v>
      </c>
      <c r="B27" s="341"/>
      <c r="C27" s="409"/>
      <c r="D27" s="289"/>
      <c r="E27" s="289"/>
      <c r="F27" s="289"/>
      <c r="G27" s="374"/>
      <c r="H27" s="374"/>
      <c r="I27" s="374"/>
      <c r="J27" s="289"/>
      <c r="K27" s="344"/>
      <c r="L27" s="344"/>
      <c r="M27" s="162"/>
      <c r="N27" s="344"/>
      <c r="O27" s="344"/>
      <c r="P27" s="344"/>
      <c r="Q27" s="344"/>
      <c r="R27" s="162"/>
      <c r="S27" s="344"/>
      <c r="T27" s="289"/>
      <c r="U27" s="344"/>
    </row>
    <row r="28" spans="1:21" ht="14" x14ac:dyDescent="0.3">
      <c r="A28" s="27" t="s">
        <v>157</v>
      </c>
      <c r="B28" s="339">
        <f>SUM(B23:B27)</f>
        <v>0</v>
      </c>
      <c r="C28" s="28">
        <f t="shared" ref="C28" si="14">SUM(C23:C27)</f>
        <v>0</v>
      </c>
      <c r="D28" s="339">
        <f>SUM(D23:D27)</f>
        <v>0</v>
      </c>
      <c r="E28" s="339">
        <f t="shared" ref="E28:S28" si="15">SUM(E23:E27)</f>
        <v>0</v>
      </c>
      <c r="F28" s="339">
        <f t="shared" si="15"/>
        <v>0</v>
      </c>
      <c r="G28" s="339">
        <f t="shared" si="15"/>
        <v>0</v>
      </c>
      <c r="H28" s="339">
        <f t="shared" si="15"/>
        <v>0</v>
      </c>
      <c r="I28" s="339">
        <f t="shared" si="15"/>
        <v>0</v>
      </c>
      <c r="J28" s="339">
        <f t="shared" si="15"/>
        <v>0</v>
      </c>
      <c r="K28" s="339">
        <f t="shared" si="15"/>
        <v>0</v>
      </c>
      <c r="L28" s="339">
        <f t="shared" si="15"/>
        <v>0</v>
      </c>
      <c r="M28" s="39">
        <f t="shared" si="15"/>
        <v>0</v>
      </c>
      <c r="N28" s="339">
        <f t="shared" si="15"/>
        <v>0</v>
      </c>
      <c r="O28" s="339">
        <f t="shared" si="15"/>
        <v>0</v>
      </c>
      <c r="P28" s="339">
        <f t="shared" si="15"/>
        <v>0</v>
      </c>
      <c r="Q28" s="339">
        <f t="shared" si="15"/>
        <v>0</v>
      </c>
      <c r="R28" s="401">
        <f>SUM(R23:R27)</f>
        <v>0</v>
      </c>
      <c r="S28" s="339">
        <f t="shared" si="15"/>
        <v>0</v>
      </c>
      <c r="T28" s="290">
        <f t="shared" ref="T28" si="16">I28+H28+G28+F28+E28+D28</f>
        <v>0</v>
      </c>
      <c r="U28" s="346">
        <f t="shared" ref="U28" si="17">S28+R28+Q28+P28+O28+N28+L28+K28</f>
        <v>0</v>
      </c>
    </row>
    <row r="29" spans="1:21" x14ac:dyDescent="0.35">
      <c r="A29" s="19">
        <v>44354</v>
      </c>
      <c r="B29" s="341"/>
      <c r="C29" s="409"/>
      <c r="D29" s="289"/>
      <c r="E29" s="289"/>
      <c r="F29" s="289"/>
      <c r="G29" s="374"/>
      <c r="H29" s="374"/>
      <c r="I29" s="374"/>
      <c r="J29" s="289"/>
      <c r="K29" s="344"/>
      <c r="L29" s="344"/>
      <c r="M29" s="162"/>
      <c r="N29" s="344"/>
      <c r="O29" s="344"/>
      <c r="P29" s="344"/>
      <c r="Q29" s="344"/>
      <c r="R29" s="162"/>
      <c r="S29" s="344"/>
      <c r="T29" s="289"/>
      <c r="U29" s="344"/>
    </row>
    <row r="30" spans="1:21" x14ac:dyDescent="0.35">
      <c r="A30" s="19">
        <v>44361</v>
      </c>
      <c r="B30" s="341"/>
      <c r="C30" s="409"/>
      <c r="D30" s="116"/>
      <c r="E30" s="116"/>
      <c r="F30" s="289"/>
      <c r="G30" s="374"/>
      <c r="H30" s="374"/>
      <c r="I30" s="374"/>
      <c r="J30" s="289"/>
      <c r="K30" s="344"/>
      <c r="L30" s="345"/>
      <c r="M30" s="162"/>
      <c r="N30" s="345"/>
      <c r="O30" s="344"/>
      <c r="P30" s="344"/>
      <c r="Q30" s="344"/>
      <c r="R30" s="163"/>
      <c r="S30" s="345"/>
      <c r="T30" s="289"/>
      <c r="U30" s="344"/>
    </row>
    <row r="31" spans="1:21" x14ac:dyDescent="0.35">
      <c r="A31" s="19">
        <v>44368</v>
      </c>
      <c r="B31" s="341"/>
      <c r="C31" s="409"/>
      <c r="D31" s="289"/>
      <c r="E31" s="289"/>
      <c r="F31" s="116"/>
      <c r="G31" s="374"/>
      <c r="H31" s="374"/>
      <c r="I31" s="374"/>
      <c r="J31" s="116"/>
      <c r="K31" s="345"/>
      <c r="L31" s="344"/>
      <c r="M31" s="162"/>
      <c r="N31" s="344"/>
      <c r="O31" s="345"/>
      <c r="P31" s="345"/>
      <c r="Q31" s="345"/>
      <c r="R31" s="162"/>
      <c r="S31" s="344"/>
      <c r="T31" s="289"/>
      <c r="U31" s="344"/>
    </row>
    <row r="32" spans="1:21" x14ac:dyDescent="0.35">
      <c r="A32" s="19">
        <v>44375</v>
      </c>
      <c r="B32" s="341"/>
      <c r="C32" s="409"/>
      <c r="D32" s="289"/>
      <c r="E32" s="289"/>
      <c r="F32" s="289"/>
      <c r="G32" s="374"/>
      <c r="H32" s="374"/>
      <c r="I32" s="374"/>
      <c r="J32" s="289"/>
      <c r="K32" s="344"/>
      <c r="L32" s="344"/>
      <c r="M32" s="162"/>
      <c r="N32" s="344"/>
      <c r="O32" s="344"/>
      <c r="P32" s="344"/>
      <c r="Q32" s="344"/>
      <c r="R32" s="162"/>
      <c r="S32" s="344"/>
      <c r="T32" s="289"/>
      <c r="U32" s="344"/>
    </row>
    <row r="33" spans="1:21" ht="14" x14ac:dyDescent="0.3">
      <c r="A33" s="27" t="s">
        <v>158</v>
      </c>
      <c r="B33" s="339">
        <f>SUM(B29:B32)</f>
        <v>0</v>
      </c>
      <c r="C33" s="28">
        <f t="shared" ref="C33" si="18">SUM(C29:C32)</f>
        <v>0</v>
      </c>
      <c r="D33" s="339">
        <f>SUM(D29:D32)</f>
        <v>0</v>
      </c>
      <c r="E33" s="339">
        <f t="shared" ref="E33:S33" si="19">SUM(E29:E32)</f>
        <v>0</v>
      </c>
      <c r="F33" s="339">
        <f t="shared" si="19"/>
        <v>0</v>
      </c>
      <c r="G33" s="339">
        <f t="shared" si="19"/>
        <v>0</v>
      </c>
      <c r="H33" s="339">
        <f t="shared" si="19"/>
        <v>0</v>
      </c>
      <c r="I33" s="339">
        <f t="shared" si="19"/>
        <v>0</v>
      </c>
      <c r="J33" s="339">
        <f t="shared" si="19"/>
        <v>0</v>
      </c>
      <c r="K33" s="339">
        <f t="shared" si="19"/>
        <v>0</v>
      </c>
      <c r="L33" s="339">
        <f t="shared" si="19"/>
        <v>0</v>
      </c>
      <c r="M33" s="39">
        <f t="shared" si="19"/>
        <v>0</v>
      </c>
      <c r="N33" s="339">
        <f t="shared" si="19"/>
        <v>0</v>
      </c>
      <c r="O33" s="339">
        <f t="shared" si="19"/>
        <v>0</v>
      </c>
      <c r="P33" s="339">
        <f t="shared" si="19"/>
        <v>0</v>
      </c>
      <c r="Q33" s="339">
        <f t="shared" si="19"/>
        <v>0</v>
      </c>
      <c r="R33" s="401">
        <f>SUM(R29:R32)</f>
        <v>0</v>
      </c>
      <c r="S33" s="339">
        <f t="shared" si="19"/>
        <v>0</v>
      </c>
      <c r="T33" s="290">
        <f t="shared" ref="T33" si="20">I33+H33+G33+F33+E33+D33</f>
        <v>0</v>
      </c>
      <c r="U33" s="346">
        <f t="shared" ref="U33" si="21">S33+R33+Q33+P33+O33+N33+L33+K33</f>
        <v>0</v>
      </c>
    </row>
    <row r="34" spans="1:21" x14ac:dyDescent="0.35">
      <c r="A34" s="19">
        <v>44382</v>
      </c>
      <c r="B34" s="341"/>
      <c r="C34" s="409"/>
      <c r="D34" s="289"/>
      <c r="E34" s="289"/>
      <c r="F34" s="289"/>
      <c r="G34" s="374"/>
      <c r="H34" s="374"/>
      <c r="I34" s="374"/>
      <c r="J34" s="289"/>
      <c r="K34" s="344"/>
      <c r="L34" s="344"/>
      <c r="M34" s="162"/>
      <c r="N34" s="344"/>
      <c r="O34" s="344"/>
      <c r="P34" s="344"/>
      <c r="Q34" s="344"/>
      <c r="R34" s="162"/>
      <c r="S34" s="344"/>
      <c r="T34" s="289"/>
      <c r="U34" s="344"/>
    </row>
    <row r="35" spans="1:21" x14ac:dyDescent="0.35">
      <c r="A35" s="19">
        <v>44389</v>
      </c>
      <c r="B35" s="341"/>
      <c r="C35" s="409"/>
      <c r="D35" s="116"/>
      <c r="E35" s="116"/>
      <c r="F35" s="289"/>
      <c r="G35" s="374"/>
      <c r="H35" s="374"/>
      <c r="I35" s="374"/>
      <c r="J35" s="289"/>
      <c r="K35" s="344"/>
      <c r="L35" s="345"/>
      <c r="M35" s="163"/>
      <c r="N35" s="345"/>
      <c r="O35" s="344"/>
      <c r="P35" s="344"/>
      <c r="Q35" s="344"/>
      <c r="R35" s="163"/>
      <c r="S35" s="345"/>
      <c r="T35" s="289"/>
      <c r="U35" s="344"/>
    </row>
    <row r="36" spans="1:21" x14ac:dyDescent="0.35">
      <c r="A36" s="19">
        <v>44396</v>
      </c>
      <c r="B36" s="341"/>
      <c r="C36" s="409"/>
      <c r="D36" s="289"/>
      <c r="E36" s="289"/>
      <c r="F36" s="116"/>
      <c r="G36" s="374"/>
      <c r="H36" s="374"/>
      <c r="I36" s="374"/>
      <c r="J36" s="116"/>
      <c r="K36" s="345"/>
      <c r="L36" s="344"/>
      <c r="M36" s="162"/>
      <c r="N36" s="344"/>
      <c r="O36" s="345"/>
      <c r="P36" s="345"/>
      <c r="Q36" s="345"/>
      <c r="R36" s="162"/>
      <c r="S36" s="344"/>
      <c r="T36" s="289"/>
      <c r="U36" s="344"/>
    </row>
    <row r="37" spans="1:21" x14ac:dyDescent="0.35">
      <c r="A37" s="19">
        <v>44403</v>
      </c>
      <c r="B37" s="341"/>
      <c r="C37" s="409"/>
      <c r="D37" s="289"/>
      <c r="E37" s="289"/>
      <c r="F37" s="289"/>
      <c r="G37" s="374"/>
      <c r="H37" s="374"/>
      <c r="I37" s="374"/>
      <c r="J37" s="289"/>
      <c r="K37" s="344"/>
      <c r="L37" s="344"/>
      <c r="M37" s="162"/>
      <c r="N37" s="344"/>
      <c r="O37" s="344"/>
      <c r="P37" s="344"/>
      <c r="Q37" s="344"/>
      <c r="R37" s="162"/>
      <c r="S37" s="344"/>
      <c r="T37" s="289"/>
      <c r="U37" s="344"/>
    </row>
    <row r="38" spans="1:21" ht="14" x14ac:dyDescent="0.3">
      <c r="A38" s="27" t="s">
        <v>159</v>
      </c>
      <c r="B38" s="339">
        <f>SUM(B34:B37)</f>
        <v>0</v>
      </c>
      <c r="C38" s="28">
        <f t="shared" ref="C38" si="22">SUM(C34:C37)</f>
        <v>0</v>
      </c>
      <c r="D38" s="339">
        <f>SUM(D34:D37)</f>
        <v>0</v>
      </c>
      <c r="E38" s="339">
        <f t="shared" ref="E38:S38" si="23">SUM(E34:E37)</f>
        <v>0</v>
      </c>
      <c r="F38" s="339">
        <f t="shared" si="23"/>
        <v>0</v>
      </c>
      <c r="G38" s="339">
        <f t="shared" si="23"/>
        <v>0</v>
      </c>
      <c r="H38" s="339">
        <f t="shared" si="23"/>
        <v>0</v>
      </c>
      <c r="I38" s="339">
        <f t="shared" si="23"/>
        <v>0</v>
      </c>
      <c r="J38" s="339">
        <f t="shared" si="23"/>
        <v>0</v>
      </c>
      <c r="K38" s="339">
        <f t="shared" si="23"/>
        <v>0</v>
      </c>
      <c r="L38" s="339">
        <f t="shared" si="23"/>
        <v>0</v>
      </c>
      <c r="M38" s="39">
        <f t="shared" si="23"/>
        <v>0</v>
      </c>
      <c r="N38" s="339">
        <f t="shared" si="23"/>
        <v>0</v>
      </c>
      <c r="O38" s="339">
        <f t="shared" si="23"/>
        <v>0</v>
      </c>
      <c r="P38" s="339">
        <f t="shared" si="23"/>
        <v>0</v>
      </c>
      <c r="Q38" s="339">
        <f t="shared" si="23"/>
        <v>0</v>
      </c>
      <c r="R38" s="401">
        <f>SUM(R34:R37)</f>
        <v>0</v>
      </c>
      <c r="S38" s="339">
        <f t="shared" si="23"/>
        <v>0</v>
      </c>
      <c r="T38" s="290">
        <f t="shared" ref="T38" si="24">I38+H38+G38+F38+E38+D38</f>
        <v>0</v>
      </c>
      <c r="U38" s="346">
        <f t="shared" ref="U38" si="25">S38+R38+Q38+P38+O38+N38+L38+K38</f>
        <v>0</v>
      </c>
    </row>
    <row r="39" spans="1:21" x14ac:dyDescent="0.35">
      <c r="A39" s="19">
        <v>44410</v>
      </c>
      <c r="B39" s="341"/>
      <c r="C39" s="304"/>
      <c r="D39" s="116"/>
      <c r="E39" s="116"/>
      <c r="F39" s="289"/>
      <c r="G39" s="374"/>
      <c r="H39" s="374"/>
      <c r="I39" s="374"/>
      <c r="J39" s="289"/>
      <c r="K39" s="344"/>
      <c r="L39" s="345"/>
      <c r="M39" s="163"/>
      <c r="N39" s="345"/>
      <c r="O39" s="344"/>
      <c r="P39" s="344"/>
      <c r="Q39" s="344"/>
      <c r="R39" s="163"/>
      <c r="S39" s="345"/>
      <c r="T39" s="289"/>
      <c r="U39" s="344"/>
    </row>
    <row r="40" spans="1:21" x14ac:dyDescent="0.35">
      <c r="A40" s="19">
        <v>44417</v>
      </c>
      <c r="B40" s="341"/>
      <c r="C40" s="306"/>
      <c r="D40" s="289"/>
      <c r="E40" s="289"/>
      <c r="F40" s="116"/>
      <c r="G40" s="374"/>
      <c r="H40" s="374"/>
      <c r="I40" s="374"/>
      <c r="J40" s="116"/>
      <c r="K40" s="345"/>
      <c r="L40" s="344"/>
      <c r="M40" s="162"/>
      <c r="N40" s="344"/>
      <c r="O40" s="345"/>
      <c r="P40" s="345"/>
      <c r="Q40" s="345"/>
      <c r="R40" s="162"/>
      <c r="S40" s="344"/>
      <c r="T40" s="289"/>
      <c r="U40" s="344"/>
    </row>
    <row r="41" spans="1:21" x14ac:dyDescent="0.35">
      <c r="A41" s="19">
        <v>44424</v>
      </c>
      <c r="B41" s="341"/>
      <c r="C41" s="399"/>
      <c r="D41" s="289"/>
      <c r="E41" s="289"/>
      <c r="F41" s="289"/>
      <c r="G41" s="374"/>
      <c r="H41" s="374"/>
      <c r="I41" s="374"/>
      <c r="J41" s="289"/>
      <c r="K41" s="344"/>
      <c r="L41" s="344"/>
      <c r="M41" s="162"/>
      <c r="N41" s="344"/>
      <c r="O41" s="344"/>
      <c r="P41" s="344"/>
      <c r="Q41" s="344"/>
      <c r="R41" s="162"/>
      <c r="S41" s="344"/>
      <c r="T41" s="289"/>
      <c r="U41" s="344"/>
    </row>
    <row r="42" spans="1:21" x14ac:dyDescent="0.35">
      <c r="A42" s="19">
        <v>44431</v>
      </c>
      <c r="B42" s="341"/>
      <c r="C42" s="306"/>
      <c r="D42" s="289"/>
      <c r="E42" s="289"/>
      <c r="F42" s="289"/>
      <c r="G42" s="374"/>
      <c r="H42" s="374"/>
      <c r="I42" s="374"/>
      <c r="J42" s="289"/>
      <c r="K42" s="344"/>
      <c r="L42" s="344"/>
      <c r="M42" s="162"/>
      <c r="N42" s="344"/>
      <c r="O42" s="344"/>
      <c r="P42" s="344"/>
      <c r="Q42" s="344"/>
      <c r="R42" s="162"/>
      <c r="S42" s="344"/>
      <c r="T42" s="289"/>
      <c r="U42" s="344"/>
    </row>
    <row r="43" spans="1:21" x14ac:dyDescent="0.35">
      <c r="A43" s="19">
        <v>44438</v>
      </c>
      <c r="B43" s="341"/>
      <c r="C43" s="306"/>
      <c r="D43" s="289"/>
      <c r="E43" s="289"/>
      <c r="F43" s="289"/>
      <c r="G43" s="374"/>
      <c r="H43" s="374"/>
      <c r="I43" s="374"/>
      <c r="J43" s="289"/>
      <c r="K43" s="344"/>
      <c r="L43" s="344"/>
      <c r="M43" s="162"/>
      <c r="N43" s="344"/>
      <c r="O43" s="344"/>
      <c r="P43" s="344"/>
      <c r="Q43" s="344"/>
      <c r="R43" s="162"/>
      <c r="S43" s="344"/>
      <c r="T43" s="289"/>
      <c r="U43" s="344"/>
    </row>
    <row r="44" spans="1:21" ht="14" x14ac:dyDescent="0.3">
      <c r="A44" s="27" t="s">
        <v>168</v>
      </c>
      <c r="B44" s="339">
        <f>SUM(B39:B43)</f>
        <v>0</v>
      </c>
      <c r="C44" s="339">
        <f t="shared" ref="C44" si="26">SUM(C39:C43)</f>
        <v>0</v>
      </c>
      <c r="D44" s="339">
        <f>SUM(D39:D43)</f>
        <v>0</v>
      </c>
      <c r="E44" s="339">
        <f t="shared" ref="E44:S44" si="27">SUM(E39:E43)</f>
        <v>0</v>
      </c>
      <c r="F44" s="339">
        <f t="shared" si="27"/>
        <v>0</v>
      </c>
      <c r="G44" s="339">
        <f t="shared" si="27"/>
        <v>0</v>
      </c>
      <c r="H44" s="339">
        <f t="shared" si="27"/>
        <v>0</v>
      </c>
      <c r="I44" s="339">
        <f t="shared" si="27"/>
        <v>0</v>
      </c>
      <c r="J44" s="339">
        <f t="shared" si="27"/>
        <v>0</v>
      </c>
      <c r="K44" s="339">
        <f t="shared" si="27"/>
        <v>0</v>
      </c>
      <c r="L44" s="339">
        <f t="shared" si="27"/>
        <v>0</v>
      </c>
      <c r="M44" s="40">
        <f t="shared" si="27"/>
        <v>0</v>
      </c>
      <c r="N44" s="339">
        <f t="shared" si="27"/>
        <v>0</v>
      </c>
      <c r="O44" s="339">
        <f t="shared" si="27"/>
        <v>0</v>
      </c>
      <c r="P44" s="339">
        <f t="shared" si="27"/>
        <v>0</v>
      </c>
      <c r="Q44" s="339">
        <f t="shared" si="27"/>
        <v>0</v>
      </c>
      <c r="R44" s="401">
        <f>SUM(R39:R43)</f>
        <v>0</v>
      </c>
      <c r="S44" s="339">
        <f t="shared" si="27"/>
        <v>0</v>
      </c>
      <c r="T44" s="290">
        <f t="shared" ref="T44" si="28">I44+H44+G44+F44+E44+D44</f>
        <v>0</v>
      </c>
      <c r="U44" s="346">
        <f t="shared" ref="U44" si="29">S44+R44+Q44+P44+O44+N44+L44+K44</f>
        <v>0</v>
      </c>
    </row>
    <row r="45" spans="1:21" x14ac:dyDescent="0.35">
      <c r="A45" s="19">
        <v>44445</v>
      </c>
      <c r="B45" s="341"/>
      <c r="C45" s="399"/>
      <c r="D45" s="116"/>
      <c r="E45" s="116"/>
      <c r="F45" s="289"/>
      <c r="G45" s="374"/>
      <c r="H45" s="374"/>
      <c r="I45" s="374"/>
      <c r="J45" s="289"/>
      <c r="K45" s="344"/>
      <c r="L45" s="345"/>
      <c r="M45" s="162"/>
      <c r="N45" s="345"/>
      <c r="O45" s="344"/>
      <c r="P45" s="344"/>
      <c r="Q45" s="344"/>
      <c r="R45" s="163"/>
      <c r="S45" s="345"/>
      <c r="T45" s="289"/>
      <c r="U45" s="344"/>
    </row>
    <row r="46" spans="1:21" x14ac:dyDescent="0.35">
      <c r="A46" s="19">
        <v>44455</v>
      </c>
      <c r="B46" s="341"/>
      <c r="C46" s="400"/>
      <c r="D46" s="289"/>
      <c r="E46" s="289"/>
      <c r="F46" s="116"/>
      <c r="G46" s="374"/>
      <c r="H46" s="374"/>
      <c r="I46" s="374"/>
      <c r="J46" s="116"/>
      <c r="K46" s="345"/>
      <c r="L46" s="344"/>
      <c r="M46" s="162"/>
      <c r="N46" s="344"/>
      <c r="O46" s="345"/>
      <c r="P46" s="345"/>
      <c r="Q46" s="345"/>
      <c r="R46" s="162"/>
      <c r="S46" s="344"/>
      <c r="T46" s="289"/>
      <c r="U46" s="344"/>
    </row>
    <row r="47" spans="1:21" x14ac:dyDescent="0.35">
      <c r="A47" s="19">
        <v>44465</v>
      </c>
      <c r="B47" s="341"/>
      <c r="C47" s="304"/>
      <c r="D47" s="289"/>
      <c r="E47" s="289"/>
      <c r="F47" s="116"/>
      <c r="G47" s="374"/>
      <c r="H47" s="374"/>
      <c r="I47" s="374"/>
      <c r="J47" s="116"/>
      <c r="K47" s="345"/>
      <c r="L47" s="344"/>
      <c r="M47" s="162"/>
      <c r="N47" s="344"/>
      <c r="O47" s="345"/>
      <c r="P47" s="345"/>
      <c r="Q47" s="345"/>
      <c r="R47" s="162"/>
      <c r="S47" s="344"/>
      <c r="T47" s="289"/>
      <c r="U47" s="344"/>
    </row>
    <row r="48" spans="1:21" ht="14" x14ac:dyDescent="0.3">
      <c r="A48" s="68" t="s">
        <v>180</v>
      </c>
      <c r="B48" s="339">
        <f>SUM(B45:B47)</f>
        <v>0</v>
      </c>
      <c r="C48" s="29">
        <f t="shared" ref="C48" si="30">SUM(C45:C47)</f>
        <v>0</v>
      </c>
      <c r="D48" s="339">
        <f>SUM(D45:D47)</f>
        <v>0</v>
      </c>
      <c r="E48" s="339">
        <f t="shared" ref="E48:S48" si="31">SUM(E45:E47)</f>
        <v>0</v>
      </c>
      <c r="F48" s="339">
        <f t="shared" si="31"/>
        <v>0</v>
      </c>
      <c r="G48" s="339">
        <f t="shared" si="31"/>
        <v>0</v>
      </c>
      <c r="H48" s="339">
        <f t="shared" si="31"/>
        <v>0</v>
      </c>
      <c r="I48" s="339">
        <f t="shared" si="31"/>
        <v>0</v>
      </c>
      <c r="J48" s="339">
        <f t="shared" si="31"/>
        <v>0</v>
      </c>
      <c r="K48" s="339">
        <f t="shared" si="31"/>
        <v>0</v>
      </c>
      <c r="L48" s="339">
        <f t="shared" si="31"/>
        <v>0</v>
      </c>
      <c r="M48" s="39">
        <f t="shared" si="31"/>
        <v>0</v>
      </c>
      <c r="N48" s="339">
        <f t="shared" si="31"/>
        <v>0</v>
      </c>
      <c r="O48" s="339">
        <f t="shared" si="31"/>
        <v>0</v>
      </c>
      <c r="P48" s="339">
        <f t="shared" si="31"/>
        <v>0</v>
      </c>
      <c r="Q48" s="339">
        <f t="shared" si="31"/>
        <v>0</v>
      </c>
      <c r="R48" s="401">
        <f>SUM(R45:R47)</f>
        <v>0</v>
      </c>
      <c r="S48" s="339">
        <f t="shared" si="31"/>
        <v>0</v>
      </c>
      <c r="T48" s="290">
        <f t="shared" ref="T48" si="32">I48+H48+G48+F48+E48+D48</f>
        <v>0</v>
      </c>
      <c r="U48" s="346">
        <f t="shared" ref="U48" si="33">S48+R48+Q48+P48+O48+N48+L48+K48</f>
        <v>0</v>
      </c>
    </row>
    <row r="49" spans="1:21" x14ac:dyDescent="0.35">
      <c r="A49" s="19">
        <v>44473</v>
      </c>
      <c r="B49" s="341"/>
      <c r="C49" s="304"/>
      <c r="D49" s="366"/>
      <c r="E49" s="116"/>
      <c r="F49" s="289"/>
      <c r="G49" s="374"/>
      <c r="H49" s="374"/>
      <c r="I49" s="374"/>
      <c r="J49" s="289"/>
      <c r="K49" s="344"/>
      <c r="L49" s="345"/>
      <c r="M49" s="162"/>
      <c r="N49" s="163"/>
      <c r="O49" s="344"/>
      <c r="P49" s="344"/>
      <c r="Q49" s="344"/>
      <c r="R49" s="163"/>
      <c r="S49" s="345"/>
      <c r="T49" s="289"/>
      <c r="U49" s="344"/>
    </row>
    <row r="50" spans="1:21" x14ac:dyDescent="0.35">
      <c r="A50" s="19">
        <v>44480</v>
      </c>
      <c r="B50" s="341"/>
      <c r="C50" s="400"/>
      <c r="D50" s="289"/>
      <c r="E50" s="289"/>
      <c r="F50" s="116"/>
      <c r="G50" s="374"/>
      <c r="H50" s="374"/>
      <c r="I50" s="374"/>
      <c r="J50" s="116"/>
      <c r="K50" s="345"/>
      <c r="L50" s="344"/>
      <c r="M50" s="162"/>
      <c r="N50" s="344"/>
      <c r="O50" s="345"/>
      <c r="P50" s="345"/>
      <c r="Q50" s="345"/>
      <c r="R50" s="162"/>
      <c r="S50" s="344"/>
      <c r="T50" s="289"/>
      <c r="U50" s="344"/>
    </row>
    <row r="51" spans="1:21" x14ac:dyDescent="0.35">
      <c r="A51" s="19">
        <v>44487</v>
      </c>
      <c r="B51" s="341"/>
      <c r="C51" s="304"/>
      <c r="D51" s="289"/>
      <c r="E51" s="289"/>
      <c r="F51" s="289"/>
      <c r="G51" s="374"/>
      <c r="H51" s="374"/>
      <c r="I51" s="374"/>
      <c r="J51" s="289"/>
      <c r="K51" s="344"/>
      <c r="L51" s="344"/>
      <c r="M51" s="162"/>
      <c r="N51" s="344"/>
      <c r="O51" s="344"/>
      <c r="P51" s="344"/>
      <c r="Q51" s="344"/>
      <c r="R51" s="162"/>
      <c r="S51" s="344"/>
      <c r="T51" s="289"/>
      <c r="U51" s="344"/>
    </row>
    <row r="52" spans="1:21" x14ac:dyDescent="0.35">
      <c r="A52" s="19">
        <v>44494</v>
      </c>
      <c r="B52" s="341"/>
      <c r="C52" s="304"/>
      <c r="D52" s="289"/>
      <c r="E52" s="289"/>
      <c r="F52" s="289"/>
      <c r="G52" s="374"/>
      <c r="H52" s="374"/>
      <c r="I52" s="374"/>
      <c r="J52" s="289"/>
      <c r="K52" s="344"/>
      <c r="L52" s="344"/>
      <c r="M52" s="162"/>
      <c r="N52" s="344"/>
      <c r="O52" s="344"/>
      <c r="P52" s="344"/>
      <c r="Q52" s="344"/>
      <c r="R52" s="162"/>
      <c r="S52" s="344"/>
      <c r="T52" s="289"/>
      <c r="U52" s="344"/>
    </row>
    <row r="53" spans="1:21" ht="14" x14ac:dyDescent="0.3">
      <c r="A53" s="27" t="s">
        <v>182</v>
      </c>
      <c r="B53" s="339">
        <f>SUM(B49:B52)</f>
        <v>0</v>
      </c>
      <c r="C53" s="28">
        <f t="shared" ref="C53" si="34">SUM(C49:C52)</f>
        <v>0</v>
      </c>
      <c r="D53" s="339">
        <f>SUM(D49:D52)</f>
        <v>0</v>
      </c>
      <c r="E53" s="339">
        <f t="shared" ref="E53:S53" si="35">SUM(E49:E52)</f>
        <v>0</v>
      </c>
      <c r="F53" s="339">
        <f t="shared" si="35"/>
        <v>0</v>
      </c>
      <c r="G53" s="339">
        <f t="shared" si="35"/>
        <v>0</v>
      </c>
      <c r="H53" s="339">
        <f t="shared" si="35"/>
        <v>0</v>
      </c>
      <c r="I53" s="339">
        <f t="shared" si="35"/>
        <v>0</v>
      </c>
      <c r="J53" s="339">
        <f t="shared" si="35"/>
        <v>0</v>
      </c>
      <c r="K53" s="339">
        <f t="shared" si="35"/>
        <v>0</v>
      </c>
      <c r="L53" s="339">
        <f t="shared" si="35"/>
        <v>0</v>
      </c>
      <c r="M53" s="39">
        <f t="shared" si="35"/>
        <v>0</v>
      </c>
      <c r="N53" s="339">
        <f t="shared" si="35"/>
        <v>0</v>
      </c>
      <c r="O53" s="339">
        <f t="shared" si="35"/>
        <v>0</v>
      </c>
      <c r="P53" s="339">
        <f t="shared" si="35"/>
        <v>0</v>
      </c>
      <c r="Q53" s="339">
        <f t="shared" si="35"/>
        <v>0</v>
      </c>
      <c r="R53" s="401">
        <f>SUM(R49:R52)</f>
        <v>0</v>
      </c>
      <c r="S53" s="339">
        <f t="shared" si="35"/>
        <v>0</v>
      </c>
      <c r="T53" s="290">
        <f t="shared" ref="T53" si="36">I53+H53+G53+F53+E53+D53</f>
        <v>0</v>
      </c>
      <c r="U53" s="346">
        <f t="shared" ref="U53" si="37">S53+R53+Q53+P53+O53+N53+L53+K53</f>
        <v>0</v>
      </c>
    </row>
    <row r="54" spans="1:21" x14ac:dyDescent="0.35">
      <c r="A54" s="19">
        <v>44501</v>
      </c>
      <c r="B54" s="341"/>
      <c r="C54" s="304"/>
      <c r="D54" s="289"/>
      <c r="E54" s="289"/>
      <c r="F54" s="289"/>
      <c r="G54" s="374"/>
      <c r="H54" s="374"/>
      <c r="I54" s="374"/>
      <c r="J54" s="289"/>
      <c r="K54" s="344"/>
      <c r="L54" s="344"/>
      <c r="M54" s="162"/>
      <c r="N54" s="344"/>
      <c r="O54" s="344"/>
      <c r="P54" s="344"/>
      <c r="Q54" s="344"/>
      <c r="R54" s="162"/>
      <c r="S54" s="344"/>
      <c r="T54" s="289"/>
      <c r="U54" s="344"/>
    </row>
    <row r="55" spans="1:21" x14ac:dyDescent="0.35">
      <c r="A55" s="19">
        <v>44508</v>
      </c>
      <c r="B55" s="341"/>
      <c r="C55" s="400"/>
      <c r="D55" s="116"/>
      <c r="E55" s="116"/>
      <c r="F55" s="289"/>
      <c r="G55" s="374"/>
      <c r="H55" s="374"/>
      <c r="I55" s="374"/>
      <c r="J55" s="289"/>
      <c r="K55" s="344"/>
      <c r="L55" s="345"/>
      <c r="M55" s="163"/>
      <c r="N55" s="345"/>
      <c r="O55" s="344"/>
      <c r="P55" s="344"/>
      <c r="Q55" s="344"/>
      <c r="R55" s="163"/>
      <c r="S55" s="345"/>
      <c r="T55" s="289"/>
      <c r="U55" s="344"/>
    </row>
    <row r="56" spans="1:21" x14ac:dyDescent="0.35">
      <c r="A56" s="19">
        <v>44515</v>
      </c>
      <c r="B56" s="341"/>
      <c r="C56" s="304"/>
      <c r="D56" s="289"/>
      <c r="E56" s="289"/>
      <c r="F56" s="116"/>
      <c r="G56" s="374"/>
      <c r="H56" s="374"/>
      <c r="I56" s="374"/>
      <c r="J56" s="116"/>
      <c r="K56" s="345"/>
      <c r="L56" s="344"/>
      <c r="M56" s="162"/>
      <c r="N56" s="344"/>
      <c r="O56" s="345"/>
      <c r="P56" s="345"/>
      <c r="Q56" s="345"/>
      <c r="R56" s="162"/>
      <c r="S56" s="344"/>
      <c r="T56" s="289"/>
      <c r="U56" s="344"/>
    </row>
    <row r="57" spans="1:21" x14ac:dyDescent="0.35">
      <c r="A57" s="19">
        <v>44522</v>
      </c>
      <c r="B57" s="341"/>
      <c r="C57" s="304"/>
      <c r="D57" s="289"/>
      <c r="E57" s="289"/>
      <c r="F57" s="289"/>
      <c r="G57" s="374"/>
      <c r="H57" s="374"/>
      <c r="I57" s="374"/>
      <c r="J57" s="289"/>
      <c r="K57" s="344"/>
      <c r="L57" s="344"/>
      <c r="M57" s="162"/>
      <c r="N57" s="344"/>
      <c r="O57" s="344"/>
      <c r="P57" s="344"/>
      <c r="Q57" s="344"/>
      <c r="R57" s="162"/>
      <c r="S57" s="344"/>
      <c r="T57" s="289"/>
      <c r="U57" s="344"/>
    </row>
    <row r="58" spans="1:21" x14ac:dyDescent="0.35">
      <c r="A58" s="19">
        <v>44529</v>
      </c>
      <c r="B58" s="341"/>
      <c r="C58" s="304"/>
      <c r="D58" s="289"/>
      <c r="E58" s="289"/>
      <c r="F58" s="289"/>
      <c r="G58" s="374"/>
      <c r="H58" s="374"/>
      <c r="I58" s="374"/>
      <c r="J58" s="289"/>
      <c r="K58" s="344"/>
      <c r="L58" s="344"/>
      <c r="M58" s="162"/>
      <c r="N58" s="344"/>
      <c r="O58" s="344"/>
      <c r="P58" s="344"/>
      <c r="Q58" s="344"/>
      <c r="R58" s="162"/>
      <c r="S58" s="344"/>
      <c r="T58" s="289"/>
      <c r="U58" s="344"/>
    </row>
    <row r="59" spans="1:21" ht="14" x14ac:dyDescent="0.3">
      <c r="A59" s="27" t="s">
        <v>181</v>
      </c>
      <c r="B59" s="339">
        <f t="shared" ref="B59:S59" si="38">SUM(B54:B58)</f>
        <v>0</v>
      </c>
      <c r="C59" s="28">
        <f t="shared" si="38"/>
        <v>0</v>
      </c>
      <c r="D59" s="339">
        <f t="shared" si="38"/>
        <v>0</v>
      </c>
      <c r="E59" s="339">
        <f t="shared" si="38"/>
        <v>0</v>
      </c>
      <c r="F59" s="339">
        <f t="shared" si="38"/>
        <v>0</v>
      </c>
      <c r="G59" s="339">
        <f t="shared" si="38"/>
        <v>0</v>
      </c>
      <c r="H59" s="339">
        <f t="shared" si="38"/>
        <v>0</v>
      </c>
      <c r="I59" s="339">
        <f t="shared" si="38"/>
        <v>0</v>
      </c>
      <c r="J59" s="339">
        <f t="shared" si="38"/>
        <v>0</v>
      </c>
      <c r="K59" s="339">
        <f t="shared" si="38"/>
        <v>0</v>
      </c>
      <c r="L59" s="339">
        <f t="shared" si="38"/>
        <v>0</v>
      </c>
      <c r="M59" s="39">
        <f t="shared" si="38"/>
        <v>0</v>
      </c>
      <c r="N59" s="339">
        <f t="shared" si="38"/>
        <v>0</v>
      </c>
      <c r="O59" s="339">
        <f t="shared" si="38"/>
        <v>0</v>
      </c>
      <c r="P59" s="339">
        <f t="shared" si="38"/>
        <v>0</v>
      </c>
      <c r="Q59" s="339">
        <f t="shared" si="38"/>
        <v>0</v>
      </c>
      <c r="R59" s="401">
        <f>SUM(R54:R58)</f>
        <v>0</v>
      </c>
      <c r="S59" s="339">
        <f t="shared" si="38"/>
        <v>0</v>
      </c>
      <c r="T59" s="290">
        <f t="shared" ref="T59" si="39">I59+H59+G59+F59+E59+D59</f>
        <v>0</v>
      </c>
      <c r="U59" s="346">
        <f t="shared" ref="U59" si="40">S59+R59+Q59+P59+O59+N59+L59+K59</f>
        <v>0</v>
      </c>
    </row>
    <row r="60" spans="1:21" x14ac:dyDescent="0.35">
      <c r="A60" s="19">
        <v>44536</v>
      </c>
      <c r="B60" s="341"/>
      <c r="C60" s="304"/>
      <c r="D60" s="289"/>
      <c r="E60" s="289"/>
      <c r="F60" s="289"/>
      <c r="G60" s="374"/>
      <c r="H60" s="374"/>
      <c r="I60" s="374"/>
      <c r="J60" s="289"/>
      <c r="K60" s="344"/>
      <c r="L60" s="344"/>
      <c r="M60" s="162"/>
      <c r="N60" s="344"/>
      <c r="O60" s="344"/>
      <c r="P60" s="344"/>
      <c r="Q60" s="344"/>
      <c r="R60" s="162"/>
      <c r="S60" s="344"/>
      <c r="T60" s="289"/>
      <c r="U60" s="344"/>
    </row>
    <row r="61" spans="1:21" x14ac:dyDescent="0.35">
      <c r="A61" s="19">
        <v>44543</v>
      </c>
      <c r="B61" s="341"/>
      <c r="C61" s="304"/>
      <c r="D61" s="116"/>
      <c r="E61" s="116"/>
      <c r="F61" s="289"/>
      <c r="G61" s="374"/>
      <c r="H61" s="374"/>
      <c r="I61" s="374"/>
      <c r="J61" s="289"/>
      <c r="K61" s="344"/>
      <c r="L61" s="345"/>
      <c r="M61" s="163"/>
      <c r="N61" s="345"/>
      <c r="O61" s="344"/>
      <c r="P61" s="344"/>
      <c r="Q61" s="344"/>
      <c r="R61" s="163"/>
      <c r="S61" s="345"/>
      <c r="T61" s="289"/>
      <c r="U61" s="344"/>
    </row>
    <row r="62" spans="1:21" x14ac:dyDescent="0.35">
      <c r="A62" s="19">
        <v>44550</v>
      </c>
      <c r="B62" s="341"/>
      <c r="C62" s="304"/>
      <c r="D62" s="289"/>
      <c r="E62" s="289"/>
      <c r="F62" s="116"/>
      <c r="G62" s="374"/>
      <c r="H62" s="374"/>
      <c r="I62" s="374"/>
      <c r="J62" s="116"/>
      <c r="K62" s="345"/>
      <c r="L62" s="344"/>
      <c r="M62" s="162"/>
      <c r="N62" s="344"/>
      <c r="O62" s="345"/>
      <c r="P62" s="345"/>
      <c r="Q62" s="345"/>
      <c r="R62" s="162"/>
      <c r="S62" s="344"/>
      <c r="T62" s="289"/>
      <c r="U62" s="344"/>
    </row>
    <row r="63" spans="1:21" x14ac:dyDescent="0.35">
      <c r="A63" s="19">
        <v>44557</v>
      </c>
      <c r="B63" s="341"/>
      <c r="C63" s="304"/>
      <c r="D63" s="289"/>
      <c r="E63" s="289"/>
      <c r="F63" s="289"/>
      <c r="G63" s="374"/>
      <c r="H63" s="374"/>
      <c r="I63" s="374"/>
      <c r="J63" s="289"/>
      <c r="K63" s="344"/>
      <c r="L63" s="344"/>
      <c r="M63" s="162"/>
      <c r="N63" s="344"/>
      <c r="O63" s="344"/>
      <c r="P63" s="344"/>
      <c r="Q63" s="344"/>
      <c r="R63" s="162"/>
      <c r="S63" s="344"/>
      <c r="T63" s="289"/>
      <c r="U63" s="344"/>
    </row>
    <row r="64" spans="1:21" thickBot="1" x14ac:dyDescent="0.35">
      <c r="A64" s="27" t="s">
        <v>183</v>
      </c>
      <c r="B64" s="348">
        <f t="shared" ref="B64:S64" si="41">SUM(B60:B63)</f>
        <v>0</v>
      </c>
      <c r="C64" s="28">
        <f t="shared" si="41"/>
        <v>0</v>
      </c>
      <c r="D64" s="348">
        <f t="shared" si="41"/>
        <v>0</v>
      </c>
      <c r="E64" s="348">
        <f t="shared" si="41"/>
        <v>0</v>
      </c>
      <c r="F64" s="348">
        <f t="shared" si="41"/>
        <v>0</v>
      </c>
      <c r="G64" s="348">
        <f t="shared" si="41"/>
        <v>0</v>
      </c>
      <c r="H64" s="348">
        <f t="shared" si="41"/>
        <v>0</v>
      </c>
      <c r="I64" s="348">
        <f t="shared" si="41"/>
        <v>0</v>
      </c>
      <c r="J64" s="348">
        <f t="shared" si="41"/>
        <v>0</v>
      </c>
      <c r="K64" s="348">
        <f t="shared" si="41"/>
        <v>0</v>
      </c>
      <c r="L64" s="348">
        <f t="shared" si="41"/>
        <v>0</v>
      </c>
      <c r="M64" s="39">
        <f t="shared" si="41"/>
        <v>0</v>
      </c>
      <c r="N64" s="348">
        <f t="shared" si="41"/>
        <v>0</v>
      </c>
      <c r="O64" s="348">
        <f t="shared" si="41"/>
        <v>0</v>
      </c>
      <c r="P64" s="348">
        <f t="shared" si="41"/>
        <v>0</v>
      </c>
      <c r="Q64" s="348">
        <f t="shared" si="41"/>
        <v>0</v>
      </c>
      <c r="R64" s="406">
        <f>SUM(R60:R63)</f>
        <v>0</v>
      </c>
      <c r="S64" s="348">
        <f t="shared" si="41"/>
        <v>0</v>
      </c>
      <c r="T64" s="290">
        <f t="shared" ref="T64" si="42">I64+H64+G64+F64+E64+D64</f>
        <v>0</v>
      </c>
      <c r="U64" s="346">
        <f t="shared" ref="U64" si="43">S64+R64+Q64+P64+O64+N64+L64+K64</f>
        <v>0</v>
      </c>
    </row>
    <row r="65" spans="1:21" s="282" customFormat="1" ht="18.5" thickBot="1" x14ac:dyDescent="0.45">
      <c r="A65" s="279" t="s">
        <v>156</v>
      </c>
      <c r="B65" s="280">
        <f t="shared" ref="B65:S65" si="44">SUM(B64,B59,B53,B48,B44,B38,B33,B28,B22,B17,B11,B6)</f>
        <v>1429.26</v>
      </c>
      <c r="C65" s="271">
        <f t="shared" si="44"/>
        <v>12.322000000000001</v>
      </c>
      <c r="D65" s="280">
        <f t="shared" si="44"/>
        <v>0</v>
      </c>
      <c r="E65" s="280">
        <f t="shared" si="44"/>
        <v>0</v>
      </c>
      <c r="F65" s="280">
        <f t="shared" si="44"/>
        <v>0</v>
      </c>
      <c r="G65" s="280">
        <f t="shared" si="44"/>
        <v>0</v>
      </c>
      <c r="H65" s="280">
        <f t="shared" si="44"/>
        <v>0</v>
      </c>
      <c r="I65" s="280">
        <f t="shared" si="44"/>
        <v>0</v>
      </c>
      <c r="J65" s="280">
        <f t="shared" si="44"/>
        <v>0</v>
      </c>
      <c r="K65" s="280">
        <f t="shared" si="44"/>
        <v>0</v>
      </c>
      <c r="L65" s="280">
        <f t="shared" si="44"/>
        <v>0</v>
      </c>
      <c r="M65" s="274">
        <f t="shared" si="44"/>
        <v>0</v>
      </c>
      <c r="N65" s="280">
        <f t="shared" si="44"/>
        <v>0</v>
      </c>
      <c r="O65" s="280">
        <f t="shared" si="44"/>
        <v>0</v>
      </c>
      <c r="P65" s="280">
        <f t="shared" si="44"/>
        <v>0</v>
      </c>
      <c r="Q65" s="280">
        <f t="shared" si="44"/>
        <v>0</v>
      </c>
      <c r="R65" s="361">
        <f t="shared" si="44"/>
        <v>0</v>
      </c>
      <c r="S65" s="280">
        <f t="shared" si="44"/>
        <v>0</v>
      </c>
      <c r="T65" s="280">
        <f>SUM(T6+T11+T17+T22+T28+T33+T38+T44+T48+T53+T59+T64)</f>
        <v>0</v>
      </c>
      <c r="U65" s="349">
        <f>U64+U59+U53+U48+U44+U38+U33+U28+U22+U17+U11+U6</f>
        <v>0</v>
      </c>
    </row>
    <row r="66" spans="1:21" ht="15" thickBot="1" x14ac:dyDescent="0.4">
      <c r="A66" s="375"/>
      <c r="B66" s="375"/>
      <c r="D66" s="375"/>
      <c r="E66" s="375"/>
      <c r="F66" s="375"/>
      <c r="G66" s="376"/>
      <c r="H66" s="376"/>
      <c r="I66" s="376"/>
      <c r="J66" s="375"/>
      <c r="K66" s="375"/>
      <c r="L66" s="375"/>
      <c r="N66" s="375"/>
      <c r="O66" s="375"/>
      <c r="P66" s="375"/>
      <c r="Q66" s="375"/>
      <c r="S66" s="375"/>
      <c r="T66" s="375"/>
      <c r="U66" s="375"/>
    </row>
    <row r="67" spans="1:21" ht="15.5" x14ac:dyDescent="0.35">
      <c r="A67" s="375"/>
      <c r="B67" s="379" t="s">
        <v>184</v>
      </c>
      <c r="D67" s="375"/>
      <c r="E67" s="375"/>
      <c r="F67" s="375"/>
      <c r="G67" s="376"/>
      <c r="H67" s="376"/>
      <c r="I67" s="376"/>
      <c r="J67" s="375"/>
      <c r="K67" s="375"/>
      <c r="L67" s="375"/>
      <c r="N67" s="375"/>
      <c r="O67" s="375"/>
      <c r="P67" s="375"/>
      <c r="Q67" s="375"/>
      <c r="S67" s="375"/>
      <c r="T67" s="381" t="s">
        <v>186</v>
      </c>
      <c r="U67" s="382"/>
    </row>
    <row r="68" spans="1:21" ht="16" thickBot="1" x14ac:dyDescent="0.4">
      <c r="A68" s="375"/>
      <c r="B68" s="385" t="e">
        <f>(#REF!+(399*#REF!)/#REF!)</f>
        <v>#REF!</v>
      </c>
      <c r="D68" s="375"/>
      <c r="E68" s="375"/>
      <c r="F68" s="375"/>
      <c r="G68" s="376"/>
      <c r="H68" s="376"/>
      <c r="I68" s="376"/>
      <c r="J68" s="375"/>
      <c r="K68" s="375"/>
      <c r="L68" s="375"/>
      <c r="N68" s="375"/>
      <c r="O68" s="375"/>
      <c r="P68" s="375"/>
      <c r="Q68" s="375"/>
      <c r="S68" s="375"/>
      <c r="T68" s="387" t="e">
        <f>U65/T65</f>
        <v>#DIV/0!</v>
      </c>
      <c r="U68" s="388"/>
    </row>
    <row r="69" spans="1:21" x14ac:dyDescent="0.35">
      <c r="A69" s="375"/>
      <c r="B69" s="375"/>
      <c r="D69" s="375"/>
      <c r="E69" s="375"/>
      <c r="F69" s="375"/>
      <c r="G69" s="376"/>
      <c r="H69" s="376"/>
      <c r="I69" s="376"/>
      <c r="J69" s="375"/>
      <c r="K69" s="375"/>
      <c r="L69" s="375"/>
      <c r="N69" s="375"/>
      <c r="O69" s="375"/>
      <c r="P69" s="375"/>
      <c r="Q69" s="375"/>
      <c r="S69" s="375"/>
      <c r="T69" s="375"/>
      <c r="U69" s="375"/>
    </row>
    <row r="70" spans="1:21" ht="15" thickBot="1" x14ac:dyDescent="0.4">
      <c r="A70" s="375"/>
      <c r="B70" s="375"/>
      <c r="D70" s="375"/>
      <c r="E70" s="375"/>
      <c r="F70" s="375"/>
      <c r="G70" s="376"/>
      <c r="H70" s="376"/>
      <c r="I70" s="376"/>
      <c r="J70" s="375"/>
      <c r="K70" s="375"/>
      <c r="L70" s="375"/>
      <c r="N70" s="375"/>
      <c r="O70" s="375"/>
      <c r="P70" s="375"/>
      <c r="Q70" s="375"/>
      <c r="S70" s="375"/>
      <c r="T70" s="375"/>
      <c r="U70" s="375"/>
    </row>
    <row r="71" spans="1:21" ht="23" x14ac:dyDescent="0.5">
      <c r="A71" s="375"/>
      <c r="B71" s="390"/>
      <c r="D71" s="375"/>
      <c r="E71" s="375"/>
      <c r="F71" s="375"/>
      <c r="G71" s="376"/>
      <c r="H71" s="376"/>
      <c r="I71" s="376"/>
      <c r="J71" s="375"/>
      <c r="K71" s="375"/>
      <c r="L71" s="375"/>
      <c r="N71" s="375"/>
      <c r="O71" s="375"/>
      <c r="P71" s="375"/>
      <c r="Q71" s="375"/>
      <c r="S71" s="375"/>
      <c r="T71" s="375"/>
      <c r="U71" s="375"/>
    </row>
    <row r="72" spans="1:21" ht="23.5" thickBot="1" x14ac:dyDescent="0.55000000000000004">
      <c r="A72" s="375"/>
      <c r="B72" s="407"/>
      <c r="D72" s="375"/>
      <c r="E72" s="375"/>
      <c r="F72" s="375"/>
      <c r="G72" s="376"/>
      <c r="H72" s="376"/>
      <c r="I72" s="376"/>
      <c r="J72" s="375"/>
      <c r="K72" s="375"/>
      <c r="L72" s="375"/>
      <c r="N72" s="375"/>
      <c r="O72" s="375"/>
      <c r="P72" s="375"/>
      <c r="Q72" s="375"/>
      <c r="S72" s="375"/>
      <c r="T72" s="375"/>
      <c r="U72" s="375"/>
    </row>
    <row r="73" spans="1:21" x14ac:dyDescent="0.35">
      <c r="A73" s="375"/>
      <c r="B73" s="393"/>
      <c r="D73" s="375"/>
      <c r="E73" s="375"/>
      <c r="F73" s="375"/>
      <c r="G73" s="376"/>
      <c r="H73" s="376"/>
      <c r="I73" s="376"/>
      <c r="J73" s="375"/>
      <c r="K73" s="375"/>
      <c r="L73" s="375"/>
      <c r="N73" s="375"/>
      <c r="O73" s="375"/>
      <c r="P73" s="375"/>
      <c r="Q73" s="375"/>
      <c r="S73" s="375"/>
      <c r="T73" s="375"/>
      <c r="U73" s="375"/>
    </row>
    <row r="74" spans="1:21" x14ac:dyDescent="0.35">
      <c r="A74" s="375"/>
      <c r="B74" s="375"/>
      <c r="D74" s="375"/>
      <c r="E74" s="375"/>
      <c r="F74" s="375"/>
      <c r="G74" s="376"/>
      <c r="H74" s="376"/>
      <c r="I74" s="376"/>
      <c r="J74" s="375"/>
      <c r="K74" s="375"/>
      <c r="L74" s="375"/>
      <c r="N74" s="375"/>
      <c r="O74" s="375"/>
      <c r="P74" s="375"/>
      <c r="Q74" s="375"/>
      <c r="S74" s="375"/>
      <c r="T74" s="375"/>
      <c r="U74" s="375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D79-8631-441E-9F31-FA82D95390A6}">
  <sheetPr>
    <tabColor theme="7"/>
  </sheetPr>
  <dimension ref="A1:Y68"/>
  <sheetViews>
    <sheetView workbookViewId="0">
      <selection activeCell="B3" sqref="B3"/>
    </sheetView>
  </sheetViews>
  <sheetFormatPr defaultRowHeight="14.5" x14ac:dyDescent="0.35"/>
  <cols>
    <col min="1" max="1" width="11.453125" customWidth="1"/>
    <col min="2" max="2" width="10.453125" customWidth="1"/>
    <col min="3" max="4" width="11.81640625" bestFit="1" customWidth="1"/>
    <col min="6" max="6" width="12.7265625" customWidth="1"/>
    <col min="7" max="7" width="10.1796875" customWidth="1"/>
    <col min="15" max="16" width="11.81640625" customWidth="1"/>
    <col min="17" max="17" width="11.453125" customWidth="1"/>
    <col min="18" max="18" width="11.7265625" customWidth="1"/>
    <col min="19" max="19" width="11.81640625" customWidth="1"/>
    <col min="20" max="20" width="12.1796875" customWidth="1"/>
    <col min="21" max="21" width="11.453125" customWidth="1"/>
    <col min="23" max="23" width="11.26953125" bestFit="1" customWidth="1"/>
  </cols>
  <sheetData>
    <row r="1" spans="1:23" ht="65.5" thickBot="1" x14ac:dyDescent="0.4">
      <c r="A1" s="295" t="s">
        <v>141</v>
      </c>
      <c r="B1" s="106" t="s">
        <v>177</v>
      </c>
      <c r="C1" s="106" t="s">
        <v>178</v>
      </c>
      <c r="D1" s="175" t="s">
        <v>187</v>
      </c>
      <c r="E1" s="106" t="s">
        <v>176</v>
      </c>
      <c r="F1" s="291" t="s">
        <v>80</v>
      </c>
      <c r="G1" s="186" t="s">
        <v>81</v>
      </c>
      <c r="H1" s="186" t="s">
        <v>171</v>
      </c>
      <c r="I1" s="292" t="s">
        <v>165</v>
      </c>
      <c r="J1" s="292" t="s">
        <v>170</v>
      </c>
      <c r="K1" s="292" t="s">
        <v>169</v>
      </c>
      <c r="L1" s="186" t="s">
        <v>175</v>
      </c>
      <c r="M1" s="186" t="s">
        <v>86</v>
      </c>
      <c r="N1" s="186" t="s">
        <v>162</v>
      </c>
      <c r="O1" s="294" t="s">
        <v>179</v>
      </c>
      <c r="P1" s="186" t="s">
        <v>163</v>
      </c>
      <c r="Q1" s="186" t="s">
        <v>164</v>
      </c>
      <c r="R1" s="186" t="s">
        <v>174</v>
      </c>
      <c r="S1" s="186" t="s">
        <v>172</v>
      </c>
      <c r="T1" s="186" t="s">
        <v>166</v>
      </c>
      <c r="U1" s="186" t="s">
        <v>167</v>
      </c>
      <c r="V1" s="186" t="s">
        <v>87</v>
      </c>
      <c r="W1" s="293" t="s">
        <v>89</v>
      </c>
    </row>
    <row r="2" spans="1:23" x14ac:dyDescent="0.35">
      <c r="A2" s="318">
        <v>44200</v>
      </c>
      <c r="B2" s="76">
        <v>0.38</v>
      </c>
      <c r="C2" s="300"/>
      <c r="D2" s="325"/>
      <c r="E2" s="301"/>
      <c r="F2" s="79"/>
      <c r="G2" s="302"/>
      <c r="H2" s="302"/>
      <c r="I2" s="302"/>
      <c r="J2" s="303"/>
      <c r="K2" s="303"/>
      <c r="L2" s="303"/>
      <c r="M2" s="312"/>
      <c r="N2" s="312"/>
      <c r="O2" s="183"/>
      <c r="P2" s="161"/>
      <c r="Q2" s="161"/>
      <c r="R2" s="161"/>
      <c r="S2" s="161"/>
      <c r="T2" s="161"/>
      <c r="U2" s="161"/>
      <c r="V2" s="117"/>
      <c r="W2" s="151"/>
    </row>
    <row r="3" spans="1:23" x14ac:dyDescent="0.35">
      <c r="A3" s="318">
        <v>44207</v>
      </c>
      <c r="B3" s="6">
        <v>0.71</v>
      </c>
      <c r="C3" s="296"/>
      <c r="D3" s="325"/>
      <c r="E3" s="304"/>
      <c r="F3" s="36"/>
      <c r="G3" s="305"/>
      <c r="H3" s="305"/>
      <c r="I3" s="305"/>
      <c r="J3" s="305"/>
      <c r="K3" s="305"/>
      <c r="L3" s="305"/>
      <c r="M3" s="313"/>
      <c r="N3" s="313"/>
      <c r="O3" s="163"/>
      <c r="P3" s="162"/>
      <c r="Q3" s="163"/>
      <c r="R3" s="161"/>
      <c r="S3" s="163"/>
      <c r="T3" s="163"/>
      <c r="U3" s="163"/>
      <c r="V3" s="117"/>
      <c r="W3" s="151"/>
    </row>
    <row r="4" spans="1:23" x14ac:dyDescent="0.35">
      <c r="A4" s="318">
        <v>44214</v>
      </c>
      <c r="B4" s="6"/>
      <c r="C4" s="296">
        <v>748.95</v>
      </c>
      <c r="D4" s="325"/>
      <c r="E4" s="304"/>
      <c r="F4" s="36"/>
      <c r="G4" s="306"/>
      <c r="H4" s="306"/>
      <c r="I4" s="306"/>
      <c r="J4" s="306"/>
      <c r="K4" s="306"/>
      <c r="L4" s="306"/>
      <c r="M4" s="314"/>
      <c r="N4" s="314"/>
      <c r="O4" s="162"/>
      <c r="P4" s="162"/>
      <c r="Q4" s="162"/>
      <c r="R4" s="161"/>
      <c r="S4" s="162"/>
      <c r="T4" s="162"/>
      <c r="U4" s="162"/>
      <c r="V4" s="117"/>
      <c r="W4" s="151"/>
    </row>
    <row r="5" spans="1:23" x14ac:dyDescent="0.35">
      <c r="A5" s="318">
        <v>44221</v>
      </c>
      <c r="B5" s="6">
        <v>0.75</v>
      </c>
      <c r="C5" s="296">
        <v>649.09</v>
      </c>
      <c r="D5" s="325"/>
      <c r="E5" s="304"/>
      <c r="F5" s="36"/>
      <c r="G5" s="306"/>
      <c r="H5" s="306"/>
      <c r="I5" s="306">
        <v>2</v>
      </c>
      <c r="J5" s="306"/>
      <c r="K5" s="306"/>
      <c r="L5" s="306"/>
      <c r="M5" s="314"/>
      <c r="N5" s="314"/>
      <c r="O5" s="162"/>
      <c r="P5" s="162"/>
      <c r="Q5" s="162"/>
      <c r="R5" s="161"/>
      <c r="S5" s="162">
        <v>-86.25</v>
      </c>
      <c r="T5" s="162"/>
      <c r="U5" s="162"/>
      <c r="V5" s="117"/>
      <c r="W5" s="151"/>
    </row>
    <row r="6" spans="1:23" x14ac:dyDescent="0.35">
      <c r="A6" s="143" t="s">
        <v>152</v>
      </c>
      <c r="B6" s="28">
        <f>SUM(B2:B5)</f>
        <v>1.8399999999999999</v>
      </c>
      <c r="C6" s="39">
        <f>SUM(C2:C5)</f>
        <v>1398.04</v>
      </c>
      <c r="D6" s="327">
        <f t="shared" ref="D6" si="0">(B6*350)+C6</f>
        <v>2042.04</v>
      </c>
      <c r="E6" s="28">
        <f t="shared" ref="E6:U6" si="1">SUM(E2:E5)</f>
        <v>0</v>
      </c>
      <c r="F6" s="365">
        <f t="shared" si="1"/>
        <v>0</v>
      </c>
      <c r="G6" s="28">
        <f t="shared" si="1"/>
        <v>0</v>
      </c>
      <c r="H6" s="28">
        <f t="shared" si="1"/>
        <v>0</v>
      </c>
      <c r="I6" s="28">
        <f t="shared" si="1"/>
        <v>2</v>
      </c>
      <c r="J6" s="28">
        <f t="shared" si="1"/>
        <v>0</v>
      </c>
      <c r="K6" s="28">
        <f t="shared" si="1"/>
        <v>0</v>
      </c>
      <c r="L6" s="28">
        <f t="shared" si="1"/>
        <v>0</v>
      </c>
      <c r="M6" s="28">
        <f t="shared" si="1"/>
        <v>0</v>
      </c>
      <c r="N6" s="28">
        <f t="shared" si="1"/>
        <v>0</v>
      </c>
      <c r="O6" s="39">
        <f t="shared" si="1"/>
        <v>0</v>
      </c>
      <c r="P6" s="39">
        <f t="shared" si="1"/>
        <v>0</v>
      </c>
      <c r="Q6" s="39">
        <f t="shared" si="1"/>
        <v>0</v>
      </c>
      <c r="R6" s="39">
        <f t="shared" si="1"/>
        <v>0</v>
      </c>
      <c r="S6" s="39">
        <f t="shared" si="1"/>
        <v>-86.25</v>
      </c>
      <c r="T6" s="39">
        <f t="shared" si="1"/>
        <v>0</v>
      </c>
      <c r="U6" s="39">
        <f t="shared" si="1"/>
        <v>0</v>
      </c>
      <c r="V6" s="311">
        <f t="shared" ref="V6" si="2">SUM(E6:L6)</f>
        <v>2</v>
      </c>
      <c r="W6" s="322">
        <f t="shared" ref="W6" si="3">SUM(M6:U6)</f>
        <v>-86.25</v>
      </c>
    </row>
    <row r="7" spans="1:23" x14ac:dyDescent="0.35">
      <c r="A7" s="142">
        <v>44228</v>
      </c>
      <c r="B7" s="6"/>
      <c r="C7" s="296"/>
      <c r="D7" s="325"/>
      <c r="E7" s="304"/>
      <c r="F7" s="366"/>
      <c r="G7" s="306"/>
      <c r="H7" s="306"/>
      <c r="I7" s="306"/>
      <c r="J7" s="306"/>
      <c r="K7" s="306"/>
      <c r="L7" s="306"/>
      <c r="M7" s="314"/>
      <c r="N7" s="314"/>
      <c r="O7" s="162"/>
      <c r="P7" s="162"/>
      <c r="Q7" s="162"/>
      <c r="R7" s="161"/>
      <c r="S7" s="162"/>
      <c r="T7" s="162"/>
      <c r="U7" s="162"/>
      <c r="V7" s="117"/>
      <c r="W7" s="151"/>
    </row>
    <row r="8" spans="1:23" x14ac:dyDescent="0.35">
      <c r="A8" s="142">
        <v>44235</v>
      </c>
      <c r="B8" s="6"/>
      <c r="C8" s="296">
        <v>765</v>
      </c>
      <c r="D8" s="325"/>
      <c r="E8" s="304"/>
      <c r="F8" s="366"/>
      <c r="G8" s="307"/>
      <c r="H8" s="305"/>
      <c r="I8" s="305"/>
      <c r="J8" s="306"/>
      <c r="K8" s="306"/>
      <c r="L8" s="306"/>
      <c r="M8" s="314"/>
      <c r="N8" s="314"/>
      <c r="O8" s="163"/>
      <c r="P8" s="163"/>
      <c r="Q8" s="163"/>
      <c r="R8" s="161"/>
      <c r="S8" s="163"/>
      <c r="T8" s="163"/>
      <c r="U8" s="163"/>
      <c r="V8" s="117"/>
      <c r="W8" s="151"/>
    </row>
    <row r="9" spans="1:23" x14ac:dyDescent="0.35">
      <c r="A9" s="142">
        <v>44242</v>
      </c>
      <c r="B9" s="6"/>
      <c r="C9" s="296"/>
      <c r="D9" s="325"/>
      <c r="E9" s="304"/>
      <c r="F9" s="366"/>
      <c r="G9" s="306"/>
      <c r="H9" s="306"/>
      <c r="I9" s="306"/>
      <c r="J9" s="305"/>
      <c r="K9" s="305"/>
      <c r="L9" s="305"/>
      <c r="M9" s="313"/>
      <c r="N9" s="313"/>
      <c r="O9" s="162"/>
      <c r="P9" s="162"/>
      <c r="Q9" s="162"/>
      <c r="R9" s="161"/>
      <c r="S9" s="162"/>
      <c r="T9" s="162"/>
      <c r="U9" s="162"/>
      <c r="V9" s="117"/>
      <c r="W9" s="151"/>
    </row>
    <row r="10" spans="1:23" x14ac:dyDescent="0.35">
      <c r="A10" s="142">
        <v>44249</v>
      </c>
      <c r="B10" s="6"/>
      <c r="C10" s="296"/>
      <c r="D10" s="325"/>
      <c r="E10" s="304"/>
      <c r="F10" s="366"/>
      <c r="G10" s="306"/>
      <c r="H10" s="306"/>
      <c r="I10" s="306"/>
      <c r="J10" s="306"/>
      <c r="K10" s="306"/>
      <c r="L10" s="306"/>
      <c r="M10" s="314"/>
      <c r="N10" s="314"/>
      <c r="O10" s="162"/>
      <c r="P10" s="162"/>
      <c r="Q10" s="162"/>
      <c r="R10" s="161"/>
      <c r="S10" s="162"/>
      <c r="T10" s="162"/>
      <c r="U10" s="162"/>
      <c r="V10" s="117"/>
      <c r="W10" s="151"/>
    </row>
    <row r="11" spans="1:23" x14ac:dyDescent="0.35">
      <c r="A11" s="143" t="s">
        <v>153</v>
      </c>
      <c r="B11" s="28">
        <f>SUM(B7:B10)</f>
        <v>0</v>
      </c>
      <c r="C11" s="39">
        <f>SUM(C7:C10)</f>
        <v>765</v>
      </c>
      <c r="D11" s="327">
        <f t="shared" ref="D11" si="4">(B11*350)+C11</f>
        <v>765</v>
      </c>
      <c r="E11" s="28">
        <f t="shared" ref="E11:U11" si="5">SUM(E7:E10)</f>
        <v>0</v>
      </c>
      <c r="F11" s="365">
        <f t="shared" si="5"/>
        <v>0</v>
      </c>
      <c r="G11" s="28">
        <f t="shared" si="5"/>
        <v>0</v>
      </c>
      <c r="H11" s="28">
        <f t="shared" si="5"/>
        <v>0</v>
      </c>
      <c r="I11" s="28">
        <f t="shared" si="5"/>
        <v>0</v>
      </c>
      <c r="J11" s="28">
        <f t="shared" si="5"/>
        <v>0</v>
      </c>
      <c r="K11" s="28">
        <f t="shared" si="5"/>
        <v>0</v>
      </c>
      <c r="L11" s="28">
        <f t="shared" si="5"/>
        <v>0</v>
      </c>
      <c r="M11" s="28">
        <f t="shared" si="5"/>
        <v>0</v>
      </c>
      <c r="N11" s="28">
        <f t="shared" si="5"/>
        <v>0</v>
      </c>
      <c r="O11" s="39">
        <f t="shared" si="5"/>
        <v>0</v>
      </c>
      <c r="P11" s="39">
        <f t="shared" si="5"/>
        <v>0</v>
      </c>
      <c r="Q11" s="39">
        <f t="shared" si="5"/>
        <v>0</v>
      </c>
      <c r="R11" s="39">
        <f t="shared" si="5"/>
        <v>0</v>
      </c>
      <c r="S11" s="39">
        <f t="shared" si="5"/>
        <v>0</v>
      </c>
      <c r="T11" s="39">
        <f t="shared" si="5"/>
        <v>0</v>
      </c>
      <c r="U11" s="39">
        <f t="shared" si="5"/>
        <v>0</v>
      </c>
      <c r="V11" s="311">
        <f t="shared" ref="V11" si="6">SUM(E11:L11)</f>
        <v>0</v>
      </c>
      <c r="W11" s="322">
        <f t="shared" ref="W11" si="7">SUM(M11:U11)</f>
        <v>0</v>
      </c>
    </row>
    <row r="12" spans="1:23" x14ac:dyDescent="0.35">
      <c r="A12" s="142">
        <v>44256</v>
      </c>
      <c r="B12" s="6"/>
      <c r="C12" s="296"/>
      <c r="D12" s="325"/>
      <c r="E12" s="304"/>
      <c r="F12" s="366"/>
      <c r="G12" s="306"/>
      <c r="H12" s="306"/>
      <c r="I12" s="306"/>
      <c r="J12" s="306"/>
      <c r="K12" s="306"/>
      <c r="L12" s="306"/>
      <c r="M12" s="314"/>
      <c r="N12" s="314"/>
      <c r="O12" s="162"/>
      <c r="P12" s="162"/>
      <c r="Q12" s="162"/>
      <c r="R12" s="161"/>
      <c r="S12" s="162"/>
      <c r="T12" s="162"/>
      <c r="U12" s="162"/>
      <c r="V12" s="117"/>
      <c r="W12" s="151"/>
    </row>
    <row r="13" spans="1:23" x14ac:dyDescent="0.35">
      <c r="A13" s="142">
        <v>44263</v>
      </c>
      <c r="B13" s="6"/>
      <c r="C13" s="296"/>
      <c r="D13" s="325"/>
      <c r="E13" s="304"/>
      <c r="F13" s="366"/>
      <c r="G13" s="305"/>
      <c r="H13" s="305"/>
      <c r="I13" s="305"/>
      <c r="J13" s="306"/>
      <c r="K13" s="306"/>
      <c r="L13" s="306"/>
      <c r="M13" s="314"/>
      <c r="N13" s="314"/>
      <c r="O13" s="163"/>
      <c r="P13" s="163"/>
      <c r="Q13" s="163"/>
      <c r="R13" s="161"/>
      <c r="S13" s="163"/>
      <c r="T13" s="163"/>
      <c r="U13" s="163"/>
      <c r="V13" s="117"/>
      <c r="W13" s="151"/>
    </row>
    <row r="14" spans="1:23" x14ac:dyDescent="0.35">
      <c r="A14" s="142">
        <v>44270</v>
      </c>
      <c r="B14" s="6"/>
      <c r="C14" s="296"/>
      <c r="D14" s="325"/>
      <c r="E14" s="304"/>
      <c r="F14" s="366"/>
      <c r="G14" s="306"/>
      <c r="H14" s="306"/>
      <c r="I14" s="306"/>
      <c r="J14" s="305"/>
      <c r="K14" s="305"/>
      <c r="L14" s="305"/>
      <c r="M14" s="313"/>
      <c r="N14" s="313"/>
      <c r="O14" s="162"/>
      <c r="P14" s="162"/>
      <c r="Q14" s="162"/>
      <c r="R14" s="161"/>
      <c r="S14" s="162"/>
      <c r="T14" s="162"/>
      <c r="U14" s="162"/>
      <c r="V14" s="117"/>
      <c r="W14" s="151"/>
    </row>
    <row r="15" spans="1:23" x14ac:dyDescent="0.35">
      <c r="A15" s="142">
        <v>44277</v>
      </c>
      <c r="B15" s="6"/>
      <c r="C15" s="296"/>
      <c r="D15" s="325"/>
      <c r="E15" s="304"/>
      <c r="F15" s="366"/>
      <c r="G15" s="306"/>
      <c r="H15" s="306"/>
      <c r="I15" s="306"/>
      <c r="J15" s="306"/>
      <c r="K15" s="306"/>
      <c r="L15" s="306"/>
      <c r="M15" s="314"/>
      <c r="N15" s="314"/>
      <c r="O15" s="162"/>
      <c r="P15" s="162"/>
      <c r="Q15" s="162"/>
      <c r="R15" s="161"/>
      <c r="S15" s="162"/>
      <c r="T15" s="162"/>
      <c r="U15" s="162"/>
      <c r="V15" s="117"/>
      <c r="W15" s="151"/>
    </row>
    <row r="16" spans="1:23" x14ac:dyDescent="0.35">
      <c r="A16" s="142">
        <v>44284</v>
      </c>
      <c r="B16" s="50"/>
      <c r="C16" s="296"/>
      <c r="D16" s="325"/>
      <c r="E16" s="308"/>
      <c r="F16" s="367"/>
      <c r="G16" s="306"/>
      <c r="H16" s="306"/>
      <c r="I16" s="306"/>
      <c r="J16" s="306"/>
      <c r="K16" s="306"/>
      <c r="L16" s="306"/>
      <c r="M16" s="314"/>
      <c r="N16" s="314"/>
      <c r="O16" s="162"/>
      <c r="P16" s="162"/>
      <c r="Q16" s="162"/>
      <c r="R16" s="161"/>
      <c r="S16" s="162"/>
      <c r="T16" s="162"/>
      <c r="U16" s="162"/>
      <c r="V16" s="117"/>
      <c r="W16" s="151"/>
    </row>
    <row r="17" spans="1:23" x14ac:dyDescent="0.35">
      <c r="A17" s="143" t="s">
        <v>154</v>
      </c>
      <c r="B17" s="28">
        <f>SUM(B12:B16)</f>
        <v>0</v>
      </c>
      <c r="C17" s="364">
        <f>SUM(C12:C16)</f>
        <v>0</v>
      </c>
      <c r="D17" s="327">
        <f t="shared" ref="D17" si="8">(B17*350)+C17</f>
        <v>0</v>
      </c>
      <c r="E17" s="28">
        <f t="shared" ref="E17:U17" si="9">SUM(E12:E16)</f>
        <v>0</v>
      </c>
      <c r="F17" s="365">
        <f t="shared" si="9"/>
        <v>0</v>
      </c>
      <c r="G17" s="28">
        <f t="shared" si="9"/>
        <v>0</v>
      </c>
      <c r="H17" s="28">
        <f t="shared" si="9"/>
        <v>0</v>
      </c>
      <c r="I17" s="28">
        <f t="shared" si="9"/>
        <v>0</v>
      </c>
      <c r="J17" s="28">
        <f t="shared" si="9"/>
        <v>0</v>
      </c>
      <c r="K17" s="28">
        <f t="shared" si="9"/>
        <v>0</v>
      </c>
      <c r="L17" s="28">
        <f t="shared" si="9"/>
        <v>0</v>
      </c>
      <c r="M17" s="28">
        <f t="shared" si="9"/>
        <v>0</v>
      </c>
      <c r="N17" s="28">
        <f t="shared" si="9"/>
        <v>0</v>
      </c>
      <c r="O17" s="39">
        <f t="shared" si="9"/>
        <v>0</v>
      </c>
      <c r="P17" s="39">
        <f t="shared" si="9"/>
        <v>0</v>
      </c>
      <c r="Q17" s="39">
        <f t="shared" si="9"/>
        <v>0</v>
      </c>
      <c r="R17" s="39">
        <f t="shared" si="9"/>
        <v>0</v>
      </c>
      <c r="S17" s="39">
        <f t="shared" si="9"/>
        <v>0</v>
      </c>
      <c r="T17" s="39">
        <f t="shared" si="9"/>
        <v>0</v>
      </c>
      <c r="U17" s="39">
        <f t="shared" si="9"/>
        <v>0</v>
      </c>
      <c r="V17" s="311">
        <f t="shared" ref="V17" si="10">SUM(E17:L17)</f>
        <v>0</v>
      </c>
      <c r="W17" s="322">
        <f t="shared" ref="W17" si="11">SUM(M17:U17)</f>
        <v>0</v>
      </c>
    </row>
    <row r="18" spans="1:23" x14ac:dyDescent="0.35">
      <c r="A18" s="142">
        <v>44291</v>
      </c>
      <c r="B18" s="50"/>
      <c r="C18" s="296"/>
      <c r="D18" s="325"/>
      <c r="E18" s="308"/>
      <c r="F18" s="367"/>
      <c r="G18" s="306"/>
      <c r="H18" s="306"/>
      <c r="I18" s="306"/>
      <c r="J18" s="305"/>
      <c r="K18" s="305"/>
      <c r="L18" s="305"/>
      <c r="M18" s="313"/>
      <c r="N18" s="313"/>
      <c r="O18" s="162"/>
      <c r="P18" s="162"/>
      <c r="Q18" s="162"/>
      <c r="R18" s="161"/>
      <c r="S18" s="162"/>
      <c r="T18" s="162"/>
      <c r="U18" s="162"/>
      <c r="V18" s="117"/>
      <c r="W18" s="151"/>
    </row>
    <row r="19" spans="1:23" x14ac:dyDescent="0.35">
      <c r="A19" s="142">
        <v>44298</v>
      </c>
      <c r="B19" s="50"/>
      <c r="C19" s="296"/>
      <c r="D19" s="325"/>
      <c r="E19" s="308"/>
      <c r="F19" s="367"/>
      <c r="G19" s="306"/>
      <c r="H19" s="306"/>
      <c r="I19" s="306"/>
      <c r="J19" s="306"/>
      <c r="K19" s="306"/>
      <c r="L19" s="306"/>
      <c r="M19" s="314"/>
      <c r="N19" s="314"/>
      <c r="O19" s="162"/>
      <c r="P19" s="162"/>
      <c r="Q19" s="162"/>
      <c r="R19" s="161"/>
      <c r="S19" s="162"/>
      <c r="T19" s="162"/>
      <c r="U19" s="162"/>
      <c r="V19" s="117"/>
      <c r="W19" s="151"/>
    </row>
    <row r="20" spans="1:23" x14ac:dyDescent="0.35">
      <c r="A20" s="142">
        <v>44305</v>
      </c>
      <c r="B20" s="52"/>
      <c r="C20" s="299"/>
      <c r="D20" s="325"/>
      <c r="E20" s="304"/>
      <c r="F20" s="366"/>
      <c r="G20" s="306"/>
      <c r="H20" s="306"/>
      <c r="I20" s="306"/>
      <c r="J20" s="306"/>
      <c r="K20" s="306"/>
      <c r="L20" s="306"/>
      <c r="M20" s="314"/>
      <c r="N20" s="314"/>
      <c r="O20" s="162"/>
      <c r="P20" s="162"/>
      <c r="Q20" s="162"/>
      <c r="R20" s="161"/>
      <c r="S20" s="162"/>
      <c r="T20" s="162"/>
      <c r="U20" s="162"/>
      <c r="V20" s="117"/>
      <c r="W20" s="151"/>
    </row>
    <row r="21" spans="1:23" x14ac:dyDescent="0.35">
      <c r="A21" s="142">
        <v>44312</v>
      </c>
      <c r="B21" s="50"/>
      <c r="C21" s="296"/>
      <c r="D21" s="325"/>
      <c r="E21" s="308"/>
      <c r="F21" s="367"/>
      <c r="G21" s="306"/>
      <c r="H21" s="306"/>
      <c r="I21" s="306"/>
      <c r="J21" s="306"/>
      <c r="K21" s="306"/>
      <c r="L21" s="306"/>
      <c r="M21" s="314"/>
      <c r="N21" s="314"/>
      <c r="O21" s="162"/>
      <c r="P21" s="162"/>
      <c r="Q21" s="162"/>
      <c r="R21" s="161"/>
      <c r="S21" s="162"/>
      <c r="T21" s="162"/>
      <c r="U21" s="162"/>
      <c r="V21" s="117"/>
      <c r="W21" s="151"/>
    </row>
    <row r="22" spans="1:23" x14ac:dyDescent="0.35">
      <c r="A22" s="143" t="s">
        <v>155</v>
      </c>
      <c r="B22" s="28">
        <f>SUM(B18:B21)</f>
        <v>0</v>
      </c>
      <c r="C22" s="28">
        <f>SUM(C18:C21)</f>
        <v>0</v>
      </c>
      <c r="D22" s="327">
        <f t="shared" ref="D22" si="12">(B22*350)+C22</f>
        <v>0</v>
      </c>
      <c r="E22" s="28">
        <f t="shared" ref="E22:U22" si="13">SUM(E18:E21)</f>
        <v>0</v>
      </c>
      <c r="F22" s="365">
        <f t="shared" si="13"/>
        <v>0</v>
      </c>
      <c r="G22" s="28">
        <f t="shared" si="13"/>
        <v>0</v>
      </c>
      <c r="H22" s="28">
        <f t="shared" si="13"/>
        <v>0</v>
      </c>
      <c r="I22" s="28">
        <f t="shared" si="13"/>
        <v>0</v>
      </c>
      <c r="J22" s="28">
        <f t="shared" si="13"/>
        <v>0</v>
      </c>
      <c r="K22" s="28">
        <f t="shared" si="13"/>
        <v>0</v>
      </c>
      <c r="L22" s="28">
        <f t="shared" si="13"/>
        <v>0</v>
      </c>
      <c r="M22" s="28">
        <f t="shared" si="13"/>
        <v>0</v>
      </c>
      <c r="N22" s="28">
        <f t="shared" si="13"/>
        <v>0</v>
      </c>
      <c r="O22" s="39">
        <f t="shared" si="13"/>
        <v>0</v>
      </c>
      <c r="P22" s="39">
        <f t="shared" si="13"/>
        <v>0</v>
      </c>
      <c r="Q22" s="39">
        <f t="shared" si="13"/>
        <v>0</v>
      </c>
      <c r="R22" s="39">
        <f t="shared" si="13"/>
        <v>0</v>
      </c>
      <c r="S22" s="39">
        <f t="shared" si="13"/>
        <v>0</v>
      </c>
      <c r="T22" s="39">
        <f t="shared" si="13"/>
        <v>0</v>
      </c>
      <c r="U22" s="39">
        <f t="shared" si="13"/>
        <v>0</v>
      </c>
      <c r="V22" s="311">
        <f t="shared" ref="V22" si="14">SUM(E22:L22)</f>
        <v>0</v>
      </c>
      <c r="W22" s="322">
        <f t="shared" ref="W22" si="15">SUM(M22:U22)</f>
        <v>0</v>
      </c>
    </row>
    <row r="23" spans="1:23" x14ac:dyDescent="0.35">
      <c r="A23" s="319">
        <v>44319</v>
      </c>
      <c r="B23" s="297"/>
      <c r="C23" s="298"/>
      <c r="D23" s="325"/>
      <c r="E23" s="309"/>
      <c r="F23" s="368"/>
      <c r="G23" s="309"/>
      <c r="H23" s="309"/>
      <c r="I23" s="309"/>
      <c r="J23" s="310"/>
      <c r="K23" s="310"/>
      <c r="L23" s="310"/>
      <c r="M23" s="315"/>
      <c r="N23" s="315"/>
      <c r="O23" s="236"/>
      <c r="P23" s="236"/>
      <c r="Q23" s="236"/>
      <c r="R23" s="236"/>
      <c r="S23" s="236"/>
      <c r="T23" s="236"/>
      <c r="U23" s="236"/>
      <c r="V23" s="117"/>
      <c r="W23" s="151"/>
    </row>
    <row r="24" spans="1:23" x14ac:dyDescent="0.35">
      <c r="A24" s="319">
        <v>44326</v>
      </c>
      <c r="B24" s="297"/>
      <c r="C24" s="298"/>
      <c r="D24" s="325"/>
      <c r="E24" s="309"/>
      <c r="F24" s="368"/>
      <c r="G24" s="309"/>
      <c r="H24" s="309"/>
      <c r="I24" s="309"/>
      <c r="J24" s="309"/>
      <c r="K24" s="309"/>
      <c r="L24" s="309"/>
      <c r="M24" s="316"/>
      <c r="N24" s="316"/>
      <c r="O24" s="236"/>
      <c r="P24" s="236"/>
      <c r="Q24" s="236"/>
      <c r="R24" s="236"/>
      <c r="S24" s="236"/>
      <c r="T24" s="236"/>
      <c r="U24" s="236"/>
      <c r="V24" s="117"/>
      <c r="W24" s="151"/>
    </row>
    <row r="25" spans="1:23" x14ac:dyDescent="0.35">
      <c r="A25" s="319">
        <v>44333</v>
      </c>
      <c r="B25" s="6"/>
      <c r="C25" s="296"/>
      <c r="D25" s="325"/>
      <c r="E25" s="301"/>
      <c r="F25" s="369"/>
      <c r="G25" s="302"/>
      <c r="H25" s="302"/>
      <c r="I25" s="302"/>
      <c r="J25" s="302"/>
      <c r="K25" s="302"/>
      <c r="L25" s="302"/>
      <c r="M25" s="317"/>
      <c r="N25" s="317"/>
      <c r="O25" s="161"/>
      <c r="P25" s="161"/>
      <c r="Q25" s="161"/>
      <c r="R25" s="161"/>
      <c r="S25" s="161"/>
      <c r="T25" s="161"/>
      <c r="U25" s="161"/>
      <c r="V25" s="117"/>
      <c r="W25" s="151"/>
    </row>
    <row r="26" spans="1:23" x14ac:dyDescent="0.35">
      <c r="A26" s="319">
        <v>44340</v>
      </c>
      <c r="B26" s="6"/>
      <c r="C26" s="296"/>
      <c r="D26" s="325"/>
      <c r="E26" s="304"/>
      <c r="F26" s="366"/>
      <c r="G26" s="306"/>
      <c r="H26" s="306"/>
      <c r="I26" s="306"/>
      <c r="J26" s="306"/>
      <c r="K26" s="306"/>
      <c r="L26" s="306"/>
      <c r="M26" s="314"/>
      <c r="N26" s="314"/>
      <c r="O26" s="162"/>
      <c r="P26" s="162"/>
      <c r="Q26" s="162"/>
      <c r="R26" s="161"/>
      <c r="S26" s="162"/>
      <c r="T26" s="162"/>
      <c r="U26" s="162"/>
      <c r="V26" s="117"/>
      <c r="W26" s="151"/>
    </row>
    <row r="27" spans="1:23" x14ac:dyDescent="0.35">
      <c r="A27" s="319">
        <v>44347</v>
      </c>
      <c r="B27" s="6"/>
      <c r="C27" s="296"/>
      <c r="D27" s="325"/>
      <c r="E27" s="304"/>
      <c r="F27" s="366"/>
      <c r="G27" s="306"/>
      <c r="H27" s="306"/>
      <c r="I27" s="306"/>
      <c r="J27" s="306"/>
      <c r="K27" s="306"/>
      <c r="L27" s="306"/>
      <c r="M27" s="314"/>
      <c r="N27" s="314"/>
      <c r="O27" s="162"/>
      <c r="P27" s="162"/>
      <c r="Q27" s="162"/>
      <c r="R27" s="161"/>
      <c r="S27" s="162"/>
      <c r="T27" s="162"/>
      <c r="U27" s="162"/>
      <c r="V27" s="117"/>
      <c r="W27" s="151"/>
    </row>
    <row r="28" spans="1:23" x14ac:dyDescent="0.35">
      <c r="A28" s="143" t="s">
        <v>157</v>
      </c>
      <c r="B28" s="28">
        <f>SUM(B23:B27)</f>
        <v>0</v>
      </c>
      <c r="C28" s="28">
        <f>SUM(C23:C27)</f>
        <v>0</v>
      </c>
      <c r="D28" s="327">
        <f t="shared" ref="D28" si="16">(B28*350)+C28</f>
        <v>0</v>
      </c>
      <c r="E28" s="28">
        <f t="shared" ref="E28:U28" si="17">SUM(E23:E27)</f>
        <v>0</v>
      </c>
      <c r="F28" s="365">
        <f t="shared" si="17"/>
        <v>0</v>
      </c>
      <c r="G28" s="28">
        <f t="shared" si="17"/>
        <v>0</v>
      </c>
      <c r="H28" s="28">
        <f t="shared" si="17"/>
        <v>0</v>
      </c>
      <c r="I28" s="28">
        <f t="shared" si="17"/>
        <v>0</v>
      </c>
      <c r="J28" s="28">
        <f t="shared" si="17"/>
        <v>0</v>
      </c>
      <c r="K28" s="28">
        <f t="shared" si="17"/>
        <v>0</v>
      </c>
      <c r="L28" s="28">
        <f t="shared" si="17"/>
        <v>0</v>
      </c>
      <c r="M28" s="28">
        <f t="shared" si="17"/>
        <v>0</v>
      </c>
      <c r="N28" s="28">
        <f t="shared" si="17"/>
        <v>0</v>
      </c>
      <c r="O28" s="39">
        <f t="shared" si="17"/>
        <v>0</v>
      </c>
      <c r="P28" s="39">
        <f t="shared" si="17"/>
        <v>0</v>
      </c>
      <c r="Q28" s="39">
        <f t="shared" si="17"/>
        <v>0</v>
      </c>
      <c r="R28" s="39">
        <f t="shared" si="17"/>
        <v>0</v>
      </c>
      <c r="S28" s="39">
        <f t="shared" si="17"/>
        <v>0</v>
      </c>
      <c r="T28" s="39">
        <f t="shared" si="17"/>
        <v>0</v>
      </c>
      <c r="U28" s="39">
        <f t="shared" si="17"/>
        <v>0</v>
      </c>
      <c r="V28" s="311">
        <f t="shared" ref="V28" si="18">SUM(E28:L28)</f>
        <v>0</v>
      </c>
      <c r="W28" s="322">
        <f t="shared" ref="W28" si="19">SUM(M28:U28)</f>
        <v>0</v>
      </c>
    </row>
    <row r="29" spans="1:23" x14ac:dyDescent="0.35">
      <c r="A29" s="142">
        <v>44354</v>
      </c>
      <c r="B29" s="6"/>
      <c r="C29" s="296"/>
      <c r="D29" s="325"/>
      <c r="E29" s="304"/>
      <c r="F29" s="366"/>
      <c r="G29" s="306"/>
      <c r="H29" s="306"/>
      <c r="I29" s="306"/>
      <c r="J29" s="306"/>
      <c r="K29" s="306"/>
      <c r="L29" s="306"/>
      <c r="M29" s="314"/>
      <c r="N29" s="314"/>
      <c r="O29" s="162"/>
      <c r="P29" s="162"/>
      <c r="Q29" s="162"/>
      <c r="R29" s="161"/>
      <c r="S29" s="162"/>
      <c r="T29" s="162"/>
      <c r="U29" s="162"/>
      <c r="V29" s="117"/>
      <c r="W29" s="151"/>
    </row>
    <row r="30" spans="1:23" x14ac:dyDescent="0.35">
      <c r="A30" s="142">
        <v>44361</v>
      </c>
      <c r="B30" s="6"/>
      <c r="C30" s="296"/>
      <c r="D30" s="325"/>
      <c r="E30" s="304"/>
      <c r="F30" s="366"/>
      <c r="G30" s="305"/>
      <c r="H30" s="305"/>
      <c r="I30" s="305"/>
      <c r="J30" s="306"/>
      <c r="K30" s="306"/>
      <c r="L30" s="306"/>
      <c r="M30" s="314"/>
      <c r="N30" s="314"/>
      <c r="O30" s="162"/>
      <c r="P30" s="163"/>
      <c r="Q30" s="163"/>
      <c r="R30" s="161"/>
      <c r="S30" s="163"/>
      <c r="T30" s="163"/>
      <c r="U30" s="163"/>
      <c r="V30" s="117"/>
      <c r="W30" s="151"/>
    </row>
    <row r="31" spans="1:23" x14ac:dyDescent="0.35">
      <c r="A31" s="142">
        <v>44368</v>
      </c>
      <c r="B31" s="6"/>
      <c r="C31" s="296"/>
      <c r="D31" s="325"/>
      <c r="E31" s="304"/>
      <c r="F31" s="366"/>
      <c r="G31" s="306"/>
      <c r="H31" s="306"/>
      <c r="I31" s="306"/>
      <c r="J31" s="305"/>
      <c r="K31" s="305"/>
      <c r="L31" s="305"/>
      <c r="M31" s="313"/>
      <c r="N31" s="313"/>
      <c r="O31" s="162"/>
      <c r="P31" s="162"/>
      <c r="Q31" s="162"/>
      <c r="R31" s="161"/>
      <c r="S31" s="162"/>
      <c r="T31" s="162"/>
      <c r="U31" s="162"/>
      <c r="V31" s="117"/>
      <c r="W31" s="151"/>
    </row>
    <row r="32" spans="1:23" x14ac:dyDescent="0.35">
      <c r="A32" s="142">
        <v>44375</v>
      </c>
      <c r="B32" s="6"/>
      <c r="C32" s="296"/>
      <c r="D32" s="325"/>
      <c r="E32" s="304"/>
      <c r="F32" s="366"/>
      <c r="G32" s="306"/>
      <c r="H32" s="306"/>
      <c r="I32" s="306"/>
      <c r="J32" s="306"/>
      <c r="K32" s="306"/>
      <c r="L32" s="306"/>
      <c r="M32" s="314"/>
      <c r="N32" s="314"/>
      <c r="O32" s="162"/>
      <c r="P32" s="162"/>
      <c r="Q32" s="162"/>
      <c r="R32" s="161"/>
      <c r="S32" s="162"/>
      <c r="T32" s="162"/>
      <c r="U32" s="162"/>
      <c r="V32" s="117"/>
      <c r="W32" s="151"/>
    </row>
    <row r="33" spans="1:23" x14ac:dyDescent="0.35">
      <c r="A33" s="143" t="s">
        <v>158</v>
      </c>
      <c r="B33" s="28">
        <f>SUM(B29:B32)</f>
        <v>0</v>
      </c>
      <c r="C33" s="28">
        <f>SUM(C29:C32)</f>
        <v>0</v>
      </c>
      <c r="D33" s="327">
        <f t="shared" ref="D33" si="20">(B33*350)+C33</f>
        <v>0</v>
      </c>
      <c r="E33" s="28">
        <f t="shared" ref="E33:U33" si="21">SUM(E29:E32)</f>
        <v>0</v>
      </c>
      <c r="F33" s="365">
        <f t="shared" si="21"/>
        <v>0</v>
      </c>
      <c r="G33" s="28">
        <f t="shared" si="21"/>
        <v>0</v>
      </c>
      <c r="H33" s="28">
        <f t="shared" si="21"/>
        <v>0</v>
      </c>
      <c r="I33" s="28">
        <f t="shared" si="21"/>
        <v>0</v>
      </c>
      <c r="J33" s="28">
        <f t="shared" si="21"/>
        <v>0</v>
      </c>
      <c r="K33" s="28">
        <f t="shared" si="21"/>
        <v>0</v>
      </c>
      <c r="L33" s="28">
        <f t="shared" si="21"/>
        <v>0</v>
      </c>
      <c r="M33" s="28">
        <f t="shared" si="21"/>
        <v>0</v>
      </c>
      <c r="N33" s="28">
        <f t="shared" si="21"/>
        <v>0</v>
      </c>
      <c r="O33" s="39">
        <f t="shared" si="21"/>
        <v>0</v>
      </c>
      <c r="P33" s="39">
        <f t="shared" si="21"/>
        <v>0</v>
      </c>
      <c r="Q33" s="39">
        <f t="shared" si="21"/>
        <v>0</v>
      </c>
      <c r="R33" s="39">
        <f t="shared" si="21"/>
        <v>0</v>
      </c>
      <c r="S33" s="39">
        <f t="shared" si="21"/>
        <v>0</v>
      </c>
      <c r="T33" s="39">
        <f t="shared" si="21"/>
        <v>0</v>
      </c>
      <c r="U33" s="39">
        <f t="shared" si="21"/>
        <v>0</v>
      </c>
      <c r="V33" s="311">
        <f t="shared" ref="V33" si="22">SUM(E33:L33)</f>
        <v>0</v>
      </c>
      <c r="W33" s="322">
        <f t="shared" ref="W33" si="23">SUM(M33:U33)</f>
        <v>0</v>
      </c>
    </row>
    <row r="34" spans="1:23" x14ac:dyDescent="0.35">
      <c r="A34" s="142">
        <v>44382</v>
      </c>
      <c r="B34" s="6"/>
      <c r="C34" s="296"/>
      <c r="D34" s="325"/>
      <c r="E34" s="304"/>
      <c r="F34" s="366"/>
      <c r="G34" s="306"/>
      <c r="H34" s="306"/>
      <c r="I34" s="306"/>
      <c r="J34" s="306"/>
      <c r="K34" s="306"/>
      <c r="L34" s="306"/>
      <c r="M34" s="314"/>
      <c r="N34" s="314"/>
      <c r="O34" s="162"/>
      <c r="P34" s="162"/>
      <c r="Q34" s="162"/>
      <c r="R34" s="161"/>
      <c r="S34" s="162"/>
      <c r="T34" s="162"/>
      <c r="U34" s="162"/>
      <c r="V34" s="117"/>
      <c r="W34" s="151"/>
    </row>
    <row r="35" spans="1:23" x14ac:dyDescent="0.35">
      <c r="A35" s="142">
        <v>44389</v>
      </c>
      <c r="B35" s="6"/>
      <c r="C35" s="296"/>
      <c r="D35" s="325"/>
      <c r="E35" s="304"/>
      <c r="F35" s="366"/>
      <c r="G35" s="305"/>
      <c r="H35" s="305"/>
      <c r="I35" s="305"/>
      <c r="J35" s="306"/>
      <c r="K35" s="306"/>
      <c r="L35" s="306"/>
      <c r="M35" s="314"/>
      <c r="N35" s="314"/>
      <c r="O35" s="163"/>
      <c r="P35" s="163"/>
      <c r="Q35" s="163"/>
      <c r="R35" s="161"/>
      <c r="S35" s="163"/>
      <c r="T35" s="163"/>
      <c r="U35" s="163"/>
      <c r="V35" s="117"/>
      <c r="W35" s="151"/>
    </row>
    <row r="36" spans="1:23" x14ac:dyDescent="0.35">
      <c r="A36" s="142">
        <v>44396</v>
      </c>
      <c r="B36" s="6"/>
      <c r="C36" s="296"/>
      <c r="D36" s="325"/>
      <c r="E36" s="304"/>
      <c r="F36" s="366"/>
      <c r="G36" s="306"/>
      <c r="H36" s="306"/>
      <c r="I36" s="306"/>
      <c r="J36" s="305"/>
      <c r="K36" s="305"/>
      <c r="L36" s="305"/>
      <c r="M36" s="313"/>
      <c r="N36" s="313"/>
      <c r="O36" s="162"/>
      <c r="P36" s="162"/>
      <c r="Q36" s="162"/>
      <c r="R36" s="161"/>
      <c r="S36" s="162"/>
      <c r="T36" s="162"/>
      <c r="U36" s="162"/>
      <c r="V36" s="117"/>
      <c r="W36" s="151"/>
    </row>
    <row r="37" spans="1:23" x14ac:dyDescent="0.35">
      <c r="A37" s="142">
        <v>44403</v>
      </c>
      <c r="B37" s="6"/>
      <c r="C37" s="296"/>
      <c r="D37" s="325"/>
      <c r="E37" s="304"/>
      <c r="F37" s="366"/>
      <c r="G37" s="306"/>
      <c r="H37" s="306"/>
      <c r="I37" s="306"/>
      <c r="J37" s="306"/>
      <c r="K37" s="306"/>
      <c r="L37" s="306"/>
      <c r="M37" s="314"/>
      <c r="N37" s="314"/>
      <c r="O37" s="162"/>
      <c r="P37" s="162"/>
      <c r="Q37" s="162"/>
      <c r="R37" s="161"/>
      <c r="S37" s="162"/>
      <c r="T37" s="162"/>
      <c r="U37" s="162"/>
      <c r="V37" s="117"/>
      <c r="W37" s="151"/>
    </row>
    <row r="38" spans="1:23" x14ac:dyDescent="0.35">
      <c r="A38" s="143" t="s">
        <v>159</v>
      </c>
      <c r="B38" s="28">
        <f>SUM(B34:B37)</f>
        <v>0</v>
      </c>
      <c r="C38" s="28">
        <f>SUM(C34:C37)</f>
        <v>0</v>
      </c>
      <c r="D38" s="327">
        <f t="shared" ref="D38" si="24">(B38*350)+C38</f>
        <v>0</v>
      </c>
      <c r="E38" s="28">
        <f t="shared" ref="E38:U38" si="25">SUM(E34:E37)</f>
        <v>0</v>
      </c>
      <c r="F38" s="365">
        <f t="shared" si="25"/>
        <v>0</v>
      </c>
      <c r="G38" s="28">
        <f t="shared" si="25"/>
        <v>0</v>
      </c>
      <c r="H38" s="28">
        <f t="shared" si="25"/>
        <v>0</v>
      </c>
      <c r="I38" s="28">
        <f t="shared" si="25"/>
        <v>0</v>
      </c>
      <c r="J38" s="28">
        <f t="shared" si="25"/>
        <v>0</v>
      </c>
      <c r="K38" s="28">
        <f t="shared" si="25"/>
        <v>0</v>
      </c>
      <c r="L38" s="28">
        <f t="shared" si="25"/>
        <v>0</v>
      </c>
      <c r="M38" s="28">
        <f t="shared" si="25"/>
        <v>0</v>
      </c>
      <c r="N38" s="28">
        <f t="shared" si="25"/>
        <v>0</v>
      </c>
      <c r="O38" s="39">
        <f t="shared" si="25"/>
        <v>0</v>
      </c>
      <c r="P38" s="39">
        <f t="shared" si="25"/>
        <v>0</v>
      </c>
      <c r="Q38" s="39">
        <f t="shared" si="25"/>
        <v>0</v>
      </c>
      <c r="R38" s="39">
        <f t="shared" si="25"/>
        <v>0</v>
      </c>
      <c r="S38" s="39">
        <f t="shared" si="25"/>
        <v>0</v>
      </c>
      <c r="T38" s="39">
        <f t="shared" si="25"/>
        <v>0</v>
      </c>
      <c r="U38" s="39">
        <f t="shared" si="25"/>
        <v>0</v>
      </c>
      <c r="V38" s="311">
        <f t="shared" ref="V38" si="26">SUM(E38:L38)</f>
        <v>0</v>
      </c>
      <c r="W38" s="322">
        <f t="shared" ref="W38" si="27">SUM(M38:U38)</f>
        <v>0</v>
      </c>
    </row>
    <row r="39" spans="1:23" x14ac:dyDescent="0.35">
      <c r="A39" s="142">
        <v>44410</v>
      </c>
      <c r="B39" s="6"/>
      <c r="C39" s="296"/>
      <c r="D39" s="325"/>
      <c r="E39" s="304"/>
      <c r="F39" s="366"/>
      <c r="G39" s="305"/>
      <c r="H39" s="305"/>
      <c r="I39" s="305"/>
      <c r="J39" s="306"/>
      <c r="K39" s="306"/>
      <c r="L39" s="306"/>
      <c r="M39" s="314"/>
      <c r="N39" s="314"/>
      <c r="O39" s="163"/>
      <c r="P39" s="163"/>
      <c r="Q39" s="163"/>
      <c r="R39" s="161"/>
      <c r="S39" s="163"/>
      <c r="T39" s="163"/>
      <c r="U39" s="163"/>
      <c r="V39" s="117"/>
      <c r="W39" s="151"/>
    </row>
    <row r="40" spans="1:23" x14ac:dyDescent="0.35">
      <c r="A40" s="142">
        <v>44417</v>
      </c>
      <c r="B40" s="6"/>
      <c r="C40" s="296"/>
      <c r="D40" s="325"/>
      <c r="E40" s="306"/>
      <c r="F40" s="370"/>
      <c r="G40" s="306"/>
      <c r="H40" s="306"/>
      <c r="I40" s="306"/>
      <c r="J40" s="305"/>
      <c r="K40" s="305"/>
      <c r="L40" s="305"/>
      <c r="M40" s="313"/>
      <c r="N40" s="313"/>
      <c r="O40" s="162"/>
      <c r="P40" s="162"/>
      <c r="Q40" s="162"/>
      <c r="R40" s="161"/>
      <c r="S40" s="162"/>
      <c r="T40" s="162"/>
      <c r="U40" s="162"/>
      <c r="V40" s="117"/>
      <c r="W40" s="151"/>
    </row>
    <row r="41" spans="1:23" x14ac:dyDescent="0.35">
      <c r="A41" s="142">
        <v>44424</v>
      </c>
      <c r="B41" s="6"/>
      <c r="C41" s="296"/>
      <c r="D41" s="325"/>
      <c r="E41" s="399"/>
      <c r="F41" s="370"/>
      <c r="G41" s="306"/>
      <c r="H41" s="306"/>
      <c r="I41" s="306"/>
      <c r="J41" s="306"/>
      <c r="K41" s="306"/>
      <c r="L41" s="306"/>
      <c r="M41" s="314"/>
      <c r="N41" s="314"/>
      <c r="O41" s="162"/>
      <c r="P41" s="162"/>
      <c r="Q41" s="162"/>
      <c r="R41" s="161"/>
      <c r="S41" s="162"/>
      <c r="T41" s="162"/>
      <c r="U41" s="162"/>
      <c r="V41" s="117"/>
      <c r="W41" s="151"/>
    </row>
    <row r="42" spans="1:23" x14ac:dyDescent="0.35">
      <c r="A42" s="142">
        <v>44431</v>
      </c>
      <c r="B42" s="6"/>
      <c r="C42" s="296"/>
      <c r="D42" s="325"/>
      <c r="E42" s="306"/>
      <c r="F42" s="370"/>
      <c r="G42" s="306"/>
      <c r="H42" s="306"/>
      <c r="I42" s="306"/>
      <c r="J42" s="306"/>
      <c r="K42" s="306"/>
      <c r="L42" s="306"/>
      <c r="M42" s="314"/>
      <c r="N42" s="314"/>
      <c r="O42" s="162"/>
      <c r="P42" s="162"/>
      <c r="Q42" s="162"/>
      <c r="R42" s="161"/>
      <c r="S42" s="162"/>
      <c r="T42" s="162"/>
      <c r="U42" s="162"/>
      <c r="V42" s="117"/>
      <c r="W42" s="151"/>
    </row>
    <row r="43" spans="1:23" x14ac:dyDescent="0.35">
      <c r="A43" s="142">
        <v>44438</v>
      </c>
      <c r="B43" s="6"/>
      <c r="C43" s="296"/>
      <c r="D43" s="325"/>
      <c r="E43" s="306"/>
      <c r="F43" s="371"/>
      <c r="G43" s="306"/>
      <c r="H43" s="306"/>
      <c r="I43" s="306"/>
      <c r="J43" s="306"/>
      <c r="K43" s="306"/>
      <c r="L43" s="306"/>
      <c r="M43" s="314"/>
      <c r="N43" s="314"/>
      <c r="O43" s="162"/>
      <c r="P43" s="162"/>
      <c r="Q43" s="162"/>
      <c r="R43" s="161"/>
      <c r="S43" s="162"/>
      <c r="T43" s="162"/>
      <c r="U43" s="162"/>
      <c r="V43" s="117"/>
      <c r="W43" s="151"/>
    </row>
    <row r="44" spans="1:23" x14ac:dyDescent="0.35">
      <c r="A44" s="143" t="s">
        <v>168</v>
      </c>
      <c r="B44" s="28">
        <f>SUM(B39:B43)</f>
        <v>0</v>
      </c>
      <c r="C44" s="28">
        <f>SUM(C39:C43)</f>
        <v>0</v>
      </c>
      <c r="D44" s="327">
        <f t="shared" ref="D44" si="28">(B44*350)+C44</f>
        <v>0</v>
      </c>
      <c r="E44" s="339">
        <f t="shared" ref="E44:U44" si="29">SUM(E39:E43)</f>
        <v>0</v>
      </c>
      <c r="F44" s="372">
        <f t="shared" si="29"/>
        <v>0</v>
      </c>
      <c r="G44" s="187">
        <f t="shared" si="29"/>
        <v>0</v>
      </c>
      <c r="H44" s="187">
        <f t="shared" si="29"/>
        <v>0</v>
      </c>
      <c r="I44" s="187">
        <f t="shared" si="29"/>
        <v>0</v>
      </c>
      <c r="J44" s="187">
        <f t="shared" si="29"/>
        <v>0</v>
      </c>
      <c r="K44" s="187">
        <f t="shared" si="29"/>
        <v>0</v>
      </c>
      <c r="L44" s="187">
        <f t="shared" si="29"/>
        <v>0</v>
      </c>
      <c r="M44" s="187">
        <f t="shared" si="29"/>
        <v>0</v>
      </c>
      <c r="N44" s="187">
        <f t="shared" si="29"/>
        <v>0</v>
      </c>
      <c r="O44" s="40">
        <f t="shared" si="29"/>
        <v>0</v>
      </c>
      <c r="P44" s="40">
        <f t="shared" si="29"/>
        <v>0</v>
      </c>
      <c r="Q44" s="40">
        <f t="shared" si="29"/>
        <v>0</v>
      </c>
      <c r="R44" s="40">
        <f t="shared" si="29"/>
        <v>0</v>
      </c>
      <c r="S44" s="40">
        <f t="shared" si="29"/>
        <v>0</v>
      </c>
      <c r="T44" s="40">
        <f t="shared" si="29"/>
        <v>0</v>
      </c>
      <c r="U44" s="40">
        <f t="shared" si="29"/>
        <v>0</v>
      </c>
      <c r="V44" s="311">
        <f t="shared" ref="V44" si="30">SUM(E44:L44)</f>
        <v>0</v>
      </c>
      <c r="W44" s="322">
        <f t="shared" ref="W44" si="31">SUM(M44:U44)</f>
        <v>0</v>
      </c>
    </row>
    <row r="45" spans="1:23" x14ac:dyDescent="0.35">
      <c r="A45" s="142">
        <v>44445</v>
      </c>
      <c r="B45" s="6"/>
      <c r="C45" s="296"/>
      <c r="D45" s="325"/>
      <c r="E45" s="399"/>
      <c r="F45" s="370"/>
      <c r="G45" s="305"/>
      <c r="H45" s="305"/>
      <c r="I45" s="305"/>
      <c r="J45" s="306"/>
      <c r="K45" s="306"/>
      <c r="L45" s="306"/>
      <c r="M45" s="314"/>
      <c r="N45" s="314"/>
      <c r="O45" s="162"/>
      <c r="P45" s="162"/>
      <c r="Q45" s="163"/>
      <c r="R45" s="161"/>
      <c r="S45" s="163"/>
      <c r="T45" s="163"/>
      <c r="U45" s="163"/>
      <c r="V45" s="117"/>
      <c r="W45" s="151"/>
    </row>
    <row r="46" spans="1:23" x14ac:dyDescent="0.35">
      <c r="A46" s="142">
        <v>44455</v>
      </c>
      <c r="B46" s="6"/>
      <c r="C46" s="296"/>
      <c r="D46" s="325"/>
      <c r="E46" s="400"/>
      <c r="F46" s="366"/>
      <c r="G46" s="306"/>
      <c r="H46" s="306"/>
      <c r="I46" s="306"/>
      <c r="J46" s="305"/>
      <c r="K46" s="305"/>
      <c r="L46" s="305"/>
      <c r="M46" s="313"/>
      <c r="N46" s="313"/>
      <c r="O46" s="162"/>
      <c r="P46" s="162"/>
      <c r="Q46" s="162"/>
      <c r="R46" s="161"/>
      <c r="S46" s="162"/>
      <c r="T46" s="162"/>
      <c r="U46" s="162"/>
      <c r="V46" s="117"/>
      <c r="W46" s="151"/>
    </row>
    <row r="47" spans="1:23" x14ac:dyDescent="0.35">
      <c r="A47" s="142">
        <v>44465</v>
      </c>
      <c r="B47" s="6"/>
      <c r="C47" s="296"/>
      <c r="D47" s="325"/>
      <c r="E47" s="304"/>
      <c r="F47" s="366"/>
      <c r="G47" s="306"/>
      <c r="H47" s="306"/>
      <c r="I47" s="306"/>
      <c r="J47" s="305"/>
      <c r="K47" s="305"/>
      <c r="L47" s="305"/>
      <c r="M47" s="313"/>
      <c r="N47" s="313"/>
      <c r="O47" s="162"/>
      <c r="P47" s="162"/>
      <c r="Q47" s="162"/>
      <c r="R47" s="161"/>
      <c r="S47" s="162"/>
      <c r="T47" s="162"/>
      <c r="U47" s="162"/>
      <c r="V47" s="117"/>
      <c r="W47" s="151"/>
    </row>
    <row r="48" spans="1:23" x14ac:dyDescent="0.35">
      <c r="A48" s="144" t="s">
        <v>180</v>
      </c>
      <c r="B48" s="28">
        <f>SUM(B45:B47)</f>
        <v>0</v>
      </c>
      <c r="C48" s="28">
        <f>SUM(C45:C47)</f>
        <v>0</v>
      </c>
      <c r="D48" s="327">
        <f t="shared" ref="D48" si="32">(B48*350)+C48</f>
        <v>0</v>
      </c>
      <c r="E48" s="29">
        <f t="shared" ref="E48:U48" si="33">SUM(E45:E47)</f>
        <v>0</v>
      </c>
      <c r="F48" s="365">
        <f t="shared" si="33"/>
        <v>0</v>
      </c>
      <c r="G48" s="28">
        <f t="shared" si="33"/>
        <v>0</v>
      </c>
      <c r="H48" s="28">
        <f t="shared" si="33"/>
        <v>0</v>
      </c>
      <c r="I48" s="28">
        <f t="shared" si="33"/>
        <v>0</v>
      </c>
      <c r="J48" s="28">
        <f t="shared" si="33"/>
        <v>0</v>
      </c>
      <c r="K48" s="28">
        <f t="shared" si="33"/>
        <v>0</v>
      </c>
      <c r="L48" s="28">
        <f t="shared" si="33"/>
        <v>0</v>
      </c>
      <c r="M48" s="28">
        <f t="shared" si="33"/>
        <v>0</v>
      </c>
      <c r="N48" s="28">
        <f t="shared" si="33"/>
        <v>0</v>
      </c>
      <c r="O48" s="39">
        <f t="shared" si="33"/>
        <v>0</v>
      </c>
      <c r="P48" s="39">
        <f t="shared" si="33"/>
        <v>0</v>
      </c>
      <c r="Q48" s="39">
        <f t="shared" si="33"/>
        <v>0</v>
      </c>
      <c r="R48" s="39">
        <f t="shared" si="33"/>
        <v>0</v>
      </c>
      <c r="S48" s="39">
        <f t="shared" si="33"/>
        <v>0</v>
      </c>
      <c r="T48" s="39">
        <f t="shared" si="33"/>
        <v>0</v>
      </c>
      <c r="U48" s="39">
        <f t="shared" si="33"/>
        <v>0</v>
      </c>
      <c r="V48" s="311">
        <f t="shared" ref="V48" si="34">SUM(E48:L48)</f>
        <v>0</v>
      </c>
      <c r="W48" s="322">
        <f t="shared" ref="W48" si="35">SUM(M48:U48)</f>
        <v>0</v>
      </c>
    </row>
    <row r="49" spans="1:25" x14ac:dyDescent="0.35">
      <c r="A49" s="142">
        <v>44473</v>
      </c>
      <c r="B49" s="6"/>
      <c r="C49" s="296"/>
      <c r="D49" s="325"/>
      <c r="E49" s="304"/>
      <c r="F49" s="366"/>
      <c r="G49" s="305"/>
      <c r="H49" s="305"/>
      <c r="I49" s="305"/>
      <c r="J49" s="306"/>
      <c r="K49" s="306"/>
      <c r="L49" s="306"/>
      <c r="M49" s="314"/>
      <c r="N49" s="314"/>
      <c r="O49" s="162"/>
      <c r="P49" s="163"/>
      <c r="Q49" s="163"/>
      <c r="R49" s="161"/>
      <c r="S49" s="163"/>
      <c r="T49" s="163"/>
      <c r="U49" s="163"/>
      <c r="V49" s="117"/>
      <c r="W49" s="151"/>
    </row>
    <row r="50" spans="1:25" x14ac:dyDescent="0.35">
      <c r="A50" s="142">
        <v>44480</v>
      </c>
      <c r="B50" s="6"/>
      <c r="C50" s="296"/>
      <c r="D50" s="325"/>
      <c r="E50" s="400"/>
      <c r="F50" s="366"/>
      <c r="G50" s="306"/>
      <c r="H50" s="306"/>
      <c r="I50" s="306"/>
      <c r="J50" s="305"/>
      <c r="K50" s="305"/>
      <c r="L50" s="305"/>
      <c r="M50" s="313"/>
      <c r="N50" s="313"/>
      <c r="O50" s="162"/>
      <c r="P50" s="162"/>
      <c r="Q50" s="162"/>
      <c r="R50" s="161"/>
      <c r="S50" s="162"/>
      <c r="T50" s="162"/>
      <c r="U50" s="162"/>
      <c r="V50" s="117"/>
      <c r="W50" s="151"/>
    </row>
    <row r="51" spans="1:25" x14ac:dyDescent="0.35">
      <c r="A51" s="142">
        <v>44487</v>
      </c>
      <c r="B51" s="6"/>
      <c r="C51" s="296"/>
      <c r="D51" s="325"/>
      <c r="E51" s="304"/>
      <c r="F51" s="366"/>
      <c r="G51" s="306"/>
      <c r="H51" s="306"/>
      <c r="I51" s="306"/>
      <c r="J51" s="306"/>
      <c r="K51" s="306"/>
      <c r="L51" s="306"/>
      <c r="M51" s="314"/>
      <c r="N51" s="314"/>
      <c r="O51" s="162"/>
      <c r="P51" s="162"/>
      <c r="Q51" s="162"/>
      <c r="R51" s="161"/>
      <c r="S51" s="162"/>
      <c r="T51" s="162"/>
      <c r="U51" s="162"/>
      <c r="V51" s="117"/>
      <c r="W51" s="151"/>
    </row>
    <row r="52" spans="1:25" x14ac:dyDescent="0.35">
      <c r="A52" s="142">
        <v>44494</v>
      </c>
      <c r="B52" s="6"/>
      <c r="C52" s="296"/>
      <c r="D52" s="325"/>
      <c r="E52" s="304"/>
      <c r="F52" s="366"/>
      <c r="G52" s="306"/>
      <c r="H52" s="306"/>
      <c r="I52" s="306"/>
      <c r="J52" s="306"/>
      <c r="K52" s="306"/>
      <c r="L52" s="306"/>
      <c r="M52" s="314"/>
      <c r="N52" s="314"/>
      <c r="O52" s="162"/>
      <c r="P52" s="162"/>
      <c r="Q52" s="162"/>
      <c r="R52" s="161"/>
      <c r="S52" s="162"/>
      <c r="T52" s="162"/>
      <c r="U52" s="162"/>
      <c r="V52" s="117"/>
      <c r="W52" s="151"/>
    </row>
    <row r="53" spans="1:25" x14ac:dyDescent="0.35">
      <c r="A53" s="143" t="s">
        <v>182</v>
      </c>
      <c r="B53" s="28">
        <f>SUM(B49:B52)</f>
        <v>0</v>
      </c>
      <c r="C53" s="28">
        <f>SUM(C49:C52)</f>
        <v>0</v>
      </c>
      <c r="D53" s="327">
        <f t="shared" ref="D53" si="36">(B53*350)+C53</f>
        <v>0</v>
      </c>
      <c r="E53" s="28">
        <f t="shared" ref="E53:U53" si="37">SUM(E49:E52)</f>
        <v>0</v>
      </c>
      <c r="F53" s="365">
        <f t="shared" si="37"/>
        <v>0</v>
      </c>
      <c r="G53" s="28">
        <f t="shared" si="37"/>
        <v>0</v>
      </c>
      <c r="H53" s="28">
        <f t="shared" si="37"/>
        <v>0</v>
      </c>
      <c r="I53" s="28">
        <f t="shared" si="37"/>
        <v>0</v>
      </c>
      <c r="J53" s="28">
        <f t="shared" si="37"/>
        <v>0</v>
      </c>
      <c r="K53" s="28">
        <f t="shared" si="37"/>
        <v>0</v>
      </c>
      <c r="L53" s="28">
        <f t="shared" si="37"/>
        <v>0</v>
      </c>
      <c r="M53" s="28">
        <f t="shared" si="37"/>
        <v>0</v>
      </c>
      <c r="N53" s="28">
        <f t="shared" si="37"/>
        <v>0</v>
      </c>
      <c r="O53" s="39">
        <f t="shared" si="37"/>
        <v>0</v>
      </c>
      <c r="P53" s="39">
        <f t="shared" si="37"/>
        <v>0</v>
      </c>
      <c r="Q53" s="39">
        <f t="shared" si="37"/>
        <v>0</v>
      </c>
      <c r="R53" s="39">
        <f t="shared" si="37"/>
        <v>0</v>
      </c>
      <c r="S53" s="39">
        <f t="shared" si="37"/>
        <v>0</v>
      </c>
      <c r="T53" s="39">
        <f t="shared" si="37"/>
        <v>0</v>
      </c>
      <c r="U53" s="39">
        <f t="shared" si="37"/>
        <v>0</v>
      </c>
      <c r="V53" s="311">
        <f t="shared" ref="V53" si="38">SUM(E53:L53)</f>
        <v>0</v>
      </c>
      <c r="W53" s="322">
        <f t="shared" ref="W53" si="39">SUM(M53:U53)</f>
        <v>0</v>
      </c>
    </row>
    <row r="54" spans="1:25" x14ac:dyDescent="0.35">
      <c r="A54" s="142">
        <v>44501</v>
      </c>
      <c r="B54" s="6"/>
      <c r="C54" s="296"/>
      <c r="D54" s="325"/>
      <c r="E54" s="304"/>
      <c r="F54" s="366"/>
      <c r="G54" s="306"/>
      <c r="H54" s="306"/>
      <c r="I54" s="306"/>
      <c r="J54" s="306"/>
      <c r="K54" s="306"/>
      <c r="L54" s="306"/>
      <c r="M54" s="314"/>
      <c r="N54" s="314"/>
      <c r="O54" s="162"/>
      <c r="P54" s="162"/>
      <c r="Q54" s="162"/>
      <c r="R54" s="161"/>
      <c r="S54" s="162"/>
      <c r="T54" s="162"/>
      <c r="U54" s="162"/>
      <c r="V54" s="117"/>
      <c r="W54" s="151"/>
    </row>
    <row r="55" spans="1:25" x14ac:dyDescent="0.35">
      <c r="A55" s="142">
        <v>44508</v>
      </c>
      <c r="B55" s="6"/>
      <c r="C55" s="296"/>
      <c r="D55" s="325"/>
      <c r="E55" s="400"/>
      <c r="F55" s="366"/>
      <c r="G55" s="305"/>
      <c r="H55" s="305"/>
      <c r="I55" s="305"/>
      <c r="J55" s="306"/>
      <c r="K55" s="306"/>
      <c r="L55" s="306"/>
      <c r="M55" s="314"/>
      <c r="N55" s="314"/>
      <c r="O55" s="163"/>
      <c r="P55" s="163"/>
      <c r="Q55" s="163"/>
      <c r="R55" s="161"/>
      <c r="S55" s="163"/>
      <c r="T55" s="163"/>
      <c r="U55" s="163"/>
      <c r="V55" s="117"/>
      <c r="W55" s="151"/>
    </row>
    <row r="56" spans="1:25" x14ac:dyDescent="0.35">
      <c r="A56" s="142">
        <v>44515</v>
      </c>
      <c r="B56" s="6"/>
      <c r="C56" s="296"/>
      <c r="D56" s="325"/>
      <c r="E56" s="304"/>
      <c r="F56" s="366"/>
      <c r="G56" s="306"/>
      <c r="H56" s="306"/>
      <c r="I56" s="306"/>
      <c r="J56" s="305"/>
      <c r="K56" s="305"/>
      <c r="L56" s="305"/>
      <c r="M56" s="313"/>
      <c r="N56" s="313"/>
      <c r="O56" s="162"/>
      <c r="P56" s="162"/>
      <c r="Q56" s="162"/>
      <c r="R56" s="161"/>
      <c r="S56" s="162"/>
      <c r="T56" s="162"/>
      <c r="U56" s="162"/>
      <c r="V56" s="117"/>
      <c r="W56" s="151"/>
    </row>
    <row r="57" spans="1:25" x14ac:dyDescent="0.35">
      <c r="A57" s="142">
        <v>44522</v>
      </c>
      <c r="B57" s="6"/>
      <c r="C57" s="296"/>
      <c r="D57" s="325"/>
      <c r="E57" s="304"/>
      <c r="F57" s="366"/>
      <c r="G57" s="306"/>
      <c r="H57" s="306"/>
      <c r="I57" s="306"/>
      <c r="J57" s="306"/>
      <c r="K57" s="306"/>
      <c r="L57" s="306"/>
      <c r="M57" s="314"/>
      <c r="N57" s="314"/>
      <c r="O57" s="162"/>
      <c r="P57" s="162"/>
      <c r="Q57" s="162"/>
      <c r="R57" s="161"/>
      <c r="S57" s="162"/>
      <c r="T57" s="162"/>
      <c r="U57" s="162"/>
      <c r="V57" s="117"/>
      <c r="W57" s="151"/>
    </row>
    <row r="58" spans="1:25" x14ac:dyDescent="0.35">
      <c r="A58" s="142">
        <v>44529</v>
      </c>
      <c r="B58" s="6"/>
      <c r="C58" s="296"/>
      <c r="D58" s="325"/>
      <c r="E58" s="304"/>
      <c r="F58" s="366"/>
      <c r="G58" s="306"/>
      <c r="H58" s="306"/>
      <c r="I58" s="306"/>
      <c r="J58" s="306"/>
      <c r="K58" s="306"/>
      <c r="L58" s="306"/>
      <c r="M58" s="314"/>
      <c r="N58" s="314"/>
      <c r="O58" s="162"/>
      <c r="P58" s="162"/>
      <c r="Q58" s="162"/>
      <c r="R58" s="161"/>
      <c r="S58" s="162"/>
      <c r="T58" s="162"/>
      <c r="U58" s="162"/>
      <c r="V58" s="117"/>
      <c r="W58" s="151"/>
    </row>
    <row r="59" spans="1:25" x14ac:dyDescent="0.35">
      <c r="A59" s="143" t="s">
        <v>181</v>
      </c>
      <c r="B59" s="28">
        <f>SUM(B54:B58)</f>
        <v>0</v>
      </c>
      <c r="C59" s="28">
        <f>SUM(C54:C58)</f>
        <v>0</v>
      </c>
      <c r="D59" s="327">
        <f>(B59*350)+C59</f>
        <v>0</v>
      </c>
      <c r="E59" s="28">
        <f>SUM(E54:E58)</f>
        <v>0</v>
      </c>
      <c r="F59" s="365">
        <f t="shared" ref="F59:U59" si="40">SUM(F54:F58)</f>
        <v>0</v>
      </c>
      <c r="G59" s="28">
        <f t="shared" si="40"/>
        <v>0</v>
      </c>
      <c r="H59" s="28">
        <f t="shared" si="40"/>
        <v>0</v>
      </c>
      <c r="I59" s="28">
        <f t="shared" si="40"/>
        <v>0</v>
      </c>
      <c r="J59" s="28">
        <f t="shared" si="40"/>
        <v>0</v>
      </c>
      <c r="K59" s="28">
        <f t="shared" si="40"/>
        <v>0</v>
      </c>
      <c r="L59" s="28">
        <f t="shared" si="40"/>
        <v>0</v>
      </c>
      <c r="M59" s="28">
        <f t="shared" si="40"/>
        <v>0</v>
      </c>
      <c r="N59" s="28">
        <f t="shared" si="40"/>
        <v>0</v>
      </c>
      <c r="O59" s="39">
        <f t="shared" si="40"/>
        <v>0</v>
      </c>
      <c r="P59" s="39">
        <f t="shared" si="40"/>
        <v>0</v>
      </c>
      <c r="Q59" s="39">
        <f t="shared" si="40"/>
        <v>0</v>
      </c>
      <c r="R59" s="39">
        <f t="shared" si="40"/>
        <v>0</v>
      </c>
      <c r="S59" s="39">
        <f t="shared" si="40"/>
        <v>0</v>
      </c>
      <c r="T59" s="39">
        <f t="shared" si="40"/>
        <v>0</v>
      </c>
      <c r="U59" s="39">
        <f t="shared" si="40"/>
        <v>0</v>
      </c>
      <c r="V59" s="311">
        <f t="shared" ref="V59" si="41">SUM(E59:L59)</f>
        <v>0</v>
      </c>
      <c r="W59" s="322">
        <f t="shared" ref="W59" si="42">SUM(M59:U59)</f>
        <v>0</v>
      </c>
    </row>
    <row r="60" spans="1:25" x14ac:dyDescent="0.35">
      <c r="A60" s="142">
        <v>44536</v>
      </c>
      <c r="B60" s="6"/>
      <c r="C60" s="296"/>
      <c r="D60" s="325"/>
      <c r="E60" s="304"/>
      <c r="F60" s="366"/>
      <c r="G60" s="306"/>
      <c r="H60" s="306"/>
      <c r="I60" s="306"/>
      <c r="J60" s="306"/>
      <c r="K60" s="306"/>
      <c r="L60" s="306"/>
      <c r="M60" s="314"/>
      <c r="N60" s="314"/>
      <c r="O60" s="162"/>
      <c r="P60" s="162"/>
      <c r="Q60" s="162"/>
      <c r="R60" s="161"/>
      <c r="S60" s="162"/>
      <c r="T60" s="162"/>
      <c r="U60" s="162"/>
      <c r="V60" s="117"/>
      <c r="W60" s="151"/>
      <c r="Y60" s="323"/>
    </row>
    <row r="61" spans="1:25" x14ac:dyDescent="0.35">
      <c r="A61" s="142">
        <v>44543</v>
      </c>
      <c r="B61" s="6"/>
      <c r="C61" s="296"/>
      <c r="D61" s="325"/>
      <c r="E61" s="304"/>
      <c r="F61" s="366"/>
      <c r="G61" s="305"/>
      <c r="H61" s="305"/>
      <c r="I61" s="305"/>
      <c r="J61" s="306"/>
      <c r="K61" s="306"/>
      <c r="L61" s="306"/>
      <c r="M61" s="314"/>
      <c r="N61" s="314"/>
      <c r="O61" s="163"/>
      <c r="P61" s="163"/>
      <c r="Q61" s="163"/>
      <c r="R61" s="161"/>
      <c r="S61" s="163"/>
      <c r="T61" s="163"/>
      <c r="U61" s="163"/>
      <c r="V61" s="117"/>
      <c r="W61" s="151"/>
    </row>
    <row r="62" spans="1:25" x14ac:dyDescent="0.35">
      <c r="A62" s="142">
        <v>44550</v>
      </c>
      <c r="B62" s="6"/>
      <c r="C62" s="296"/>
      <c r="D62" s="325"/>
      <c r="E62" s="304"/>
      <c r="F62" s="366"/>
      <c r="G62" s="306"/>
      <c r="H62" s="306"/>
      <c r="I62" s="306"/>
      <c r="J62" s="305"/>
      <c r="K62" s="305"/>
      <c r="L62" s="305"/>
      <c r="M62" s="313"/>
      <c r="N62" s="313"/>
      <c r="O62" s="162"/>
      <c r="P62" s="162"/>
      <c r="Q62" s="162"/>
      <c r="R62" s="161"/>
      <c r="S62" s="162"/>
      <c r="T62" s="162"/>
      <c r="U62" s="162"/>
      <c r="V62" s="117"/>
      <c r="W62" s="151"/>
    </row>
    <row r="63" spans="1:25" x14ac:dyDescent="0.35">
      <c r="A63" s="142">
        <v>44557</v>
      </c>
      <c r="B63" s="6"/>
      <c r="C63" s="296"/>
      <c r="D63" s="325"/>
      <c r="E63" s="304"/>
      <c r="F63" s="366"/>
      <c r="G63" s="306"/>
      <c r="H63" s="306"/>
      <c r="I63" s="306"/>
      <c r="J63" s="306"/>
      <c r="K63" s="306"/>
      <c r="L63" s="306"/>
      <c r="M63" s="314"/>
      <c r="N63" s="314"/>
      <c r="O63" s="162"/>
      <c r="P63" s="162"/>
      <c r="Q63" s="162"/>
      <c r="R63" s="161"/>
      <c r="S63" s="162"/>
      <c r="T63" s="162"/>
      <c r="U63" s="162"/>
      <c r="V63" s="117"/>
      <c r="W63" s="151"/>
    </row>
    <row r="64" spans="1:25" ht="15" thickBot="1" x14ac:dyDescent="0.4">
      <c r="A64" s="143" t="s">
        <v>183</v>
      </c>
      <c r="B64" s="28">
        <f>SUM(B60:B63)</f>
        <v>0</v>
      </c>
      <c r="C64" s="28">
        <f>SUM(C60:C63)</f>
        <v>0</v>
      </c>
      <c r="D64" s="327">
        <f t="shared" ref="D64" si="43">(B64*350)+C64</f>
        <v>0</v>
      </c>
      <c r="E64" s="28">
        <f>SUM(E60:E63)</f>
        <v>0</v>
      </c>
      <c r="F64" s="365">
        <f t="shared" ref="F64:U64" si="44">SUM(F60:F63)</f>
        <v>0</v>
      </c>
      <c r="G64" s="28">
        <f t="shared" si="44"/>
        <v>0</v>
      </c>
      <c r="H64" s="28">
        <f t="shared" si="44"/>
        <v>0</v>
      </c>
      <c r="I64" s="28">
        <f t="shared" si="44"/>
        <v>0</v>
      </c>
      <c r="J64" s="28">
        <f t="shared" si="44"/>
        <v>0</v>
      </c>
      <c r="K64" s="28">
        <f t="shared" si="44"/>
        <v>0</v>
      </c>
      <c r="L64" s="28">
        <f t="shared" si="44"/>
        <v>0</v>
      </c>
      <c r="M64" s="28">
        <f t="shared" si="44"/>
        <v>0</v>
      </c>
      <c r="N64" s="28">
        <f t="shared" si="44"/>
        <v>0</v>
      </c>
      <c r="O64" s="39">
        <f t="shared" si="44"/>
        <v>0</v>
      </c>
      <c r="P64" s="39">
        <f t="shared" si="44"/>
        <v>0</v>
      </c>
      <c r="Q64" s="39">
        <f t="shared" si="44"/>
        <v>0</v>
      </c>
      <c r="R64" s="39">
        <f t="shared" si="44"/>
        <v>0</v>
      </c>
      <c r="S64" s="39">
        <f t="shared" si="44"/>
        <v>0</v>
      </c>
      <c r="T64" s="39">
        <f t="shared" si="44"/>
        <v>0</v>
      </c>
      <c r="U64" s="39">
        <f t="shared" si="44"/>
        <v>0</v>
      </c>
      <c r="V64" s="320">
        <f t="shared" ref="V64" si="45">SUM(E64:L64)</f>
        <v>0</v>
      </c>
      <c r="W64" s="321">
        <f t="shared" ref="W64" si="46">SUM(M64:U64)</f>
        <v>0</v>
      </c>
    </row>
    <row r="65" spans="1:23" s="324" customFormat="1" ht="18.5" thickBot="1" x14ac:dyDescent="0.4">
      <c r="A65" s="279" t="s">
        <v>156</v>
      </c>
      <c r="B65" s="271"/>
      <c r="C65" s="274"/>
      <c r="D65" s="326"/>
      <c r="E65" s="271"/>
      <c r="F65" s="373"/>
      <c r="G65" s="271"/>
      <c r="H65" s="271"/>
      <c r="I65" s="271"/>
      <c r="J65" s="271"/>
      <c r="K65" s="271"/>
      <c r="L65" s="271"/>
      <c r="M65" s="271"/>
      <c r="N65" s="271"/>
      <c r="O65" s="274"/>
      <c r="P65" s="274"/>
      <c r="Q65" s="274"/>
      <c r="R65" s="274"/>
      <c r="S65" s="274"/>
      <c r="T65" s="274"/>
      <c r="U65" s="274"/>
      <c r="V65" s="173"/>
      <c r="W65" s="154"/>
    </row>
    <row r="66" spans="1:23" ht="15" thickBot="1" x14ac:dyDescent="0.4"/>
    <row r="67" spans="1:23" ht="23.5" x14ac:dyDescent="0.55000000000000004">
      <c r="B67" s="338" t="s">
        <v>108</v>
      </c>
      <c r="C67" s="328"/>
      <c r="D67" s="329"/>
      <c r="F67" s="395" t="s">
        <v>188</v>
      </c>
      <c r="G67" s="336"/>
      <c r="H67" s="336"/>
      <c r="I67" s="337"/>
      <c r="U67" s="330" t="s">
        <v>186</v>
      </c>
      <c r="V67" s="331"/>
      <c r="W67" s="332"/>
    </row>
    <row r="68" spans="1:23" ht="24" thickBot="1" x14ac:dyDescent="0.6">
      <c r="B68" s="426" t="e">
        <f>D65/B65</f>
        <v>#DIV/0!</v>
      </c>
      <c r="C68" s="427"/>
      <c r="D68" s="428"/>
      <c r="F68" s="429" t="e">
        <f>(W65+D65)/(V65+B65)</f>
        <v>#DIV/0!</v>
      </c>
      <c r="G68" s="430"/>
      <c r="H68" s="430"/>
      <c r="I68" s="431"/>
      <c r="U68" s="333" t="e">
        <f>W65/V65</f>
        <v>#DIV/0!</v>
      </c>
      <c r="V68" s="334"/>
      <c r="W68" s="335"/>
    </row>
  </sheetData>
  <mergeCells count="2">
    <mergeCell ref="B68:D68"/>
    <mergeCell ref="F68:I68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76A-6548-4EAF-A6A1-36179C162E21}">
  <sheetPr>
    <tabColor theme="7"/>
  </sheetPr>
  <dimension ref="A1:I65"/>
  <sheetViews>
    <sheetView workbookViewId="0">
      <selection activeCell="C18" sqref="C18"/>
    </sheetView>
  </sheetViews>
  <sheetFormatPr defaultRowHeight="14.5" x14ac:dyDescent="0.35"/>
  <cols>
    <col min="1" max="1" width="14.453125" bestFit="1" customWidth="1"/>
    <col min="2" max="2" width="12.54296875" customWidth="1"/>
    <col min="3" max="3" width="12.26953125" customWidth="1"/>
    <col min="4" max="4" width="11.453125" customWidth="1"/>
    <col min="5" max="5" width="12.453125" customWidth="1"/>
    <col min="6" max="6" width="12.1796875" customWidth="1"/>
    <col min="8" max="8" width="12.453125" customWidth="1"/>
    <col min="9" max="9" width="13.453125" customWidth="1"/>
  </cols>
  <sheetData>
    <row r="1" spans="1:9" ht="64.5" customHeight="1" x14ac:dyDescent="0.35">
      <c r="A1" s="353" t="s">
        <v>192</v>
      </c>
      <c r="B1" s="354" t="s">
        <v>193</v>
      </c>
      <c r="C1" s="355" t="s">
        <v>194</v>
      </c>
      <c r="D1" s="354" t="s">
        <v>82</v>
      </c>
      <c r="E1" s="354" t="s">
        <v>189</v>
      </c>
      <c r="F1" s="354" t="s">
        <v>190</v>
      </c>
      <c r="G1" s="354" t="s">
        <v>162</v>
      </c>
      <c r="H1" s="354" t="s">
        <v>166</v>
      </c>
      <c r="I1" s="356" t="s">
        <v>191</v>
      </c>
    </row>
    <row r="2" spans="1:9" x14ac:dyDescent="0.35">
      <c r="A2" s="318">
        <v>44200</v>
      </c>
      <c r="B2" s="114"/>
      <c r="C2" s="64">
        <v>728.09</v>
      </c>
      <c r="D2" s="350"/>
      <c r="E2" s="351"/>
      <c r="F2" s="352"/>
      <c r="G2" s="350"/>
      <c r="H2" s="162"/>
      <c r="I2" s="157"/>
    </row>
    <row r="3" spans="1:9" x14ac:dyDescent="0.35">
      <c r="A3" s="318">
        <v>44207</v>
      </c>
      <c r="B3" s="114"/>
      <c r="C3" s="64"/>
      <c r="D3" s="115"/>
      <c r="E3" s="115"/>
      <c r="F3" s="163"/>
      <c r="G3" s="115"/>
      <c r="H3" s="162"/>
      <c r="I3" s="156"/>
    </row>
    <row r="4" spans="1:9" x14ac:dyDescent="0.35">
      <c r="A4" s="318">
        <v>44214</v>
      </c>
      <c r="B4" s="114"/>
      <c r="C4" s="64"/>
      <c r="D4" s="114"/>
      <c r="E4" s="114"/>
      <c r="F4" s="162"/>
      <c r="G4" s="114"/>
      <c r="H4" s="162"/>
      <c r="I4" s="157"/>
    </row>
    <row r="5" spans="1:9" x14ac:dyDescent="0.35">
      <c r="A5" s="318">
        <v>44221</v>
      </c>
      <c r="B5" s="114"/>
      <c r="C5" s="64"/>
      <c r="D5" s="114"/>
      <c r="E5" s="114"/>
      <c r="F5" s="162"/>
      <c r="G5" s="114"/>
      <c r="H5" s="162"/>
      <c r="I5" s="157"/>
    </row>
    <row r="6" spans="1:9" x14ac:dyDescent="0.35">
      <c r="A6" s="357" t="s">
        <v>152</v>
      </c>
      <c r="B6" s="187"/>
      <c r="C6" s="401">
        <f>SUM(C2:C5)</f>
        <v>728.09</v>
      </c>
      <c r="D6" s="187"/>
      <c r="E6" s="187"/>
      <c r="F6" s="187"/>
      <c r="G6" s="187"/>
      <c r="H6" s="187"/>
      <c r="I6" s="187"/>
    </row>
    <row r="7" spans="1:9" x14ac:dyDescent="0.35">
      <c r="A7" s="318">
        <v>44228</v>
      </c>
      <c r="B7" s="114"/>
      <c r="C7" s="64">
        <v>823.63</v>
      </c>
      <c r="D7" s="114"/>
      <c r="E7" s="114"/>
      <c r="F7" s="162"/>
      <c r="G7" s="114"/>
      <c r="H7" s="162"/>
      <c r="I7" s="157"/>
    </row>
    <row r="8" spans="1:9" x14ac:dyDescent="0.35">
      <c r="A8" s="318">
        <v>44235</v>
      </c>
      <c r="B8" s="114"/>
      <c r="C8" s="64"/>
      <c r="D8" s="115"/>
      <c r="E8" s="114"/>
      <c r="F8" s="162"/>
      <c r="G8" s="115"/>
      <c r="H8" s="163"/>
      <c r="I8" s="156"/>
    </row>
    <row r="9" spans="1:9" x14ac:dyDescent="0.35">
      <c r="A9" s="318">
        <v>44242</v>
      </c>
      <c r="B9" s="114"/>
      <c r="C9" s="64"/>
      <c r="D9" s="114"/>
      <c r="E9" s="115"/>
      <c r="F9" s="163"/>
      <c r="G9" s="114"/>
      <c r="H9" s="162"/>
      <c r="I9" s="157"/>
    </row>
    <row r="10" spans="1:9" x14ac:dyDescent="0.35">
      <c r="A10" s="318">
        <v>44249</v>
      </c>
      <c r="B10" s="114"/>
      <c r="C10" s="64"/>
      <c r="D10" s="114"/>
      <c r="E10" s="114"/>
      <c r="F10" s="162"/>
      <c r="G10" s="114"/>
      <c r="H10" s="162"/>
      <c r="I10" s="157"/>
    </row>
    <row r="11" spans="1:9" x14ac:dyDescent="0.35">
      <c r="A11" s="357" t="s">
        <v>153</v>
      </c>
      <c r="B11" s="187"/>
      <c r="C11" s="401">
        <f>SUM(C7:C10)</f>
        <v>823.63</v>
      </c>
      <c r="D11" s="187"/>
      <c r="E11" s="187"/>
      <c r="F11" s="187"/>
      <c r="G11" s="187"/>
      <c r="H11" s="401"/>
      <c r="I11" s="187"/>
    </row>
    <row r="12" spans="1:9" x14ac:dyDescent="0.35">
      <c r="A12" s="318">
        <v>44256</v>
      </c>
      <c r="B12" s="114"/>
      <c r="C12" s="64">
        <v>823.63</v>
      </c>
      <c r="D12" s="114"/>
      <c r="E12" s="114"/>
      <c r="F12" s="162"/>
      <c r="G12" s="114"/>
      <c r="H12" s="162"/>
      <c r="I12" s="157"/>
    </row>
    <row r="13" spans="1:9" x14ac:dyDescent="0.35">
      <c r="A13" s="318">
        <v>44263</v>
      </c>
      <c r="B13" s="114"/>
      <c r="C13" s="64"/>
      <c r="D13" s="115"/>
      <c r="E13" s="114"/>
      <c r="F13" s="162"/>
      <c r="G13" s="115"/>
      <c r="H13" s="163"/>
      <c r="I13" s="156"/>
    </row>
    <row r="14" spans="1:9" x14ac:dyDescent="0.35">
      <c r="A14" s="318">
        <v>44270</v>
      </c>
      <c r="B14" s="114"/>
      <c r="C14" s="64"/>
      <c r="D14" s="114"/>
      <c r="E14" s="115"/>
      <c r="F14" s="163"/>
      <c r="G14" s="114"/>
      <c r="H14" s="162"/>
      <c r="I14" s="157"/>
    </row>
    <row r="15" spans="1:9" x14ac:dyDescent="0.35">
      <c r="A15" s="318">
        <v>44277</v>
      </c>
      <c r="B15" s="114"/>
      <c r="C15" s="64"/>
      <c r="D15" s="114"/>
      <c r="E15" s="114"/>
      <c r="F15" s="162"/>
      <c r="G15" s="114"/>
      <c r="H15" s="162"/>
      <c r="I15" s="157"/>
    </row>
    <row r="16" spans="1:9" x14ac:dyDescent="0.35">
      <c r="A16" s="318">
        <v>44284</v>
      </c>
      <c r="B16" s="114"/>
      <c r="C16" s="64"/>
      <c r="D16" s="114"/>
      <c r="E16" s="114"/>
      <c r="F16" s="162"/>
      <c r="G16" s="114"/>
      <c r="H16" s="162"/>
      <c r="I16" s="157"/>
    </row>
    <row r="17" spans="1:9" x14ac:dyDescent="0.35">
      <c r="A17" s="357" t="s">
        <v>154</v>
      </c>
      <c r="B17" s="187"/>
      <c r="C17" s="40">
        <f>SUM(C12:C16)</f>
        <v>823.63</v>
      </c>
      <c r="D17" s="40"/>
      <c r="E17" s="40"/>
      <c r="F17" s="40"/>
      <c r="G17" s="40"/>
      <c r="H17" s="40"/>
      <c r="I17" s="40"/>
    </row>
    <row r="18" spans="1:9" x14ac:dyDescent="0.35">
      <c r="A18" s="318">
        <v>44291</v>
      </c>
      <c r="B18" s="114"/>
      <c r="C18" s="64"/>
      <c r="D18" s="114"/>
      <c r="E18" s="115"/>
      <c r="F18" s="163"/>
      <c r="G18" s="114"/>
      <c r="H18" s="162"/>
      <c r="I18" s="157"/>
    </row>
    <row r="19" spans="1:9" x14ac:dyDescent="0.35">
      <c r="A19" s="318">
        <v>44298</v>
      </c>
      <c r="B19" s="114"/>
      <c r="C19" s="64"/>
      <c r="D19" s="114"/>
      <c r="E19" s="114"/>
      <c r="F19" s="162"/>
      <c r="G19" s="114"/>
      <c r="H19" s="162"/>
      <c r="I19" s="157"/>
    </row>
    <row r="20" spans="1:9" x14ac:dyDescent="0.35">
      <c r="A20" s="318">
        <v>44305</v>
      </c>
      <c r="B20" s="114"/>
      <c r="C20" s="64"/>
      <c r="D20" s="114"/>
      <c r="E20" s="114"/>
      <c r="F20" s="162"/>
      <c r="G20" s="114"/>
      <c r="H20" s="162"/>
      <c r="I20" s="157"/>
    </row>
    <row r="21" spans="1:9" x14ac:dyDescent="0.35">
      <c r="A21" s="318">
        <v>44312</v>
      </c>
      <c r="B21" s="114"/>
      <c r="C21" s="64"/>
      <c r="D21" s="114"/>
      <c r="E21" s="114"/>
      <c r="F21" s="162"/>
      <c r="G21" s="114"/>
      <c r="H21" s="162"/>
      <c r="I21" s="157"/>
    </row>
    <row r="22" spans="1:9" x14ac:dyDescent="0.35">
      <c r="A22" s="357" t="s">
        <v>155</v>
      </c>
      <c r="B22" s="187"/>
      <c r="C22" s="40"/>
      <c r="D22" s="40"/>
      <c r="E22" s="40"/>
      <c r="F22" s="40"/>
      <c r="G22" s="40"/>
      <c r="H22" s="40"/>
      <c r="I22" s="40"/>
    </row>
    <row r="23" spans="1:9" x14ac:dyDescent="0.35">
      <c r="A23" s="318">
        <v>44319</v>
      </c>
      <c r="B23" s="114"/>
      <c r="C23" s="64"/>
      <c r="D23" s="114"/>
      <c r="E23" s="115"/>
      <c r="F23" s="163"/>
      <c r="G23" s="114"/>
      <c r="H23" s="162"/>
      <c r="I23" s="157"/>
    </row>
    <row r="24" spans="1:9" x14ac:dyDescent="0.35">
      <c r="A24" s="318">
        <v>44326</v>
      </c>
      <c r="B24" s="114"/>
      <c r="C24" s="64"/>
      <c r="D24" s="114"/>
      <c r="E24" s="114"/>
      <c r="F24" s="162"/>
      <c r="G24" s="114"/>
      <c r="H24" s="162"/>
      <c r="I24" s="157"/>
    </row>
    <row r="25" spans="1:9" x14ac:dyDescent="0.35">
      <c r="A25" s="318">
        <v>44333</v>
      </c>
      <c r="B25" s="114"/>
      <c r="C25" s="64"/>
      <c r="D25" s="114"/>
      <c r="E25" s="114"/>
      <c r="F25" s="162"/>
      <c r="G25" s="114"/>
      <c r="H25" s="162"/>
      <c r="I25" s="157"/>
    </row>
    <row r="26" spans="1:9" x14ac:dyDescent="0.35">
      <c r="A26" s="318">
        <v>44340</v>
      </c>
      <c r="B26" s="114"/>
      <c r="C26" s="64"/>
      <c r="D26" s="114"/>
      <c r="E26" s="114"/>
      <c r="F26" s="162"/>
      <c r="G26" s="114"/>
      <c r="H26" s="162"/>
      <c r="I26" s="157"/>
    </row>
    <row r="27" spans="1:9" x14ac:dyDescent="0.35">
      <c r="A27" s="318">
        <v>44347</v>
      </c>
      <c r="B27" s="114"/>
      <c r="C27" s="64"/>
      <c r="D27" s="114"/>
      <c r="E27" s="114"/>
      <c r="F27" s="162"/>
      <c r="G27" s="114"/>
      <c r="H27" s="162"/>
      <c r="I27" s="157"/>
    </row>
    <row r="28" spans="1:9" x14ac:dyDescent="0.35">
      <c r="A28" s="357" t="s">
        <v>157</v>
      </c>
      <c r="B28" s="187"/>
      <c r="C28" s="187"/>
      <c r="D28" s="187"/>
      <c r="E28" s="187"/>
      <c r="F28" s="187"/>
      <c r="G28" s="187"/>
      <c r="H28" s="401"/>
      <c r="I28" s="187"/>
    </row>
    <row r="29" spans="1:9" x14ac:dyDescent="0.35">
      <c r="A29" s="318">
        <v>44354</v>
      </c>
      <c r="B29" s="114"/>
      <c r="C29" s="64"/>
      <c r="D29" s="114"/>
      <c r="E29" s="114"/>
      <c r="F29" s="162"/>
      <c r="G29" s="114"/>
      <c r="H29" s="162"/>
      <c r="I29" s="157"/>
    </row>
    <row r="30" spans="1:9" x14ac:dyDescent="0.35">
      <c r="A30" s="318">
        <v>44361</v>
      </c>
      <c r="B30" s="114"/>
      <c r="C30" s="64"/>
      <c r="D30" s="115"/>
      <c r="E30" s="114"/>
      <c r="F30" s="162"/>
      <c r="G30" s="115"/>
      <c r="H30" s="163"/>
      <c r="I30" s="156"/>
    </row>
    <row r="31" spans="1:9" x14ac:dyDescent="0.35">
      <c r="A31" s="318">
        <v>44368</v>
      </c>
      <c r="B31" s="114"/>
      <c r="C31" s="64"/>
      <c r="D31" s="114"/>
      <c r="E31" s="115"/>
      <c r="F31" s="163"/>
      <c r="G31" s="114"/>
      <c r="H31" s="162"/>
      <c r="I31" s="157"/>
    </row>
    <row r="32" spans="1:9" x14ac:dyDescent="0.35">
      <c r="A32" s="318">
        <v>44375</v>
      </c>
      <c r="B32" s="114"/>
      <c r="C32" s="64"/>
      <c r="D32" s="114"/>
      <c r="E32" s="114"/>
      <c r="F32" s="162"/>
      <c r="G32" s="114"/>
      <c r="H32" s="162"/>
      <c r="I32" s="157"/>
    </row>
    <row r="33" spans="1:9" x14ac:dyDescent="0.35">
      <c r="A33" s="357" t="s">
        <v>158</v>
      </c>
      <c r="B33" s="187"/>
      <c r="C33" s="187"/>
      <c r="D33" s="187"/>
      <c r="E33" s="187"/>
      <c r="F33" s="187"/>
      <c r="G33" s="187"/>
      <c r="H33" s="401"/>
      <c r="I33" s="187"/>
    </row>
    <row r="34" spans="1:9" x14ac:dyDescent="0.35">
      <c r="A34" s="318">
        <v>44382</v>
      </c>
      <c r="B34" s="114"/>
      <c r="C34" s="64"/>
      <c r="D34" s="114"/>
      <c r="E34" s="114"/>
      <c r="F34" s="162"/>
      <c r="G34" s="114"/>
      <c r="H34" s="162"/>
      <c r="I34" s="157"/>
    </row>
    <row r="35" spans="1:9" x14ac:dyDescent="0.35">
      <c r="A35" s="318">
        <v>44389</v>
      </c>
      <c r="B35" s="114"/>
      <c r="C35" s="64"/>
      <c r="D35" s="115"/>
      <c r="E35" s="114"/>
      <c r="F35" s="162"/>
      <c r="G35" s="115"/>
      <c r="H35" s="163"/>
      <c r="I35" s="156"/>
    </row>
    <row r="36" spans="1:9" x14ac:dyDescent="0.35">
      <c r="A36" s="318">
        <v>44396</v>
      </c>
      <c r="B36" s="114"/>
      <c r="C36" s="64"/>
      <c r="D36" s="114"/>
      <c r="E36" s="115"/>
      <c r="F36" s="163"/>
      <c r="G36" s="114"/>
      <c r="H36" s="162"/>
      <c r="I36" s="157"/>
    </row>
    <row r="37" spans="1:9" x14ac:dyDescent="0.35">
      <c r="A37" s="318">
        <v>44403</v>
      </c>
      <c r="B37" s="114"/>
      <c r="C37" s="64"/>
      <c r="D37" s="114"/>
      <c r="E37" s="114"/>
      <c r="F37" s="162"/>
      <c r="G37" s="114"/>
      <c r="H37" s="162"/>
      <c r="I37" s="157"/>
    </row>
    <row r="38" spans="1:9" x14ac:dyDescent="0.35">
      <c r="A38" s="357" t="s">
        <v>159</v>
      </c>
      <c r="B38" s="187"/>
      <c r="C38" s="187"/>
      <c r="D38" s="187"/>
      <c r="E38" s="187"/>
      <c r="F38" s="187"/>
      <c r="G38" s="187"/>
      <c r="H38" s="401"/>
      <c r="I38" s="187"/>
    </row>
    <row r="39" spans="1:9" x14ac:dyDescent="0.35">
      <c r="A39" s="318">
        <v>44410</v>
      </c>
      <c r="B39" s="114"/>
      <c r="C39" s="64"/>
      <c r="D39" s="115"/>
      <c r="E39" s="114"/>
      <c r="F39" s="162"/>
      <c r="G39" s="115"/>
      <c r="H39" s="163"/>
      <c r="I39" s="156"/>
    </row>
    <row r="40" spans="1:9" x14ac:dyDescent="0.35">
      <c r="A40" s="318">
        <v>44417</v>
      </c>
      <c r="B40" s="114"/>
      <c r="C40" s="64"/>
      <c r="D40" s="114"/>
      <c r="E40" s="115"/>
      <c r="F40" s="163"/>
      <c r="G40" s="114"/>
      <c r="H40" s="162"/>
      <c r="I40" s="157"/>
    </row>
    <row r="41" spans="1:9" x14ac:dyDescent="0.35">
      <c r="A41" s="318">
        <v>44424</v>
      </c>
      <c r="B41" s="114"/>
      <c r="C41" s="64"/>
      <c r="D41" s="114"/>
      <c r="E41" s="114"/>
      <c r="F41" s="162"/>
      <c r="G41" s="114"/>
      <c r="H41" s="162"/>
      <c r="I41" s="157"/>
    </row>
    <row r="42" spans="1:9" x14ac:dyDescent="0.35">
      <c r="A42" s="318">
        <v>44431</v>
      </c>
      <c r="B42" s="114"/>
      <c r="C42" s="64"/>
      <c r="D42" s="114"/>
      <c r="E42" s="114"/>
      <c r="F42" s="162"/>
      <c r="G42" s="114"/>
      <c r="H42" s="162"/>
      <c r="I42" s="157"/>
    </row>
    <row r="43" spans="1:9" x14ac:dyDescent="0.35">
      <c r="A43" s="318">
        <v>44438</v>
      </c>
      <c r="B43" s="114"/>
      <c r="C43" s="64"/>
      <c r="D43" s="114"/>
      <c r="E43" s="114"/>
      <c r="F43" s="162"/>
      <c r="G43" s="114"/>
      <c r="H43" s="162"/>
      <c r="I43" s="157"/>
    </row>
    <row r="44" spans="1:9" x14ac:dyDescent="0.35">
      <c r="A44" s="357" t="s">
        <v>168</v>
      </c>
      <c r="B44" s="187"/>
      <c r="C44" s="187"/>
      <c r="D44" s="187"/>
      <c r="E44" s="187"/>
      <c r="F44" s="187"/>
      <c r="G44" s="187"/>
      <c r="H44" s="401"/>
      <c r="I44" s="187"/>
    </row>
    <row r="45" spans="1:9" x14ac:dyDescent="0.35">
      <c r="A45" s="318">
        <v>44445</v>
      </c>
      <c r="B45" s="114"/>
      <c r="C45" s="64"/>
      <c r="D45" s="115"/>
      <c r="E45" s="114"/>
      <c r="F45" s="162"/>
      <c r="G45" s="115"/>
      <c r="H45" s="163"/>
      <c r="I45" s="156"/>
    </row>
    <row r="46" spans="1:9" x14ac:dyDescent="0.35">
      <c r="A46" s="318">
        <v>44455</v>
      </c>
      <c r="B46" s="114"/>
      <c r="C46" s="64"/>
      <c r="D46" s="114"/>
      <c r="E46" s="115"/>
      <c r="F46" s="163"/>
      <c r="G46" s="114"/>
      <c r="H46" s="162"/>
      <c r="I46" s="157"/>
    </row>
    <row r="47" spans="1:9" x14ac:dyDescent="0.35">
      <c r="A47" s="318">
        <v>44465</v>
      </c>
      <c r="B47" s="114"/>
      <c r="C47" s="64"/>
      <c r="D47" s="114"/>
      <c r="E47" s="115"/>
      <c r="F47" s="163"/>
      <c r="G47" s="114"/>
      <c r="H47" s="162"/>
      <c r="I47" s="157"/>
    </row>
    <row r="48" spans="1:9" x14ac:dyDescent="0.35">
      <c r="A48" s="358" t="s">
        <v>180</v>
      </c>
      <c r="B48" s="187"/>
      <c r="C48" s="187"/>
      <c r="D48" s="187"/>
      <c r="E48" s="187"/>
      <c r="F48" s="187"/>
      <c r="G48" s="187"/>
      <c r="H48" s="401"/>
      <c r="I48" s="187"/>
    </row>
    <row r="49" spans="1:9" x14ac:dyDescent="0.35">
      <c r="A49" s="318">
        <v>44473</v>
      </c>
      <c r="B49" s="114"/>
      <c r="C49" s="64"/>
      <c r="D49" s="115"/>
      <c r="E49" s="114"/>
      <c r="F49" s="162"/>
      <c r="G49" s="115"/>
      <c r="H49" s="163"/>
      <c r="I49" s="156"/>
    </row>
    <row r="50" spans="1:9" x14ac:dyDescent="0.35">
      <c r="A50" s="318">
        <v>44480</v>
      </c>
      <c r="B50" s="114"/>
      <c r="C50" s="64"/>
      <c r="D50" s="114"/>
      <c r="E50" s="115"/>
      <c r="F50" s="163"/>
      <c r="G50" s="114"/>
      <c r="H50" s="162"/>
      <c r="I50" s="157"/>
    </row>
    <row r="51" spans="1:9" x14ac:dyDescent="0.35">
      <c r="A51" s="318">
        <v>44487</v>
      </c>
      <c r="B51" s="114"/>
      <c r="C51" s="64"/>
      <c r="D51" s="114"/>
      <c r="E51" s="114"/>
      <c r="F51" s="162"/>
      <c r="G51" s="114"/>
      <c r="H51" s="162"/>
      <c r="I51" s="157"/>
    </row>
    <row r="52" spans="1:9" x14ac:dyDescent="0.35">
      <c r="A52" s="318">
        <v>44494</v>
      </c>
      <c r="B52" s="114"/>
      <c r="C52" s="64"/>
      <c r="D52" s="114"/>
      <c r="E52" s="114"/>
      <c r="F52" s="162"/>
      <c r="G52" s="114"/>
      <c r="H52" s="162"/>
      <c r="I52" s="157"/>
    </row>
    <row r="53" spans="1:9" x14ac:dyDescent="0.35">
      <c r="A53" s="357" t="s">
        <v>182</v>
      </c>
      <c r="B53" s="187"/>
      <c r="C53" s="187"/>
      <c r="D53" s="187"/>
      <c r="E53" s="187"/>
      <c r="F53" s="187"/>
      <c r="G53" s="187"/>
      <c r="H53" s="401"/>
      <c r="I53" s="187"/>
    </row>
    <row r="54" spans="1:9" x14ac:dyDescent="0.35">
      <c r="A54" s="318">
        <v>44501</v>
      </c>
      <c r="B54" s="114"/>
      <c r="C54" s="64"/>
      <c r="D54" s="114"/>
      <c r="E54" s="114"/>
      <c r="F54" s="162"/>
      <c r="G54" s="114"/>
      <c r="H54" s="162"/>
      <c r="I54" s="157"/>
    </row>
    <row r="55" spans="1:9" x14ac:dyDescent="0.35">
      <c r="A55" s="318">
        <v>44508</v>
      </c>
      <c r="B55" s="114"/>
      <c r="C55" s="64"/>
      <c r="D55" s="115"/>
      <c r="E55" s="114"/>
      <c r="F55" s="162"/>
      <c r="G55" s="115"/>
      <c r="H55" s="163"/>
      <c r="I55" s="156"/>
    </row>
    <row r="56" spans="1:9" x14ac:dyDescent="0.35">
      <c r="A56" s="318">
        <v>44515</v>
      </c>
      <c r="B56" s="114"/>
      <c r="C56" s="64"/>
      <c r="D56" s="114"/>
      <c r="E56" s="115"/>
      <c r="F56" s="163"/>
      <c r="G56" s="114"/>
      <c r="H56" s="162"/>
      <c r="I56" s="157"/>
    </row>
    <row r="57" spans="1:9" x14ac:dyDescent="0.35">
      <c r="A57" s="318">
        <v>44522</v>
      </c>
      <c r="B57" s="114"/>
      <c r="C57" s="64"/>
      <c r="D57" s="114"/>
      <c r="E57" s="114"/>
      <c r="F57" s="162"/>
      <c r="G57" s="114"/>
      <c r="H57" s="162"/>
      <c r="I57" s="157"/>
    </row>
    <row r="58" spans="1:9" x14ac:dyDescent="0.35">
      <c r="A58" s="318">
        <v>44529</v>
      </c>
      <c r="B58" s="114"/>
      <c r="C58" s="64"/>
      <c r="D58" s="114"/>
      <c r="E58" s="114"/>
      <c r="F58" s="162"/>
      <c r="G58" s="114"/>
      <c r="H58" s="162"/>
      <c r="I58" s="157"/>
    </row>
    <row r="59" spans="1:9" x14ac:dyDescent="0.35">
      <c r="A59" s="357" t="s">
        <v>181</v>
      </c>
      <c r="B59" s="187"/>
      <c r="C59" s="187"/>
      <c r="D59" s="187"/>
      <c r="E59" s="187"/>
      <c r="F59" s="187"/>
      <c r="G59" s="187"/>
      <c r="H59" s="401"/>
      <c r="I59" s="187"/>
    </row>
    <row r="60" spans="1:9" x14ac:dyDescent="0.35">
      <c r="A60" s="318">
        <v>44536</v>
      </c>
      <c r="B60" s="114"/>
      <c r="C60" s="64"/>
      <c r="D60" s="114"/>
      <c r="E60" s="114"/>
      <c r="F60" s="162"/>
      <c r="G60" s="114"/>
      <c r="H60" s="162"/>
      <c r="I60" s="157"/>
    </row>
    <row r="61" spans="1:9" x14ac:dyDescent="0.35">
      <c r="A61" s="318">
        <v>44543</v>
      </c>
      <c r="B61" s="114"/>
      <c r="C61" s="64"/>
      <c r="D61" s="115"/>
      <c r="E61" s="114"/>
      <c r="F61" s="162"/>
      <c r="G61" s="115"/>
      <c r="H61" s="163"/>
      <c r="I61" s="156"/>
    </row>
    <row r="62" spans="1:9" x14ac:dyDescent="0.35">
      <c r="A62" s="318">
        <v>44550</v>
      </c>
      <c r="B62" s="114"/>
      <c r="C62" s="64"/>
      <c r="D62" s="114"/>
      <c r="E62" s="115"/>
      <c r="F62" s="163"/>
      <c r="G62" s="114"/>
      <c r="H62" s="162"/>
      <c r="I62" s="157"/>
    </row>
    <row r="63" spans="1:9" x14ac:dyDescent="0.35">
      <c r="A63" s="318">
        <v>44557</v>
      </c>
      <c r="B63" s="114"/>
      <c r="C63" s="64"/>
      <c r="D63" s="114"/>
      <c r="E63" s="114"/>
      <c r="F63" s="162"/>
      <c r="G63" s="114"/>
      <c r="H63" s="162"/>
      <c r="I63" s="157"/>
    </row>
    <row r="64" spans="1:9" ht="15" thickBot="1" x14ac:dyDescent="0.4">
      <c r="A64" s="359" t="s">
        <v>183</v>
      </c>
      <c r="B64" s="148"/>
      <c r="C64" s="148"/>
      <c r="D64" s="148"/>
      <c r="E64" s="148"/>
      <c r="F64" s="148"/>
      <c r="G64" s="148"/>
      <c r="H64" s="406"/>
      <c r="I64" s="148"/>
    </row>
    <row r="65" spans="1:9" ht="15" thickBot="1" x14ac:dyDescent="0.4">
      <c r="A65" s="360" t="s">
        <v>156</v>
      </c>
      <c r="B65" s="361">
        <f>SUM(B64,B59,B53,B48,B44,B38,B33,B28,B22,B17,B11,B6)</f>
        <v>0</v>
      </c>
      <c r="C65" s="361">
        <f>SUM(C64,C59,C53,C48,C44,C38,C33,C28,C22,C17,C11,C6)</f>
        <v>2375.35</v>
      </c>
      <c r="D65" s="361">
        <f t="shared" ref="D65:I65" si="0">SUM(D64,D59,D53,D48,D44,D38,D33,D28,D22,D17,D11,D6)</f>
        <v>0</v>
      </c>
      <c r="E65" s="361">
        <f t="shared" si="0"/>
        <v>0</v>
      </c>
      <c r="F65" s="361">
        <f t="shared" si="0"/>
        <v>0</v>
      </c>
      <c r="G65" s="361">
        <f t="shared" si="0"/>
        <v>0</v>
      </c>
      <c r="H65" s="361">
        <f t="shared" si="0"/>
        <v>0</v>
      </c>
      <c r="I65" s="36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5F9BA0E2AC634AB6EB7128965F24CF" ma:contentTypeVersion="2" ma:contentTypeDescription="Create a new document." ma:contentTypeScope="" ma:versionID="4044bf3bab6a7cdf0f8b83e49b8673fe">
  <xsd:schema xmlns:xsd="http://www.w3.org/2001/XMLSchema" xmlns:xs="http://www.w3.org/2001/XMLSchema" xmlns:p="http://schemas.microsoft.com/office/2006/metadata/properties" xmlns:ns2="0e49d7c5-0214-447a-9604-53fb9d9a2620" targetNamespace="http://schemas.microsoft.com/office/2006/metadata/properties" ma:root="true" ma:fieldsID="5fbebea1b132b27556e1a14b1e101601" ns2:_="">
    <xsd:import namespace="0e49d7c5-0214-447a-9604-53fb9d9a2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9d7c5-0214-447a-9604-53fb9d9a2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1111EB-B3FD-4E1B-8614-335D021123F1}"/>
</file>

<file path=customXml/itemProps2.xml><?xml version="1.0" encoding="utf-8"?>
<ds:datastoreItem xmlns:ds="http://schemas.openxmlformats.org/officeDocument/2006/customXml" ds:itemID="{B44313C8-290F-4110-99A1-BAB36DCF93DE}"/>
</file>

<file path=customXml/itemProps3.xml><?xml version="1.0" encoding="utf-8"?>
<ds:datastoreItem xmlns:ds="http://schemas.openxmlformats.org/officeDocument/2006/customXml" ds:itemID="{E708ECA7-44C6-4D9F-A5E5-D630DF3AF5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3</vt:i4>
      </vt:variant>
    </vt:vector>
  </HeadingPairs>
  <TitlesOfParts>
    <vt:vector size="17" baseType="lpstr">
      <vt:lpstr>Kitwanga2018</vt:lpstr>
      <vt:lpstr>Stewart OCC2018</vt:lpstr>
      <vt:lpstr>Kitwanga 2019</vt:lpstr>
      <vt:lpstr>Stewart 2019</vt:lpstr>
      <vt:lpstr>Hazelton 2019</vt:lpstr>
      <vt:lpstr>Kitwanga 2020</vt:lpstr>
      <vt:lpstr>Stewart 2020</vt:lpstr>
      <vt:lpstr>Hazelton 2020</vt:lpstr>
      <vt:lpstr>Kitwanga 2021</vt:lpstr>
      <vt:lpstr>Stewart 2021</vt:lpstr>
      <vt:lpstr>Hazelton 2021</vt:lpstr>
      <vt:lpstr>Kitwanga 2022</vt:lpstr>
      <vt:lpstr>Stewart 2022</vt:lpstr>
      <vt:lpstr>Hazelton 2022</vt:lpstr>
      <vt:lpstr>Kitwanga chart 2019</vt:lpstr>
      <vt:lpstr>Stewart chart 2019</vt:lpstr>
      <vt:lpstr>Hazelton chart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Jelev</dc:creator>
  <cp:lastModifiedBy>Kieran Griffith</cp:lastModifiedBy>
  <cp:lastPrinted>2018-11-27T17:59:30Z</cp:lastPrinted>
  <dcterms:created xsi:type="dcterms:W3CDTF">2017-10-26T20:00:40Z</dcterms:created>
  <dcterms:modified xsi:type="dcterms:W3CDTF">2022-05-02T15:58:43Z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0x010100DF5F9BA0E2AC634AB6EB7128965F24CF</vt:lpwstr>
  </property>
</Properties>
</file>