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uniga\Downloads\"/>
    </mc:Choice>
  </mc:AlternateContent>
  <bookViews>
    <workbookView xWindow="0" yWindow="0" windowWidth="23040" windowHeight="9876"/>
  </bookViews>
  <sheets>
    <sheet name="Requerimientos" sheetId="1" r:id="rId1"/>
  </sheets>
  <calcPr calcId="162913"/>
</workbook>
</file>

<file path=xl/calcChain.xml><?xml version="1.0" encoding="utf-8"?>
<calcChain xmlns="http://schemas.openxmlformats.org/spreadsheetml/2006/main">
  <c r="P963" i="1" l="1"/>
  <c r="P962" i="1"/>
  <c r="P961" i="1"/>
  <c r="P960" i="1"/>
  <c r="T959" i="1"/>
  <c r="R959" i="1"/>
  <c r="P959" i="1"/>
  <c r="P958" i="1"/>
  <c r="P957" i="1"/>
  <c r="P956" i="1"/>
  <c r="R955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R943" i="1"/>
  <c r="P943" i="1"/>
  <c r="R942" i="1"/>
  <c r="P942" i="1"/>
  <c r="P941" i="1"/>
  <c r="P940" i="1"/>
  <c r="P939" i="1"/>
  <c r="P938" i="1"/>
  <c r="P937" i="1"/>
  <c r="P936" i="1"/>
  <c r="R935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R920" i="1"/>
  <c r="P920" i="1"/>
  <c r="J920" i="1"/>
  <c r="T919" i="1"/>
  <c r="R919" i="1"/>
  <c r="P919" i="1"/>
  <c r="J919" i="1"/>
  <c r="R918" i="1"/>
  <c r="P918" i="1"/>
  <c r="J918" i="1"/>
  <c r="R917" i="1"/>
  <c r="P917" i="1"/>
  <c r="J917" i="1"/>
  <c r="P916" i="1"/>
  <c r="R915" i="1"/>
  <c r="P915" i="1"/>
  <c r="P914" i="1"/>
  <c r="P913" i="1"/>
  <c r="P912" i="1"/>
  <c r="R911" i="1"/>
  <c r="P911" i="1"/>
  <c r="N911" i="1"/>
  <c r="R910" i="1"/>
  <c r="P910" i="1"/>
  <c r="N910" i="1"/>
  <c r="T909" i="1"/>
  <c r="R909" i="1"/>
  <c r="P909" i="1"/>
  <c r="T908" i="1"/>
  <c r="R908" i="1"/>
  <c r="P908" i="1"/>
  <c r="R907" i="1"/>
  <c r="P907" i="1"/>
  <c r="N907" i="1"/>
  <c r="R906" i="1"/>
  <c r="P906" i="1"/>
  <c r="N906" i="1"/>
  <c r="R905" i="1"/>
  <c r="P905" i="1"/>
  <c r="N905" i="1"/>
  <c r="T904" i="1"/>
  <c r="R904" i="1"/>
  <c r="P904" i="1"/>
  <c r="T903" i="1"/>
  <c r="R903" i="1"/>
  <c r="P903" i="1"/>
  <c r="T902" i="1"/>
  <c r="R902" i="1"/>
  <c r="P902" i="1"/>
  <c r="V901" i="1"/>
  <c r="T901" i="1"/>
  <c r="R901" i="1"/>
  <c r="P901" i="1"/>
  <c r="T900" i="1"/>
  <c r="R900" i="1"/>
  <c r="P900" i="1"/>
  <c r="R899" i="1"/>
  <c r="P899" i="1"/>
  <c r="R898" i="1"/>
  <c r="P898" i="1"/>
  <c r="T897" i="1"/>
  <c r="R897" i="1"/>
  <c r="P897" i="1"/>
  <c r="V896" i="1"/>
  <c r="T896" i="1"/>
  <c r="R896" i="1"/>
  <c r="P896" i="1"/>
  <c r="T895" i="1"/>
  <c r="R895" i="1"/>
  <c r="P895" i="1"/>
  <c r="J895" i="1"/>
  <c r="T894" i="1"/>
  <c r="R894" i="1"/>
  <c r="P894" i="1"/>
  <c r="V893" i="1"/>
  <c r="T893" i="1"/>
  <c r="R893" i="1"/>
  <c r="P893" i="1"/>
  <c r="T892" i="1"/>
  <c r="R892" i="1"/>
  <c r="P892" i="1"/>
  <c r="V891" i="1"/>
  <c r="T891" i="1"/>
  <c r="R891" i="1"/>
  <c r="P891" i="1"/>
  <c r="R890" i="1"/>
  <c r="P890" i="1"/>
  <c r="T889" i="1"/>
  <c r="R889" i="1"/>
  <c r="P889" i="1"/>
  <c r="T888" i="1"/>
  <c r="R888" i="1"/>
  <c r="P888" i="1"/>
  <c r="T887" i="1"/>
  <c r="R887" i="1"/>
  <c r="P887" i="1"/>
  <c r="X886" i="1"/>
  <c r="V886" i="1"/>
  <c r="T886" i="1"/>
  <c r="R886" i="1"/>
  <c r="P886" i="1"/>
  <c r="V885" i="1"/>
  <c r="T885" i="1"/>
  <c r="R885" i="1"/>
  <c r="P885" i="1"/>
  <c r="R884" i="1"/>
  <c r="P884" i="1"/>
  <c r="R883" i="1"/>
  <c r="P883" i="1"/>
  <c r="R882" i="1"/>
  <c r="P882" i="1"/>
  <c r="R881" i="1"/>
  <c r="P881" i="1"/>
  <c r="R880" i="1"/>
  <c r="P880" i="1"/>
  <c r="R879" i="1"/>
  <c r="P879" i="1"/>
  <c r="R878" i="1"/>
  <c r="P878" i="1"/>
  <c r="T877" i="1"/>
  <c r="R877" i="1"/>
  <c r="P877" i="1"/>
  <c r="R876" i="1"/>
  <c r="P876" i="1"/>
  <c r="T875" i="1"/>
  <c r="R875" i="1"/>
  <c r="P875" i="1"/>
  <c r="V874" i="1"/>
  <c r="T874" i="1"/>
  <c r="R874" i="1"/>
  <c r="P874" i="1"/>
  <c r="T873" i="1"/>
  <c r="R873" i="1"/>
  <c r="P873" i="1"/>
  <c r="V872" i="1"/>
  <c r="T872" i="1"/>
  <c r="R872" i="1"/>
  <c r="P872" i="1"/>
  <c r="T871" i="1"/>
  <c r="R871" i="1"/>
  <c r="P871" i="1"/>
  <c r="T870" i="1"/>
  <c r="R870" i="1"/>
  <c r="P870" i="1"/>
  <c r="T869" i="1"/>
  <c r="R869" i="1"/>
  <c r="P869" i="1"/>
  <c r="T868" i="1"/>
  <c r="R868" i="1"/>
  <c r="P868" i="1"/>
  <c r="T867" i="1"/>
  <c r="R867" i="1"/>
  <c r="P867" i="1"/>
  <c r="V866" i="1"/>
  <c r="T866" i="1"/>
  <c r="R866" i="1"/>
  <c r="P866" i="1"/>
  <c r="R865" i="1"/>
  <c r="P865" i="1"/>
  <c r="J865" i="1"/>
  <c r="R864" i="1"/>
  <c r="P864" i="1"/>
  <c r="J864" i="1"/>
  <c r="V863" i="1"/>
  <c r="T863" i="1"/>
  <c r="R863" i="1"/>
  <c r="P863" i="1"/>
  <c r="T862" i="1"/>
  <c r="R862" i="1"/>
  <c r="P862" i="1"/>
  <c r="T861" i="1"/>
  <c r="R861" i="1"/>
  <c r="P861" i="1"/>
  <c r="T860" i="1"/>
  <c r="R860" i="1"/>
  <c r="P860" i="1"/>
  <c r="X859" i="1"/>
  <c r="V859" i="1"/>
  <c r="T859" i="1"/>
  <c r="R859" i="1"/>
  <c r="P859" i="1"/>
  <c r="J859" i="1"/>
  <c r="T858" i="1"/>
  <c r="R858" i="1"/>
  <c r="P858" i="1"/>
  <c r="N858" i="1"/>
  <c r="V857" i="1"/>
  <c r="T857" i="1"/>
  <c r="R857" i="1"/>
  <c r="P857" i="1"/>
  <c r="X856" i="1"/>
  <c r="V856" i="1"/>
  <c r="T856" i="1"/>
  <c r="R856" i="1"/>
  <c r="P856" i="1"/>
  <c r="T855" i="1"/>
  <c r="R855" i="1"/>
  <c r="P855" i="1"/>
  <c r="T854" i="1"/>
  <c r="R854" i="1"/>
  <c r="P854" i="1"/>
  <c r="T853" i="1"/>
  <c r="R853" i="1"/>
  <c r="P853" i="1"/>
  <c r="T852" i="1"/>
  <c r="R852" i="1"/>
  <c r="P852" i="1"/>
  <c r="T851" i="1"/>
  <c r="R851" i="1"/>
  <c r="P851" i="1"/>
  <c r="T850" i="1"/>
  <c r="R850" i="1"/>
  <c r="P850" i="1"/>
  <c r="V849" i="1"/>
  <c r="T849" i="1"/>
  <c r="R849" i="1"/>
  <c r="P849" i="1"/>
  <c r="T848" i="1"/>
  <c r="R848" i="1"/>
  <c r="P848" i="1"/>
  <c r="T847" i="1"/>
  <c r="R847" i="1"/>
  <c r="P847" i="1"/>
  <c r="T846" i="1"/>
  <c r="R846" i="1"/>
  <c r="P846" i="1"/>
  <c r="T845" i="1"/>
  <c r="R845" i="1"/>
  <c r="P845" i="1"/>
  <c r="V844" i="1"/>
  <c r="T844" i="1"/>
  <c r="R844" i="1"/>
  <c r="P844" i="1"/>
  <c r="R843" i="1"/>
  <c r="P843" i="1"/>
  <c r="P842" i="1"/>
  <c r="V841" i="1"/>
  <c r="T841" i="1"/>
  <c r="R841" i="1"/>
  <c r="P841" i="1"/>
  <c r="T840" i="1"/>
  <c r="R840" i="1"/>
  <c r="P840" i="1"/>
  <c r="V839" i="1"/>
  <c r="T839" i="1"/>
  <c r="R839" i="1"/>
  <c r="P839" i="1"/>
  <c r="V838" i="1"/>
  <c r="T838" i="1"/>
  <c r="R838" i="1"/>
  <c r="P838" i="1"/>
  <c r="V837" i="1"/>
  <c r="T837" i="1"/>
  <c r="R837" i="1"/>
  <c r="P837" i="1"/>
  <c r="T836" i="1"/>
  <c r="R836" i="1"/>
  <c r="P836" i="1"/>
  <c r="X835" i="1"/>
  <c r="V835" i="1"/>
  <c r="T835" i="1"/>
  <c r="R835" i="1"/>
  <c r="P835" i="1"/>
  <c r="T834" i="1"/>
  <c r="R834" i="1"/>
  <c r="P834" i="1"/>
  <c r="T833" i="1"/>
  <c r="R833" i="1"/>
  <c r="P833" i="1"/>
  <c r="R832" i="1"/>
  <c r="P832" i="1"/>
  <c r="R831" i="1"/>
  <c r="P831" i="1"/>
  <c r="R830" i="1"/>
  <c r="P830" i="1"/>
  <c r="R829" i="1"/>
  <c r="P829" i="1"/>
  <c r="R828" i="1"/>
  <c r="P828" i="1"/>
  <c r="R827" i="1"/>
  <c r="P827" i="1"/>
  <c r="R826" i="1"/>
  <c r="P826" i="1"/>
  <c r="R825" i="1"/>
  <c r="P825" i="1"/>
  <c r="R824" i="1"/>
  <c r="P824" i="1"/>
  <c r="R823" i="1"/>
  <c r="P823" i="1"/>
  <c r="R822" i="1"/>
  <c r="P822" i="1"/>
  <c r="R821" i="1"/>
  <c r="P821" i="1"/>
  <c r="T820" i="1"/>
  <c r="R820" i="1"/>
  <c r="P820" i="1"/>
  <c r="T819" i="1"/>
  <c r="R819" i="1"/>
  <c r="P819" i="1"/>
  <c r="V818" i="1"/>
  <c r="T818" i="1"/>
  <c r="R818" i="1"/>
  <c r="P818" i="1"/>
  <c r="X817" i="1"/>
  <c r="V817" i="1"/>
  <c r="T817" i="1"/>
  <c r="R817" i="1"/>
  <c r="P817" i="1"/>
  <c r="T816" i="1"/>
  <c r="R816" i="1"/>
  <c r="P816" i="1"/>
  <c r="V815" i="1"/>
  <c r="T815" i="1"/>
  <c r="R815" i="1"/>
  <c r="P815" i="1"/>
  <c r="X814" i="1"/>
  <c r="V814" i="1"/>
  <c r="T814" i="1"/>
  <c r="R814" i="1"/>
  <c r="P814" i="1"/>
  <c r="V813" i="1"/>
  <c r="T813" i="1"/>
  <c r="R813" i="1"/>
  <c r="P813" i="1"/>
  <c r="V812" i="1"/>
  <c r="T812" i="1"/>
  <c r="R812" i="1"/>
  <c r="P812" i="1"/>
  <c r="T811" i="1"/>
  <c r="R811" i="1"/>
  <c r="P811" i="1"/>
  <c r="V810" i="1"/>
  <c r="T810" i="1"/>
  <c r="R810" i="1"/>
  <c r="P810" i="1"/>
  <c r="J810" i="1"/>
  <c r="T809" i="1"/>
  <c r="R809" i="1"/>
  <c r="P809" i="1"/>
  <c r="T808" i="1"/>
  <c r="R808" i="1"/>
  <c r="P808" i="1"/>
  <c r="T807" i="1"/>
  <c r="R807" i="1"/>
  <c r="P807" i="1"/>
  <c r="T806" i="1"/>
  <c r="R806" i="1"/>
  <c r="P806" i="1"/>
  <c r="R805" i="1"/>
  <c r="P805" i="1"/>
  <c r="R804" i="1"/>
  <c r="P804" i="1"/>
  <c r="R803" i="1"/>
  <c r="P803" i="1"/>
  <c r="R802" i="1"/>
  <c r="P802" i="1"/>
  <c r="P801" i="1"/>
  <c r="T800" i="1"/>
  <c r="R800" i="1"/>
  <c r="P800" i="1"/>
  <c r="R799" i="1"/>
  <c r="P799" i="1"/>
  <c r="R798" i="1"/>
  <c r="P798" i="1"/>
  <c r="R797" i="1"/>
  <c r="P797" i="1"/>
  <c r="N797" i="1"/>
  <c r="R796" i="1"/>
  <c r="P796" i="1"/>
  <c r="N796" i="1"/>
  <c r="T795" i="1"/>
  <c r="R795" i="1"/>
  <c r="P795" i="1"/>
  <c r="N795" i="1"/>
  <c r="V794" i="1"/>
  <c r="T794" i="1"/>
  <c r="R794" i="1"/>
  <c r="P794" i="1"/>
  <c r="R793" i="1"/>
  <c r="P793" i="1"/>
  <c r="R792" i="1"/>
  <c r="P792" i="1"/>
  <c r="T791" i="1"/>
  <c r="R791" i="1"/>
  <c r="P791" i="1"/>
  <c r="R790" i="1"/>
  <c r="P790" i="1"/>
  <c r="T789" i="1"/>
  <c r="R789" i="1"/>
  <c r="P789" i="1"/>
  <c r="R788" i="1"/>
  <c r="P788" i="1"/>
  <c r="R787" i="1"/>
  <c r="P787" i="1"/>
  <c r="N787" i="1"/>
  <c r="R786" i="1"/>
  <c r="P786" i="1"/>
  <c r="N786" i="1"/>
  <c r="R785" i="1"/>
  <c r="P785" i="1"/>
  <c r="R784" i="1"/>
  <c r="P784" i="1"/>
  <c r="R783" i="1"/>
  <c r="P783" i="1"/>
  <c r="R782" i="1"/>
  <c r="P782" i="1"/>
  <c r="R781" i="1"/>
  <c r="P781" i="1"/>
  <c r="N781" i="1"/>
  <c r="T780" i="1"/>
  <c r="R780" i="1"/>
  <c r="P780" i="1"/>
  <c r="T779" i="1"/>
  <c r="R779" i="1"/>
  <c r="P779" i="1"/>
  <c r="T778" i="1"/>
  <c r="R778" i="1"/>
  <c r="P778" i="1"/>
  <c r="V777" i="1"/>
  <c r="T777" i="1"/>
  <c r="R777" i="1"/>
  <c r="P777" i="1"/>
  <c r="T776" i="1"/>
  <c r="R776" i="1"/>
  <c r="P776" i="1"/>
  <c r="V775" i="1"/>
  <c r="T775" i="1"/>
  <c r="R775" i="1"/>
  <c r="P775" i="1"/>
  <c r="T774" i="1"/>
  <c r="R774" i="1"/>
  <c r="P774" i="1"/>
  <c r="Z773" i="1"/>
  <c r="X773" i="1"/>
  <c r="V773" i="1"/>
  <c r="T773" i="1"/>
  <c r="R773" i="1"/>
  <c r="P773" i="1"/>
  <c r="X772" i="1"/>
  <c r="V772" i="1"/>
  <c r="T772" i="1"/>
  <c r="R772" i="1"/>
  <c r="P772" i="1"/>
  <c r="J772" i="1"/>
  <c r="X771" i="1"/>
  <c r="V771" i="1"/>
  <c r="T771" i="1"/>
  <c r="R771" i="1"/>
  <c r="P771" i="1"/>
  <c r="J771" i="1"/>
  <c r="AB770" i="1"/>
  <c r="Z770" i="1"/>
  <c r="X770" i="1"/>
  <c r="V770" i="1"/>
  <c r="T770" i="1"/>
  <c r="R770" i="1"/>
  <c r="P770" i="1"/>
  <c r="AB769" i="1"/>
  <c r="Z769" i="1"/>
  <c r="X769" i="1"/>
  <c r="V769" i="1"/>
  <c r="T769" i="1"/>
  <c r="R769" i="1"/>
  <c r="P769" i="1"/>
  <c r="AB768" i="1"/>
  <c r="Z768" i="1"/>
  <c r="X768" i="1"/>
  <c r="V768" i="1"/>
  <c r="T768" i="1"/>
  <c r="R768" i="1"/>
  <c r="P768" i="1"/>
  <c r="Z767" i="1"/>
  <c r="X767" i="1"/>
  <c r="V767" i="1"/>
  <c r="T767" i="1"/>
  <c r="R767" i="1"/>
  <c r="P767" i="1"/>
  <c r="AB766" i="1"/>
  <c r="Z766" i="1"/>
  <c r="X766" i="1"/>
  <c r="V766" i="1"/>
  <c r="T766" i="1"/>
  <c r="R766" i="1"/>
  <c r="P766" i="1"/>
  <c r="X765" i="1"/>
  <c r="V765" i="1"/>
  <c r="T765" i="1"/>
  <c r="R765" i="1"/>
  <c r="P765" i="1"/>
  <c r="Z764" i="1"/>
  <c r="X764" i="1"/>
  <c r="V764" i="1"/>
  <c r="T764" i="1"/>
  <c r="R764" i="1"/>
  <c r="P764" i="1"/>
  <c r="Z763" i="1"/>
  <c r="X763" i="1"/>
  <c r="V763" i="1"/>
  <c r="T763" i="1"/>
  <c r="R763" i="1"/>
  <c r="P763" i="1"/>
  <c r="Z762" i="1"/>
  <c r="X762" i="1"/>
  <c r="V762" i="1"/>
  <c r="T762" i="1"/>
  <c r="R762" i="1"/>
  <c r="P762" i="1"/>
  <c r="Z761" i="1"/>
  <c r="X761" i="1"/>
  <c r="V761" i="1"/>
  <c r="T761" i="1"/>
  <c r="R761" i="1"/>
  <c r="P761" i="1"/>
  <c r="AB760" i="1"/>
  <c r="Z760" i="1"/>
  <c r="X760" i="1"/>
  <c r="V760" i="1"/>
  <c r="T760" i="1"/>
  <c r="R760" i="1"/>
  <c r="P760" i="1"/>
  <c r="Z759" i="1"/>
  <c r="X759" i="1"/>
  <c r="V759" i="1"/>
  <c r="T759" i="1"/>
  <c r="R759" i="1"/>
  <c r="P759" i="1"/>
  <c r="AB758" i="1"/>
  <c r="Z758" i="1"/>
  <c r="X758" i="1"/>
  <c r="V758" i="1"/>
  <c r="T758" i="1"/>
  <c r="R758" i="1"/>
  <c r="P758" i="1"/>
  <c r="X757" i="1"/>
  <c r="V757" i="1"/>
  <c r="T757" i="1"/>
  <c r="R757" i="1"/>
  <c r="P757" i="1"/>
  <c r="R756" i="1"/>
  <c r="P756" i="1"/>
  <c r="R755" i="1"/>
  <c r="P755" i="1"/>
  <c r="P754" i="1"/>
  <c r="R753" i="1"/>
  <c r="P753" i="1"/>
  <c r="R752" i="1"/>
  <c r="P752" i="1"/>
  <c r="R751" i="1"/>
  <c r="P751" i="1"/>
  <c r="R750" i="1"/>
  <c r="P750" i="1"/>
  <c r="R749" i="1"/>
  <c r="P749" i="1"/>
  <c r="R748" i="1"/>
  <c r="P748" i="1"/>
  <c r="X747" i="1"/>
  <c r="V747" i="1"/>
  <c r="T747" i="1"/>
  <c r="R747" i="1"/>
  <c r="P747" i="1"/>
  <c r="X746" i="1"/>
  <c r="V746" i="1"/>
  <c r="T746" i="1"/>
  <c r="R746" i="1"/>
  <c r="P746" i="1"/>
  <c r="J746" i="1"/>
  <c r="V745" i="1"/>
  <c r="T745" i="1"/>
  <c r="R745" i="1"/>
  <c r="P745" i="1"/>
  <c r="J745" i="1"/>
  <c r="T744" i="1"/>
  <c r="R744" i="1"/>
  <c r="P744" i="1"/>
  <c r="T743" i="1"/>
  <c r="R743" i="1"/>
  <c r="P743" i="1"/>
  <c r="V742" i="1"/>
  <c r="T742" i="1"/>
  <c r="R742" i="1"/>
  <c r="P742" i="1"/>
  <c r="T741" i="1"/>
  <c r="R741" i="1"/>
  <c r="P741" i="1"/>
  <c r="R740" i="1"/>
  <c r="P740" i="1"/>
  <c r="R739" i="1"/>
  <c r="P739" i="1"/>
  <c r="R738" i="1"/>
  <c r="P738" i="1"/>
  <c r="R737" i="1"/>
  <c r="P737" i="1"/>
  <c r="R736" i="1"/>
  <c r="P736" i="1"/>
  <c r="R735" i="1"/>
  <c r="P735" i="1"/>
  <c r="R734" i="1"/>
  <c r="P734" i="1"/>
  <c r="T733" i="1"/>
  <c r="R733" i="1"/>
  <c r="P733" i="1"/>
  <c r="R732" i="1"/>
  <c r="P732" i="1"/>
  <c r="R731" i="1"/>
  <c r="P731" i="1"/>
  <c r="R730" i="1"/>
  <c r="P730" i="1"/>
  <c r="R729" i="1"/>
  <c r="P729" i="1"/>
  <c r="R728" i="1"/>
  <c r="P728" i="1"/>
  <c r="R727" i="1"/>
  <c r="P727" i="1"/>
  <c r="R726" i="1"/>
  <c r="P726" i="1"/>
  <c r="R725" i="1"/>
  <c r="P725" i="1"/>
  <c r="R724" i="1"/>
  <c r="P724" i="1"/>
  <c r="T723" i="1"/>
  <c r="R723" i="1"/>
  <c r="P723" i="1"/>
  <c r="R722" i="1"/>
  <c r="P722" i="1"/>
  <c r="R721" i="1"/>
  <c r="P721" i="1"/>
  <c r="R720" i="1"/>
  <c r="P720" i="1"/>
  <c r="R719" i="1"/>
  <c r="P719" i="1"/>
  <c r="R718" i="1"/>
  <c r="P718" i="1"/>
  <c r="N718" i="1"/>
  <c r="R717" i="1"/>
  <c r="P717" i="1"/>
  <c r="N717" i="1"/>
  <c r="T716" i="1"/>
  <c r="R716" i="1"/>
  <c r="P716" i="1"/>
  <c r="N716" i="1"/>
  <c r="R715" i="1"/>
  <c r="P715" i="1"/>
  <c r="T714" i="1"/>
  <c r="R714" i="1"/>
  <c r="P714" i="1"/>
  <c r="T713" i="1"/>
  <c r="R713" i="1"/>
  <c r="P713" i="1"/>
  <c r="X712" i="1"/>
  <c r="V712" i="1"/>
  <c r="T712" i="1"/>
  <c r="R712" i="1"/>
  <c r="P712" i="1"/>
  <c r="Z711" i="1"/>
  <c r="X711" i="1"/>
  <c r="V711" i="1"/>
  <c r="T711" i="1"/>
  <c r="R711" i="1"/>
  <c r="P711" i="1"/>
  <c r="T710" i="1"/>
  <c r="R710" i="1"/>
  <c r="P710" i="1"/>
  <c r="R709" i="1"/>
  <c r="P709" i="1"/>
  <c r="T708" i="1"/>
  <c r="R708" i="1"/>
  <c r="P708" i="1"/>
  <c r="T707" i="1"/>
  <c r="R707" i="1"/>
  <c r="P707" i="1"/>
  <c r="V706" i="1"/>
  <c r="T706" i="1"/>
  <c r="R706" i="1"/>
  <c r="P706" i="1"/>
  <c r="R705" i="1"/>
  <c r="P705" i="1"/>
  <c r="T704" i="1"/>
  <c r="R704" i="1"/>
  <c r="P704" i="1"/>
  <c r="T703" i="1"/>
  <c r="R703" i="1"/>
  <c r="P703" i="1"/>
  <c r="V702" i="1"/>
  <c r="T702" i="1"/>
  <c r="R702" i="1"/>
  <c r="P702" i="1"/>
  <c r="V701" i="1"/>
  <c r="T701" i="1"/>
  <c r="R701" i="1"/>
  <c r="P701" i="1"/>
  <c r="V700" i="1"/>
  <c r="T700" i="1"/>
  <c r="R700" i="1"/>
  <c r="P700" i="1"/>
  <c r="V699" i="1"/>
  <c r="T699" i="1"/>
  <c r="R699" i="1"/>
  <c r="P699" i="1"/>
  <c r="V698" i="1"/>
  <c r="T698" i="1"/>
  <c r="R698" i="1"/>
  <c r="P698" i="1"/>
  <c r="T697" i="1"/>
  <c r="R697" i="1"/>
  <c r="P697" i="1"/>
  <c r="T696" i="1"/>
  <c r="R696" i="1"/>
  <c r="P696" i="1"/>
  <c r="R695" i="1"/>
  <c r="P695" i="1"/>
  <c r="T694" i="1"/>
  <c r="R694" i="1"/>
  <c r="P694" i="1"/>
  <c r="T693" i="1"/>
  <c r="R693" i="1"/>
  <c r="P693" i="1"/>
  <c r="T692" i="1"/>
  <c r="R692" i="1"/>
  <c r="P692" i="1"/>
  <c r="T691" i="1"/>
  <c r="R691" i="1"/>
  <c r="P691" i="1"/>
  <c r="T690" i="1"/>
  <c r="R690" i="1"/>
  <c r="P690" i="1"/>
  <c r="T689" i="1"/>
  <c r="R689" i="1"/>
  <c r="P689" i="1"/>
  <c r="T688" i="1"/>
  <c r="R688" i="1"/>
  <c r="P688" i="1"/>
  <c r="P687" i="1"/>
  <c r="R686" i="1"/>
  <c r="P686" i="1"/>
  <c r="T685" i="1"/>
  <c r="R685" i="1"/>
  <c r="P685" i="1"/>
  <c r="T684" i="1"/>
  <c r="R684" i="1"/>
  <c r="P684" i="1"/>
  <c r="R683" i="1"/>
  <c r="P683" i="1"/>
  <c r="T682" i="1"/>
  <c r="R682" i="1"/>
  <c r="P682" i="1"/>
  <c r="R681" i="1"/>
  <c r="P681" i="1"/>
  <c r="N681" i="1"/>
  <c r="R680" i="1"/>
  <c r="P680" i="1"/>
  <c r="N680" i="1"/>
  <c r="R679" i="1"/>
  <c r="P679" i="1"/>
  <c r="N679" i="1"/>
  <c r="R678" i="1"/>
  <c r="P678" i="1"/>
  <c r="N678" i="1"/>
  <c r="R677" i="1"/>
  <c r="P677" i="1"/>
  <c r="N677" i="1"/>
  <c r="T676" i="1"/>
  <c r="R676" i="1"/>
  <c r="P676" i="1"/>
  <c r="R675" i="1"/>
  <c r="P675" i="1"/>
  <c r="N675" i="1"/>
  <c r="T674" i="1"/>
  <c r="R674" i="1"/>
  <c r="P674" i="1"/>
  <c r="N674" i="1"/>
  <c r="X673" i="1"/>
  <c r="V673" i="1"/>
  <c r="T673" i="1"/>
  <c r="R673" i="1"/>
  <c r="P673" i="1"/>
  <c r="T672" i="1"/>
  <c r="R672" i="1"/>
  <c r="P672" i="1"/>
  <c r="T671" i="1"/>
  <c r="R671" i="1"/>
  <c r="P671" i="1"/>
  <c r="T670" i="1"/>
  <c r="R670" i="1"/>
  <c r="P670" i="1"/>
  <c r="T669" i="1"/>
  <c r="R669" i="1"/>
  <c r="P669" i="1"/>
  <c r="R668" i="1"/>
  <c r="P668" i="1"/>
  <c r="N668" i="1"/>
  <c r="R667" i="1"/>
  <c r="P667" i="1"/>
  <c r="N667" i="1"/>
  <c r="R666" i="1"/>
  <c r="P666" i="1"/>
  <c r="N666" i="1"/>
  <c r="T665" i="1"/>
  <c r="R665" i="1"/>
  <c r="P665" i="1"/>
  <c r="T664" i="1"/>
  <c r="R664" i="1"/>
  <c r="P664" i="1"/>
  <c r="T663" i="1"/>
  <c r="R663" i="1"/>
  <c r="P663" i="1"/>
  <c r="T662" i="1"/>
  <c r="R662" i="1"/>
  <c r="P662" i="1"/>
  <c r="T661" i="1"/>
  <c r="R661" i="1"/>
  <c r="P661" i="1"/>
  <c r="T660" i="1"/>
  <c r="R660" i="1"/>
  <c r="P660" i="1"/>
  <c r="T659" i="1"/>
  <c r="R659" i="1"/>
  <c r="P659" i="1"/>
  <c r="R658" i="1"/>
  <c r="P658" i="1"/>
  <c r="N658" i="1"/>
  <c r="T657" i="1"/>
  <c r="R657" i="1"/>
  <c r="P657" i="1"/>
  <c r="T656" i="1"/>
  <c r="R656" i="1"/>
  <c r="P656" i="1"/>
  <c r="T655" i="1"/>
  <c r="R655" i="1"/>
  <c r="P655" i="1"/>
  <c r="V654" i="1"/>
  <c r="T654" i="1"/>
  <c r="R654" i="1"/>
  <c r="P654" i="1"/>
  <c r="V653" i="1"/>
  <c r="T653" i="1"/>
  <c r="R653" i="1"/>
  <c r="P653" i="1"/>
  <c r="T652" i="1"/>
  <c r="R652" i="1"/>
  <c r="P652" i="1"/>
  <c r="R651" i="1"/>
  <c r="P651" i="1"/>
  <c r="R650" i="1"/>
  <c r="P650" i="1"/>
  <c r="J650" i="1"/>
  <c r="R649" i="1"/>
  <c r="P649" i="1"/>
  <c r="R648" i="1"/>
  <c r="P648" i="1"/>
  <c r="R647" i="1"/>
  <c r="P647" i="1"/>
  <c r="T646" i="1"/>
  <c r="R646" i="1"/>
  <c r="P646" i="1"/>
  <c r="T645" i="1"/>
  <c r="R645" i="1"/>
  <c r="P645" i="1"/>
  <c r="T644" i="1"/>
  <c r="R644" i="1"/>
  <c r="P644" i="1"/>
  <c r="T643" i="1"/>
  <c r="R643" i="1"/>
  <c r="P643" i="1"/>
  <c r="R642" i="1"/>
  <c r="P642" i="1"/>
  <c r="R641" i="1"/>
  <c r="P641" i="1"/>
  <c r="R640" i="1"/>
  <c r="P640" i="1"/>
  <c r="J640" i="1"/>
  <c r="R639" i="1"/>
  <c r="P639" i="1"/>
  <c r="J639" i="1"/>
  <c r="T638" i="1"/>
  <c r="R638" i="1"/>
  <c r="P638" i="1"/>
  <c r="R637" i="1"/>
  <c r="P637" i="1"/>
  <c r="R636" i="1"/>
  <c r="P636" i="1"/>
  <c r="T635" i="1"/>
  <c r="R635" i="1"/>
  <c r="P635" i="1"/>
  <c r="T634" i="1"/>
  <c r="R634" i="1"/>
  <c r="P634" i="1"/>
  <c r="T633" i="1"/>
  <c r="R633" i="1"/>
  <c r="P633" i="1"/>
  <c r="T632" i="1"/>
  <c r="R632" i="1"/>
  <c r="P632" i="1"/>
  <c r="T631" i="1"/>
  <c r="R631" i="1"/>
  <c r="P631" i="1"/>
  <c r="V630" i="1"/>
  <c r="T630" i="1"/>
  <c r="R630" i="1"/>
  <c r="P630" i="1"/>
  <c r="V629" i="1"/>
  <c r="T629" i="1"/>
  <c r="R629" i="1"/>
  <c r="P629" i="1"/>
  <c r="Z628" i="1"/>
  <c r="X628" i="1"/>
  <c r="V628" i="1"/>
  <c r="T628" i="1"/>
  <c r="R628" i="1"/>
  <c r="P628" i="1"/>
  <c r="V627" i="1"/>
  <c r="T627" i="1"/>
  <c r="R627" i="1"/>
  <c r="P627" i="1"/>
  <c r="X626" i="1"/>
  <c r="V626" i="1"/>
  <c r="T626" i="1"/>
  <c r="R626" i="1"/>
  <c r="P626" i="1"/>
  <c r="X625" i="1"/>
  <c r="V625" i="1"/>
  <c r="T625" i="1"/>
  <c r="R625" i="1"/>
  <c r="P625" i="1"/>
  <c r="X624" i="1"/>
  <c r="V624" i="1"/>
  <c r="T624" i="1"/>
  <c r="R624" i="1"/>
  <c r="P624" i="1"/>
  <c r="V623" i="1"/>
  <c r="T623" i="1"/>
  <c r="R623" i="1"/>
  <c r="P623" i="1"/>
  <c r="X622" i="1"/>
  <c r="V622" i="1"/>
  <c r="T622" i="1"/>
  <c r="R622" i="1"/>
  <c r="P622" i="1"/>
  <c r="V621" i="1"/>
  <c r="T621" i="1"/>
  <c r="R621" i="1"/>
  <c r="P621" i="1"/>
  <c r="V620" i="1"/>
  <c r="T620" i="1"/>
  <c r="R620" i="1"/>
  <c r="P620" i="1"/>
  <c r="V619" i="1"/>
  <c r="T619" i="1"/>
  <c r="R619" i="1"/>
  <c r="P619" i="1"/>
  <c r="T618" i="1"/>
  <c r="R618" i="1"/>
  <c r="P618" i="1"/>
  <c r="R617" i="1"/>
  <c r="P617" i="1"/>
  <c r="T616" i="1"/>
  <c r="R616" i="1"/>
  <c r="P616" i="1"/>
  <c r="V615" i="1"/>
  <c r="T615" i="1"/>
  <c r="R615" i="1"/>
  <c r="P615" i="1"/>
  <c r="V614" i="1"/>
  <c r="T614" i="1"/>
  <c r="R614" i="1"/>
  <c r="P614" i="1"/>
  <c r="V613" i="1"/>
  <c r="T613" i="1"/>
  <c r="R613" i="1"/>
  <c r="P613" i="1"/>
  <c r="V612" i="1"/>
  <c r="T612" i="1"/>
  <c r="R612" i="1"/>
  <c r="P612" i="1"/>
  <c r="X611" i="1"/>
  <c r="V611" i="1"/>
  <c r="T611" i="1"/>
  <c r="R611" i="1"/>
  <c r="P611" i="1"/>
  <c r="T610" i="1"/>
  <c r="R610" i="1"/>
  <c r="P610" i="1"/>
  <c r="X609" i="1"/>
  <c r="V609" i="1"/>
  <c r="T609" i="1"/>
  <c r="R609" i="1"/>
  <c r="P609" i="1"/>
  <c r="V608" i="1"/>
  <c r="T608" i="1"/>
  <c r="R608" i="1"/>
  <c r="P608" i="1"/>
  <c r="X607" i="1"/>
  <c r="V607" i="1"/>
  <c r="T607" i="1"/>
  <c r="R607" i="1"/>
  <c r="P607" i="1"/>
  <c r="X606" i="1"/>
  <c r="V606" i="1"/>
  <c r="T606" i="1"/>
  <c r="R606" i="1"/>
  <c r="P606" i="1"/>
  <c r="V605" i="1"/>
  <c r="T605" i="1"/>
  <c r="R605" i="1"/>
  <c r="P605" i="1"/>
  <c r="J605" i="1"/>
  <c r="V604" i="1"/>
  <c r="T604" i="1"/>
  <c r="R604" i="1"/>
  <c r="P604" i="1"/>
  <c r="V603" i="1"/>
  <c r="T603" i="1"/>
  <c r="R603" i="1"/>
  <c r="P603" i="1"/>
  <c r="X602" i="1"/>
  <c r="V602" i="1"/>
  <c r="T602" i="1"/>
  <c r="R602" i="1"/>
  <c r="P602" i="1"/>
  <c r="V601" i="1"/>
  <c r="T601" i="1"/>
  <c r="R601" i="1"/>
  <c r="P601" i="1"/>
  <c r="X600" i="1"/>
  <c r="V600" i="1"/>
  <c r="T600" i="1"/>
  <c r="R600" i="1"/>
  <c r="P600" i="1"/>
  <c r="V599" i="1"/>
  <c r="T599" i="1"/>
  <c r="R599" i="1"/>
  <c r="P599" i="1"/>
  <c r="T598" i="1"/>
  <c r="R598" i="1"/>
  <c r="P598" i="1"/>
  <c r="R597" i="1"/>
  <c r="P597" i="1"/>
  <c r="T596" i="1"/>
  <c r="R596" i="1"/>
  <c r="P596" i="1"/>
  <c r="V595" i="1"/>
  <c r="T595" i="1"/>
  <c r="R595" i="1"/>
  <c r="P595" i="1"/>
  <c r="T594" i="1"/>
  <c r="R594" i="1"/>
  <c r="P594" i="1"/>
  <c r="T593" i="1"/>
  <c r="R593" i="1"/>
  <c r="P593" i="1"/>
  <c r="T592" i="1"/>
  <c r="R592" i="1"/>
  <c r="P592" i="1"/>
  <c r="R591" i="1"/>
  <c r="P591" i="1"/>
  <c r="R590" i="1"/>
  <c r="P590" i="1"/>
  <c r="R589" i="1"/>
  <c r="P589" i="1"/>
  <c r="R588" i="1"/>
  <c r="P588" i="1"/>
  <c r="R587" i="1"/>
  <c r="P587" i="1"/>
  <c r="R586" i="1"/>
  <c r="P586" i="1"/>
  <c r="R585" i="1"/>
  <c r="P585" i="1"/>
  <c r="R584" i="1"/>
  <c r="P584" i="1"/>
  <c r="R583" i="1"/>
  <c r="P583" i="1"/>
  <c r="R582" i="1"/>
  <c r="P582" i="1"/>
  <c r="R581" i="1"/>
  <c r="P581" i="1"/>
  <c r="R580" i="1"/>
  <c r="P580" i="1"/>
  <c r="R579" i="1"/>
  <c r="P579" i="1"/>
  <c r="T578" i="1"/>
  <c r="R578" i="1"/>
  <c r="P578" i="1"/>
  <c r="T577" i="1"/>
  <c r="R577" i="1"/>
  <c r="P577" i="1"/>
  <c r="V576" i="1"/>
  <c r="T576" i="1"/>
  <c r="R576" i="1"/>
  <c r="P576" i="1"/>
  <c r="V575" i="1"/>
  <c r="T575" i="1"/>
  <c r="R575" i="1"/>
  <c r="P575" i="1"/>
  <c r="V574" i="1"/>
  <c r="T574" i="1"/>
  <c r="R574" i="1"/>
  <c r="P574" i="1"/>
  <c r="P573" i="1"/>
  <c r="P572" i="1"/>
  <c r="R571" i="1"/>
  <c r="P571" i="1"/>
  <c r="X570" i="1"/>
  <c r="V570" i="1"/>
  <c r="T570" i="1"/>
  <c r="R570" i="1"/>
  <c r="P570" i="1"/>
  <c r="R569" i="1"/>
  <c r="P569" i="1"/>
  <c r="J569" i="1"/>
  <c r="R568" i="1"/>
  <c r="P568" i="1"/>
  <c r="J568" i="1"/>
  <c r="R567" i="1"/>
  <c r="P567" i="1"/>
  <c r="J567" i="1"/>
  <c r="AB566" i="1"/>
  <c r="Z566" i="1"/>
  <c r="X566" i="1"/>
  <c r="V566" i="1"/>
  <c r="T566" i="1"/>
  <c r="R566" i="1"/>
  <c r="P566" i="1"/>
  <c r="Z565" i="1"/>
  <c r="X565" i="1"/>
  <c r="V565" i="1"/>
  <c r="T565" i="1"/>
  <c r="R565" i="1"/>
  <c r="P565" i="1"/>
  <c r="R564" i="1"/>
  <c r="P564" i="1"/>
  <c r="V563" i="1"/>
  <c r="T563" i="1"/>
  <c r="R563" i="1"/>
  <c r="P563" i="1"/>
  <c r="T562" i="1"/>
  <c r="R562" i="1"/>
  <c r="P562" i="1"/>
  <c r="N562" i="1"/>
  <c r="R561" i="1"/>
  <c r="P561" i="1"/>
  <c r="N561" i="1"/>
  <c r="T560" i="1"/>
  <c r="R560" i="1"/>
  <c r="P560" i="1"/>
  <c r="N560" i="1"/>
  <c r="P559" i="1"/>
  <c r="N559" i="1"/>
  <c r="P558" i="1"/>
  <c r="N558" i="1"/>
  <c r="R557" i="1"/>
  <c r="P557" i="1"/>
  <c r="N557" i="1"/>
  <c r="T556" i="1"/>
  <c r="R556" i="1"/>
  <c r="P556" i="1"/>
  <c r="N556" i="1"/>
  <c r="T555" i="1"/>
  <c r="R555" i="1"/>
  <c r="P555" i="1"/>
  <c r="N555" i="1"/>
  <c r="R554" i="1"/>
  <c r="P554" i="1"/>
  <c r="N554" i="1"/>
  <c r="R553" i="1"/>
  <c r="P553" i="1"/>
  <c r="N553" i="1"/>
  <c r="R552" i="1"/>
  <c r="P552" i="1"/>
  <c r="N552" i="1"/>
  <c r="R551" i="1"/>
  <c r="P551" i="1"/>
  <c r="N551" i="1"/>
  <c r="P550" i="1"/>
  <c r="N550" i="1"/>
  <c r="R549" i="1"/>
  <c r="P549" i="1"/>
  <c r="N549" i="1"/>
  <c r="R548" i="1"/>
  <c r="P548" i="1"/>
  <c r="N548" i="1"/>
  <c r="V547" i="1"/>
  <c r="T547" i="1"/>
  <c r="R547" i="1"/>
  <c r="P547" i="1"/>
  <c r="R546" i="1"/>
  <c r="P546" i="1"/>
  <c r="T545" i="1"/>
  <c r="R545" i="1"/>
  <c r="P545" i="1"/>
  <c r="X544" i="1"/>
  <c r="V544" i="1"/>
  <c r="T544" i="1"/>
  <c r="R544" i="1"/>
  <c r="P544" i="1"/>
  <c r="R543" i="1"/>
  <c r="P543" i="1"/>
  <c r="AB542" i="1"/>
  <c r="Z542" i="1"/>
  <c r="X542" i="1"/>
  <c r="V542" i="1"/>
  <c r="T542" i="1"/>
  <c r="R542" i="1"/>
  <c r="P542" i="1"/>
  <c r="R541" i="1"/>
  <c r="P541" i="1"/>
  <c r="T540" i="1"/>
  <c r="R540" i="1"/>
  <c r="P540" i="1"/>
  <c r="V539" i="1"/>
  <c r="T539" i="1"/>
  <c r="R539" i="1"/>
  <c r="P539" i="1"/>
  <c r="AB538" i="1"/>
  <c r="Z538" i="1"/>
  <c r="X538" i="1"/>
  <c r="V538" i="1"/>
  <c r="T538" i="1"/>
  <c r="R538" i="1"/>
  <c r="P538" i="1"/>
  <c r="J538" i="1"/>
  <c r="X537" i="1"/>
  <c r="V537" i="1"/>
  <c r="T537" i="1"/>
  <c r="R537" i="1"/>
  <c r="P537" i="1"/>
  <c r="T536" i="1"/>
  <c r="R536" i="1"/>
  <c r="P536" i="1"/>
  <c r="T535" i="1"/>
  <c r="R535" i="1"/>
  <c r="P535" i="1"/>
  <c r="V534" i="1"/>
  <c r="T534" i="1"/>
  <c r="R534" i="1"/>
  <c r="P534" i="1"/>
  <c r="Z533" i="1"/>
  <c r="X533" i="1"/>
  <c r="V533" i="1"/>
  <c r="T533" i="1"/>
  <c r="R533" i="1"/>
  <c r="P533" i="1"/>
  <c r="X532" i="1"/>
  <c r="V532" i="1"/>
  <c r="T532" i="1"/>
  <c r="R532" i="1"/>
  <c r="P532" i="1"/>
  <c r="T531" i="1"/>
  <c r="R531" i="1"/>
  <c r="P531" i="1"/>
  <c r="R530" i="1"/>
  <c r="P530" i="1"/>
  <c r="T529" i="1"/>
  <c r="R529" i="1"/>
  <c r="P529" i="1"/>
  <c r="AB528" i="1"/>
  <c r="Z528" i="1"/>
  <c r="X528" i="1"/>
  <c r="V528" i="1"/>
  <c r="T528" i="1"/>
  <c r="R528" i="1"/>
  <c r="P528" i="1"/>
  <c r="R527" i="1"/>
  <c r="P527" i="1"/>
  <c r="T526" i="1"/>
  <c r="R526" i="1"/>
  <c r="P526" i="1"/>
  <c r="X525" i="1"/>
  <c r="V525" i="1"/>
  <c r="T525" i="1"/>
  <c r="R525" i="1"/>
  <c r="P525" i="1"/>
  <c r="T524" i="1"/>
  <c r="R524" i="1"/>
  <c r="P524" i="1"/>
  <c r="J524" i="1"/>
  <c r="R523" i="1"/>
  <c r="P523" i="1"/>
  <c r="X522" i="1"/>
  <c r="V522" i="1"/>
  <c r="T522" i="1"/>
  <c r="R522" i="1"/>
  <c r="P522" i="1"/>
  <c r="T521" i="1"/>
  <c r="R521" i="1"/>
  <c r="P521" i="1"/>
  <c r="V520" i="1"/>
  <c r="T520" i="1"/>
  <c r="R520" i="1"/>
  <c r="P520" i="1"/>
  <c r="Z519" i="1"/>
  <c r="X519" i="1"/>
  <c r="V519" i="1"/>
  <c r="T519" i="1"/>
  <c r="R519" i="1"/>
  <c r="P519" i="1"/>
  <c r="J519" i="1"/>
  <c r="R518" i="1"/>
  <c r="P518" i="1"/>
  <c r="T517" i="1"/>
  <c r="R517" i="1"/>
  <c r="P517" i="1"/>
  <c r="T516" i="1"/>
  <c r="R516" i="1"/>
  <c r="P516" i="1"/>
  <c r="J516" i="1"/>
  <c r="R515" i="1"/>
  <c r="P515" i="1"/>
  <c r="R514" i="1"/>
  <c r="P514" i="1"/>
  <c r="AB513" i="1"/>
  <c r="Z513" i="1"/>
  <c r="X513" i="1"/>
  <c r="V513" i="1"/>
  <c r="T513" i="1"/>
  <c r="R513" i="1"/>
  <c r="P513" i="1"/>
  <c r="X512" i="1"/>
  <c r="V512" i="1"/>
  <c r="T512" i="1"/>
  <c r="R512" i="1"/>
  <c r="P512" i="1"/>
  <c r="R511" i="1"/>
  <c r="P511" i="1"/>
  <c r="R510" i="1"/>
  <c r="P510" i="1"/>
  <c r="R509" i="1"/>
  <c r="P509" i="1"/>
  <c r="R508" i="1"/>
  <c r="P508" i="1"/>
  <c r="P507" i="1"/>
  <c r="T506" i="1"/>
  <c r="R506" i="1"/>
  <c r="P506" i="1"/>
  <c r="P505" i="1"/>
  <c r="V504" i="1"/>
  <c r="T504" i="1"/>
  <c r="R504" i="1"/>
  <c r="P504" i="1"/>
  <c r="V503" i="1"/>
  <c r="T503" i="1"/>
  <c r="R503" i="1"/>
  <c r="P503" i="1"/>
  <c r="J503" i="1"/>
  <c r="R502" i="1"/>
  <c r="P502" i="1"/>
  <c r="R501" i="1"/>
  <c r="P501" i="1"/>
  <c r="R500" i="1"/>
  <c r="P500" i="1"/>
  <c r="R499" i="1"/>
  <c r="P499" i="1"/>
  <c r="T498" i="1"/>
  <c r="R498" i="1"/>
  <c r="P498" i="1"/>
  <c r="T497" i="1"/>
  <c r="R497" i="1"/>
  <c r="P497" i="1"/>
  <c r="R496" i="1"/>
  <c r="P496" i="1"/>
  <c r="T495" i="1"/>
  <c r="R495" i="1"/>
  <c r="P495" i="1"/>
  <c r="R494" i="1"/>
  <c r="P494" i="1"/>
  <c r="X493" i="1"/>
  <c r="V493" i="1"/>
  <c r="T493" i="1"/>
  <c r="R493" i="1"/>
  <c r="P493" i="1"/>
  <c r="J493" i="1"/>
  <c r="R492" i="1"/>
  <c r="P492" i="1"/>
  <c r="X491" i="1"/>
  <c r="V491" i="1"/>
  <c r="T491" i="1"/>
  <c r="R491" i="1"/>
  <c r="P491" i="1"/>
  <c r="P490" i="1"/>
  <c r="T489" i="1"/>
  <c r="R489" i="1"/>
  <c r="P489" i="1"/>
  <c r="R488" i="1"/>
  <c r="P488" i="1"/>
  <c r="P487" i="1"/>
  <c r="P486" i="1"/>
  <c r="AB485" i="1"/>
  <c r="Z485" i="1"/>
  <c r="X485" i="1"/>
  <c r="V485" i="1"/>
  <c r="T485" i="1"/>
  <c r="R485" i="1"/>
  <c r="P485" i="1"/>
  <c r="R484" i="1"/>
  <c r="P484" i="1"/>
  <c r="R483" i="1"/>
  <c r="P483" i="1"/>
  <c r="R482" i="1"/>
  <c r="P482" i="1"/>
  <c r="T481" i="1"/>
  <c r="R481" i="1"/>
  <c r="P481" i="1"/>
  <c r="J481" i="1"/>
  <c r="P480" i="1"/>
  <c r="T479" i="1"/>
  <c r="R479" i="1"/>
  <c r="P479" i="1"/>
  <c r="R478" i="1"/>
  <c r="P478" i="1"/>
  <c r="T477" i="1"/>
  <c r="R477" i="1"/>
  <c r="P477" i="1"/>
  <c r="J477" i="1"/>
  <c r="T476" i="1"/>
  <c r="R476" i="1"/>
  <c r="P476" i="1"/>
  <c r="R475" i="1"/>
  <c r="P475" i="1"/>
  <c r="P474" i="1"/>
  <c r="R473" i="1"/>
  <c r="P473" i="1"/>
  <c r="T472" i="1"/>
  <c r="R472" i="1"/>
  <c r="P472" i="1"/>
  <c r="J472" i="1"/>
  <c r="R471" i="1"/>
  <c r="P471" i="1"/>
  <c r="R470" i="1"/>
  <c r="P470" i="1"/>
  <c r="T469" i="1"/>
  <c r="R469" i="1"/>
  <c r="P469" i="1"/>
  <c r="R468" i="1"/>
  <c r="P468" i="1"/>
  <c r="R467" i="1"/>
  <c r="P467" i="1"/>
  <c r="P466" i="1"/>
  <c r="N466" i="1"/>
  <c r="T465" i="1"/>
  <c r="R465" i="1"/>
  <c r="P465" i="1"/>
  <c r="T464" i="1"/>
  <c r="R464" i="1"/>
  <c r="P464" i="1"/>
  <c r="T463" i="1"/>
  <c r="R463" i="1"/>
  <c r="P463" i="1"/>
  <c r="T462" i="1"/>
  <c r="R462" i="1"/>
  <c r="P462" i="1"/>
  <c r="P461" i="1"/>
  <c r="N461" i="1"/>
  <c r="R460" i="1"/>
  <c r="P460" i="1"/>
  <c r="N460" i="1"/>
  <c r="R459" i="1"/>
  <c r="P459" i="1"/>
  <c r="J459" i="1"/>
  <c r="Z458" i="1"/>
  <c r="X458" i="1"/>
  <c r="V458" i="1"/>
  <c r="T458" i="1"/>
  <c r="R458" i="1"/>
  <c r="P458" i="1"/>
  <c r="J458" i="1"/>
  <c r="R457" i="1"/>
  <c r="P457" i="1"/>
  <c r="P456" i="1"/>
  <c r="P455" i="1"/>
  <c r="P454" i="1"/>
  <c r="R453" i="1"/>
  <c r="P453" i="1"/>
  <c r="AB452" i="1"/>
  <c r="Z452" i="1"/>
  <c r="X452" i="1"/>
  <c r="V452" i="1"/>
  <c r="T452" i="1"/>
  <c r="R452" i="1"/>
  <c r="P452" i="1"/>
  <c r="R451" i="1"/>
  <c r="P451" i="1"/>
  <c r="R450" i="1"/>
  <c r="P450" i="1"/>
  <c r="T449" i="1"/>
  <c r="R449" i="1"/>
  <c r="P449" i="1"/>
  <c r="P448" i="1"/>
  <c r="P447" i="1"/>
  <c r="T446" i="1"/>
  <c r="R446" i="1"/>
  <c r="P446" i="1"/>
  <c r="R445" i="1"/>
  <c r="P445" i="1"/>
  <c r="N445" i="1"/>
  <c r="R444" i="1"/>
  <c r="P444" i="1"/>
  <c r="T443" i="1"/>
  <c r="R443" i="1"/>
  <c r="P443" i="1"/>
  <c r="R442" i="1"/>
  <c r="P442" i="1"/>
  <c r="V441" i="1"/>
  <c r="T441" i="1"/>
  <c r="R441" i="1"/>
  <c r="P441" i="1"/>
  <c r="V440" i="1"/>
  <c r="T440" i="1"/>
  <c r="R440" i="1"/>
  <c r="P440" i="1"/>
  <c r="R439" i="1"/>
  <c r="P439" i="1"/>
  <c r="V438" i="1"/>
  <c r="T438" i="1"/>
  <c r="R438" i="1"/>
  <c r="P438" i="1"/>
  <c r="R437" i="1"/>
  <c r="P437" i="1"/>
  <c r="AB436" i="1"/>
  <c r="Z436" i="1"/>
  <c r="X436" i="1"/>
  <c r="V436" i="1"/>
  <c r="T436" i="1"/>
  <c r="R436" i="1"/>
  <c r="P436" i="1"/>
  <c r="R435" i="1"/>
  <c r="P435" i="1"/>
  <c r="X434" i="1"/>
  <c r="V434" i="1"/>
  <c r="T434" i="1"/>
  <c r="R434" i="1"/>
  <c r="P434" i="1"/>
  <c r="R433" i="1"/>
  <c r="P433" i="1"/>
  <c r="X432" i="1"/>
  <c r="V432" i="1"/>
  <c r="T432" i="1"/>
  <c r="R432" i="1"/>
  <c r="P432" i="1"/>
  <c r="R431" i="1"/>
  <c r="P431" i="1"/>
  <c r="R430" i="1"/>
  <c r="P430" i="1"/>
  <c r="R429" i="1"/>
  <c r="P429" i="1"/>
  <c r="X428" i="1"/>
  <c r="V428" i="1"/>
  <c r="T428" i="1"/>
  <c r="R428" i="1"/>
  <c r="P428" i="1"/>
  <c r="Z427" i="1"/>
  <c r="X427" i="1"/>
  <c r="V427" i="1"/>
  <c r="T427" i="1"/>
  <c r="R427" i="1"/>
  <c r="P427" i="1"/>
  <c r="T426" i="1"/>
  <c r="R426" i="1"/>
  <c r="P426" i="1"/>
  <c r="R425" i="1"/>
  <c r="P425" i="1"/>
  <c r="R424" i="1"/>
  <c r="P424" i="1"/>
  <c r="R423" i="1"/>
  <c r="P423" i="1"/>
  <c r="T422" i="1"/>
  <c r="R422" i="1"/>
  <c r="P422" i="1"/>
  <c r="T421" i="1"/>
  <c r="R421" i="1"/>
  <c r="P421" i="1"/>
  <c r="X420" i="1"/>
  <c r="V420" i="1"/>
  <c r="T420" i="1"/>
  <c r="R420" i="1"/>
  <c r="P420" i="1"/>
  <c r="R419" i="1"/>
  <c r="P419" i="1"/>
  <c r="R418" i="1"/>
  <c r="P418" i="1"/>
  <c r="R417" i="1"/>
  <c r="P417" i="1"/>
  <c r="R416" i="1"/>
  <c r="P416" i="1"/>
  <c r="R415" i="1"/>
  <c r="P415" i="1"/>
  <c r="T414" i="1"/>
  <c r="R414" i="1"/>
  <c r="P414" i="1"/>
  <c r="Z413" i="1"/>
  <c r="X413" i="1"/>
  <c r="V413" i="1"/>
  <c r="T413" i="1"/>
  <c r="R413" i="1"/>
  <c r="P413" i="1"/>
  <c r="J413" i="1"/>
  <c r="T412" i="1"/>
  <c r="R412" i="1"/>
  <c r="P412" i="1"/>
  <c r="Z411" i="1"/>
  <c r="X411" i="1"/>
  <c r="V411" i="1"/>
  <c r="T411" i="1"/>
  <c r="R411" i="1"/>
  <c r="P411" i="1"/>
  <c r="R410" i="1"/>
  <c r="P410" i="1"/>
  <c r="J410" i="1"/>
  <c r="P409" i="1"/>
  <c r="X408" i="1"/>
  <c r="V408" i="1"/>
  <c r="T408" i="1"/>
  <c r="R408" i="1"/>
  <c r="P408" i="1"/>
  <c r="P407" i="1"/>
  <c r="J407" i="1"/>
  <c r="R406" i="1"/>
  <c r="P406" i="1"/>
  <c r="R405" i="1"/>
  <c r="P405" i="1"/>
  <c r="R404" i="1"/>
  <c r="P404" i="1"/>
  <c r="V403" i="1"/>
  <c r="T403" i="1"/>
  <c r="R403" i="1"/>
  <c r="P403" i="1"/>
  <c r="R402" i="1"/>
  <c r="P402" i="1"/>
  <c r="T401" i="1"/>
  <c r="R401" i="1"/>
  <c r="P401" i="1"/>
  <c r="R400" i="1"/>
  <c r="P400" i="1"/>
  <c r="V399" i="1"/>
  <c r="T399" i="1"/>
  <c r="R399" i="1"/>
  <c r="P399" i="1"/>
  <c r="V398" i="1"/>
  <c r="T398" i="1"/>
  <c r="R398" i="1"/>
  <c r="P398" i="1"/>
  <c r="T397" i="1"/>
  <c r="R397" i="1"/>
  <c r="P397" i="1"/>
  <c r="Z396" i="1"/>
  <c r="X396" i="1"/>
  <c r="V396" i="1"/>
  <c r="T396" i="1"/>
  <c r="R396" i="1"/>
  <c r="P396" i="1"/>
  <c r="T395" i="1"/>
  <c r="R395" i="1"/>
  <c r="P395" i="1"/>
  <c r="V394" i="1"/>
  <c r="T394" i="1"/>
  <c r="R394" i="1"/>
  <c r="P394" i="1"/>
  <c r="T393" i="1"/>
  <c r="R393" i="1"/>
  <c r="P393" i="1"/>
  <c r="T392" i="1"/>
  <c r="R392" i="1"/>
  <c r="P392" i="1"/>
  <c r="V391" i="1"/>
  <c r="T391" i="1"/>
  <c r="R391" i="1"/>
  <c r="P391" i="1"/>
  <c r="X390" i="1"/>
  <c r="V390" i="1"/>
  <c r="T390" i="1"/>
  <c r="R390" i="1"/>
  <c r="P390" i="1"/>
  <c r="X389" i="1"/>
  <c r="V389" i="1"/>
  <c r="T389" i="1"/>
  <c r="R389" i="1"/>
  <c r="P389" i="1"/>
  <c r="T388" i="1"/>
  <c r="R388" i="1"/>
  <c r="P388" i="1"/>
  <c r="T387" i="1"/>
  <c r="R387" i="1"/>
  <c r="P387" i="1"/>
  <c r="R386" i="1"/>
  <c r="P386" i="1"/>
  <c r="R385" i="1"/>
  <c r="P385" i="1"/>
  <c r="P384" i="1"/>
  <c r="P383" i="1"/>
  <c r="R382" i="1"/>
  <c r="P382" i="1"/>
  <c r="R381" i="1"/>
  <c r="P381" i="1"/>
  <c r="R380" i="1"/>
  <c r="P380" i="1"/>
  <c r="R379" i="1"/>
  <c r="P379" i="1"/>
  <c r="R378" i="1"/>
  <c r="P378" i="1"/>
  <c r="R377" i="1"/>
  <c r="P377" i="1"/>
  <c r="P376" i="1"/>
  <c r="T375" i="1"/>
  <c r="R375" i="1"/>
  <c r="P375" i="1"/>
  <c r="R374" i="1"/>
  <c r="P374" i="1"/>
  <c r="P373" i="1"/>
  <c r="R372" i="1"/>
  <c r="P372" i="1"/>
  <c r="P371" i="1"/>
  <c r="R370" i="1"/>
  <c r="P370" i="1"/>
  <c r="P369" i="1"/>
  <c r="T368" i="1"/>
  <c r="R368" i="1"/>
  <c r="P368" i="1"/>
  <c r="P367" i="1"/>
  <c r="P366" i="1"/>
  <c r="R365" i="1"/>
  <c r="P365" i="1"/>
  <c r="T364" i="1"/>
  <c r="R364" i="1"/>
  <c r="P364" i="1"/>
  <c r="R363" i="1"/>
  <c r="P363" i="1"/>
  <c r="P362" i="1"/>
  <c r="P361" i="1"/>
  <c r="R360" i="1"/>
  <c r="P360" i="1"/>
  <c r="R359" i="1"/>
  <c r="P359" i="1"/>
  <c r="R358" i="1"/>
  <c r="P358" i="1"/>
  <c r="T357" i="1"/>
  <c r="R357" i="1"/>
  <c r="P357" i="1"/>
  <c r="R356" i="1"/>
  <c r="P356" i="1"/>
  <c r="R355" i="1"/>
  <c r="P355" i="1"/>
  <c r="T354" i="1"/>
  <c r="R354" i="1"/>
  <c r="P354" i="1"/>
  <c r="R353" i="1"/>
  <c r="P353" i="1"/>
  <c r="T352" i="1"/>
  <c r="R352" i="1"/>
  <c r="P352" i="1"/>
  <c r="R351" i="1"/>
  <c r="P351" i="1"/>
  <c r="P350" i="1"/>
  <c r="N350" i="1"/>
  <c r="P349" i="1"/>
  <c r="N349" i="1"/>
  <c r="P348" i="1"/>
  <c r="N348" i="1"/>
  <c r="P347" i="1"/>
  <c r="N347" i="1"/>
  <c r="P346" i="1"/>
  <c r="N346" i="1"/>
  <c r="P345" i="1"/>
  <c r="N345" i="1"/>
  <c r="P344" i="1"/>
  <c r="N344" i="1"/>
  <c r="P343" i="1"/>
  <c r="N343" i="1"/>
  <c r="P342" i="1"/>
  <c r="N342" i="1"/>
  <c r="P341" i="1"/>
  <c r="N341" i="1"/>
  <c r="P340" i="1"/>
  <c r="N340" i="1"/>
  <c r="P339" i="1"/>
  <c r="N339" i="1"/>
  <c r="T338" i="1"/>
  <c r="R338" i="1"/>
  <c r="P338" i="1"/>
  <c r="N338" i="1"/>
  <c r="J338" i="1"/>
  <c r="P337" i="1"/>
  <c r="N337" i="1"/>
  <c r="T336" i="1"/>
  <c r="R336" i="1"/>
  <c r="P336" i="1"/>
  <c r="V335" i="1"/>
  <c r="T335" i="1"/>
  <c r="R335" i="1"/>
  <c r="P335" i="1"/>
  <c r="P334" i="1"/>
  <c r="R333" i="1"/>
  <c r="P333" i="1"/>
  <c r="J333" i="1"/>
  <c r="R332" i="1"/>
  <c r="P332" i="1"/>
  <c r="J332" i="1"/>
  <c r="R331" i="1"/>
  <c r="P331" i="1"/>
  <c r="T330" i="1"/>
  <c r="R330" i="1"/>
  <c r="P330" i="1"/>
  <c r="P329" i="1"/>
  <c r="T328" i="1"/>
  <c r="R328" i="1"/>
  <c r="P328" i="1"/>
  <c r="R327" i="1"/>
  <c r="P327" i="1"/>
  <c r="T326" i="1"/>
  <c r="R326" i="1"/>
  <c r="P326" i="1"/>
  <c r="V325" i="1"/>
  <c r="T325" i="1"/>
  <c r="R325" i="1"/>
  <c r="P325" i="1"/>
  <c r="R324" i="1"/>
  <c r="P324" i="1"/>
  <c r="R323" i="1"/>
  <c r="P323" i="1"/>
  <c r="P322" i="1"/>
  <c r="X321" i="1"/>
  <c r="V321" i="1"/>
  <c r="T321" i="1"/>
  <c r="R321" i="1"/>
  <c r="P321" i="1"/>
  <c r="T320" i="1"/>
  <c r="R320" i="1"/>
  <c r="P320" i="1"/>
  <c r="R319" i="1"/>
  <c r="P319" i="1"/>
  <c r="R318" i="1"/>
  <c r="P318" i="1"/>
  <c r="J318" i="1"/>
  <c r="T317" i="1"/>
  <c r="R317" i="1"/>
  <c r="P317" i="1"/>
  <c r="R316" i="1"/>
  <c r="P316" i="1"/>
  <c r="AB315" i="1"/>
  <c r="Z315" i="1"/>
  <c r="X315" i="1"/>
  <c r="V315" i="1"/>
  <c r="T315" i="1"/>
  <c r="R315" i="1"/>
  <c r="P315" i="1"/>
  <c r="AB314" i="1"/>
  <c r="Z314" i="1"/>
  <c r="X314" i="1"/>
  <c r="V314" i="1"/>
  <c r="T314" i="1"/>
  <c r="R314" i="1"/>
  <c r="P314" i="1"/>
  <c r="R313" i="1"/>
  <c r="P313" i="1"/>
  <c r="J313" i="1"/>
  <c r="R312" i="1"/>
  <c r="P312" i="1"/>
  <c r="R311" i="1"/>
  <c r="P311" i="1"/>
  <c r="AB310" i="1"/>
  <c r="Z310" i="1"/>
  <c r="X310" i="1"/>
  <c r="V310" i="1"/>
  <c r="T310" i="1"/>
  <c r="R310" i="1"/>
  <c r="P310" i="1"/>
  <c r="T309" i="1"/>
  <c r="R309" i="1"/>
  <c r="P309" i="1"/>
  <c r="T308" i="1"/>
  <c r="R308" i="1"/>
  <c r="P308" i="1"/>
  <c r="R307" i="1"/>
  <c r="P307" i="1"/>
  <c r="V306" i="1"/>
  <c r="T306" i="1"/>
  <c r="R306" i="1"/>
  <c r="P306" i="1"/>
  <c r="T305" i="1"/>
  <c r="R305" i="1"/>
  <c r="P305" i="1"/>
  <c r="AB304" i="1"/>
  <c r="Z304" i="1"/>
  <c r="X304" i="1"/>
  <c r="V304" i="1"/>
  <c r="T304" i="1"/>
  <c r="R304" i="1"/>
  <c r="P304" i="1"/>
  <c r="T303" i="1"/>
  <c r="R303" i="1"/>
  <c r="P303" i="1"/>
  <c r="J303" i="1"/>
  <c r="T302" i="1"/>
  <c r="R302" i="1"/>
  <c r="P302" i="1"/>
  <c r="R301" i="1"/>
  <c r="P301" i="1"/>
  <c r="J301" i="1"/>
  <c r="R300" i="1"/>
  <c r="P300" i="1"/>
  <c r="T299" i="1"/>
  <c r="R299" i="1"/>
  <c r="P299" i="1"/>
  <c r="X298" i="1"/>
  <c r="V298" i="1"/>
  <c r="T298" i="1"/>
  <c r="R298" i="1"/>
  <c r="P298" i="1"/>
  <c r="T297" i="1"/>
  <c r="R297" i="1"/>
  <c r="P297" i="1"/>
  <c r="V296" i="1"/>
  <c r="T296" i="1"/>
  <c r="R296" i="1"/>
  <c r="P296" i="1"/>
  <c r="R295" i="1"/>
  <c r="P295" i="1"/>
  <c r="V294" i="1"/>
  <c r="T294" i="1"/>
  <c r="R294" i="1"/>
  <c r="P294" i="1"/>
  <c r="AB293" i="1"/>
  <c r="Z293" i="1"/>
  <c r="X293" i="1"/>
  <c r="V293" i="1"/>
  <c r="T293" i="1"/>
  <c r="R293" i="1"/>
  <c r="P293" i="1"/>
  <c r="AB292" i="1"/>
  <c r="Z292" i="1"/>
  <c r="X292" i="1"/>
  <c r="V292" i="1"/>
  <c r="T292" i="1"/>
  <c r="R292" i="1"/>
  <c r="P292" i="1"/>
  <c r="R291" i="1"/>
  <c r="P291" i="1"/>
  <c r="T290" i="1"/>
  <c r="R290" i="1"/>
  <c r="P290" i="1"/>
  <c r="R289" i="1"/>
  <c r="P289" i="1"/>
  <c r="R288" i="1"/>
  <c r="P288" i="1"/>
  <c r="T287" i="1"/>
  <c r="R287" i="1"/>
  <c r="P287" i="1"/>
  <c r="R286" i="1"/>
  <c r="P286" i="1"/>
  <c r="R285" i="1"/>
  <c r="P285" i="1"/>
  <c r="J285" i="1"/>
  <c r="T284" i="1"/>
  <c r="R284" i="1"/>
  <c r="P284" i="1"/>
  <c r="T283" i="1"/>
  <c r="R283" i="1"/>
  <c r="P283" i="1"/>
  <c r="AB282" i="1"/>
  <c r="Z282" i="1"/>
  <c r="X282" i="1"/>
  <c r="V282" i="1"/>
  <c r="T282" i="1"/>
  <c r="R282" i="1"/>
  <c r="P282" i="1"/>
  <c r="P281" i="1"/>
  <c r="N281" i="1"/>
  <c r="R280" i="1"/>
  <c r="P280" i="1"/>
  <c r="N280" i="1"/>
  <c r="R279" i="1"/>
  <c r="P279" i="1"/>
  <c r="N279" i="1"/>
  <c r="P278" i="1"/>
  <c r="N278" i="1"/>
  <c r="T277" i="1"/>
  <c r="R277" i="1"/>
  <c r="P277" i="1"/>
  <c r="N277" i="1"/>
  <c r="P276" i="1"/>
  <c r="N276" i="1"/>
  <c r="P275" i="1"/>
  <c r="N275" i="1"/>
  <c r="P274" i="1"/>
  <c r="N274" i="1"/>
  <c r="V273" i="1"/>
  <c r="T273" i="1"/>
  <c r="R273" i="1"/>
  <c r="P273" i="1"/>
  <c r="N273" i="1"/>
  <c r="P272" i="1"/>
  <c r="N272" i="1"/>
  <c r="P271" i="1"/>
  <c r="N271" i="1"/>
  <c r="P270" i="1"/>
  <c r="N270" i="1"/>
  <c r="R269" i="1"/>
  <c r="P269" i="1"/>
  <c r="N269" i="1"/>
  <c r="P268" i="1"/>
  <c r="N268" i="1"/>
  <c r="R267" i="1"/>
  <c r="P267" i="1"/>
  <c r="N267" i="1"/>
  <c r="T266" i="1"/>
  <c r="R266" i="1"/>
  <c r="P266" i="1"/>
  <c r="N266" i="1"/>
  <c r="P265" i="1"/>
  <c r="N265" i="1"/>
  <c r="R264" i="1"/>
  <c r="P264" i="1"/>
  <c r="N264" i="1"/>
  <c r="P263" i="1"/>
  <c r="N263" i="1"/>
  <c r="T262" i="1"/>
  <c r="R262" i="1"/>
  <c r="P262" i="1"/>
  <c r="N262" i="1"/>
  <c r="R261" i="1"/>
  <c r="P261" i="1"/>
  <c r="N261" i="1"/>
  <c r="R260" i="1"/>
  <c r="P260" i="1"/>
  <c r="R259" i="1"/>
  <c r="P259" i="1"/>
  <c r="N259" i="1"/>
  <c r="R258" i="1"/>
  <c r="P258" i="1"/>
  <c r="N258" i="1"/>
  <c r="V257" i="1"/>
  <c r="T257" i="1"/>
  <c r="R257" i="1"/>
  <c r="P257" i="1"/>
  <c r="N257" i="1"/>
  <c r="T256" i="1"/>
  <c r="R256" i="1"/>
  <c r="P256" i="1"/>
  <c r="N256" i="1"/>
  <c r="P255" i="1"/>
  <c r="N255" i="1"/>
  <c r="R254" i="1"/>
  <c r="P254" i="1"/>
  <c r="N254" i="1"/>
  <c r="R253" i="1"/>
  <c r="P253" i="1"/>
  <c r="R252" i="1"/>
  <c r="P252" i="1"/>
  <c r="R251" i="1"/>
  <c r="P251" i="1"/>
  <c r="T250" i="1"/>
  <c r="R250" i="1"/>
  <c r="P250" i="1"/>
  <c r="R249" i="1"/>
  <c r="P249" i="1"/>
  <c r="T248" i="1"/>
  <c r="R248" i="1"/>
  <c r="P248" i="1"/>
  <c r="R247" i="1"/>
  <c r="P247" i="1"/>
  <c r="T246" i="1"/>
  <c r="R246" i="1"/>
  <c r="P246" i="1"/>
  <c r="X245" i="1"/>
  <c r="V245" i="1"/>
  <c r="T245" i="1"/>
  <c r="R245" i="1"/>
  <c r="P245" i="1"/>
  <c r="R244" i="1"/>
  <c r="P244" i="1"/>
  <c r="J244" i="1"/>
  <c r="R243" i="1"/>
  <c r="P243" i="1"/>
  <c r="J243" i="1"/>
  <c r="R242" i="1"/>
  <c r="P242" i="1"/>
  <c r="T241" i="1"/>
  <c r="R241" i="1"/>
  <c r="P241" i="1"/>
  <c r="V240" i="1"/>
  <c r="T240" i="1"/>
  <c r="R240" i="1"/>
  <c r="P240" i="1"/>
  <c r="R239" i="1"/>
  <c r="P239" i="1"/>
  <c r="R238" i="1"/>
  <c r="P238" i="1"/>
  <c r="R237" i="1"/>
  <c r="P237" i="1"/>
  <c r="P236" i="1"/>
  <c r="N236" i="1"/>
  <c r="P235" i="1"/>
  <c r="T234" i="1"/>
  <c r="R234" i="1"/>
  <c r="P234" i="1"/>
  <c r="P233" i="1"/>
  <c r="R232" i="1"/>
  <c r="P232" i="1"/>
  <c r="R231" i="1"/>
  <c r="P231" i="1"/>
  <c r="T230" i="1"/>
  <c r="R230" i="1"/>
  <c r="P230" i="1"/>
  <c r="T229" i="1"/>
  <c r="R229" i="1"/>
  <c r="P229" i="1"/>
  <c r="T228" i="1"/>
  <c r="R228" i="1"/>
  <c r="P228" i="1"/>
  <c r="T227" i="1"/>
  <c r="R227" i="1"/>
  <c r="P227" i="1"/>
  <c r="P226" i="1"/>
  <c r="T225" i="1"/>
  <c r="R225" i="1"/>
  <c r="P225" i="1"/>
  <c r="R224" i="1"/>
  <c r="P224" i="1"/>
  <c r="T223" i="1"/>
  <c r="R223" i="1"/>
  <c r="P223" i="1"/>
  <c r="P222" i="1"/>
  <c r="N222" i="1"/>
  <c r="T221" i="1"/>
  <c r="R221" i="1"/>
  <c r="P221" i="1"/>
  <c r="AB220" i="1"/>
  <c r="Z220" i="1"/>
  <c r="X220" i="1"/>
  <c r="V220" i="1"/>
  <c r="T220" i="1"/>
  <c r="R220" i="1"/>
  <c r="P220" i="1"/>
  <c r="T219" i="1"/>
  <c r="R219" i="1"/>
  <c r="P219" i="1"/>
  <c r="J219" i="1"/>
  <c r="T218" i="1"/>
  <c r="R218" i="1"/>
  <c r="P218" i="1"/>
  <c r="X217" i="1"/>
  <c r="V217" i="1"/>
  <c r="T217" i="1"/>
  <c r="R217" i="1"/>
  <c r="P217" i="1"/>
  <c r="T216" i="1"/>
  <c r="R216" i="1"/>
  <c r="P216" i="1"/>
  <c r="R215" i="1"/>
  <c r="P215" i="1"/>
  <c r="R214" i="1"/>
  <c r="P214" i="1"/>
  <c r="R213" i="1"/>
  <c r="P213" i="1"/>
  <c r="T212" i="1"/>
  <c r="R212" i="1"/>
  <c r="P212" i="1"/>
  <c r="R211" i="1"/>
  <c r="P211" i="1"/>
  <c r="T210" i="1"/>
  <c r="R210" i="1"/>
  <c r="P210" i="1"/>
  <c r="T209" i="1"/>
  <c r="R209" i="1"/>
  <c r="P209" i="1"/>
  <c r="V208" i="1"/>
  <c r="T208" i="1"/>
  <c r="R208" i="1"/>
  <c r="P208" i="1"/>
  <c r="R207" i="1"/>
  <c r="P207" i="1"/>
  <c r="R206" i="1"/>
  <c r="P206" i="1"/>
  <c r="T205" i="1"/>
  <c r="R205" i="1"/>
  <c r="P205" i="1"/>
  <c r="T204" i="1"/>
  <c r="R204" i="1"/>
  <c r="P204" i="1"/>
  <c r="R203" i="1"/>
  <c r="P203" i="1"/>
  <c r="T202" i="1"/>
  <c r="R202" i="1"/>
  <c r="P202" i="1"/>
  <c r="R201" i="1"/>
  <c r="P201" i="1"/>
  <c r="T200" i="1"/>
  <c r="R200" i="1"/>
  <c r="P200" i="1"/>
  <c r="T199" i="1"/>
  <c r="R199" i="1"/>
  <c r="P199" i="1"/>
  <c r="T198" i="1"/>
  <c r="R198" i="1"/>
  <c r="P198" i="1"/>
  <c r="T197" i="1"/>
  <c r="R197" i="1"/>
  <c r="P197" i="1"/>
  <c r="X196" i="1"/>
  <c r="V196" i="1"/>
  <c r="T196" i="1"/>
  <c r="R196" i="1"/>
  <c r="P196" i="1"/>
  <c r="X195" i="1"/>
  <c r="V195" i="1"/>
  <c r="T195" i="1"/>
  <c r="R195" i="1"/>
  <c r="P195" i="1"/>
  <c r="T194" i="1"/>
  <c r="R194" i="1"/>
  <c r="P194" i="1"/>
  <c r="R193" i="1"/>
  <c r="P193" i="1"/>
  <c r="T192" i="1"/>
  <c r="R192" i="1"/>
  <c r="P192" i="1"/>
  <c r="T191" i="1"/>
  <c r="R191" i="1"/>
  <c r="P191" i="1"/>
  <c r="R190" i="1"/>
  <c r="P190" i="1"/>
  <c r="R189" i="1"/>
  <c r="P189" i="1"/>
  <c r="Z188" i="1"/>
  <c r="X188" i="1"/>
  <c r="V188" i="1"/>
  <c r="T188" i="1"/>
  <c r="R188" i="1"/>
  <c r="P188" i="1"/>
  <c r="P187" i="1"/>
  <c r="N187" i="1"/>
  <c r="R186" i="1"/>
  <c r="P186" i="1"/>
  <c r="R185" i="1"/>
  <c r="P185" i="1"/>
  <c r="R184" i="1"/>
  <c r="P184" i="1"/>
  <c r="R183" i="1"/>
  <c r="P183" i="1"/>
  <c r="T182" i="1"/>
  <c r="R182" i="1"/>
  <c r="P182" i="1"/>
  <c r="R181" i="1"/>
  <c r="P181" i="1"/>
  <c r="T180" i="1"/>
  <c r="R180" i="1"/>
  <c r="P180" i="1"/>
  <c r="T179" i="1"/>
  <c r="R179" i="1"/>
  <c r="P179" i="1"/>
  <c r="V178" i="1"/>
  <c r="T178" i="1"/>
  <c r="R178" i="1"/>
  <c r="P178" i="1"/>
  <c r="T177" i="1"/>
  <c r="R177" i="1"/>
  <c r="P177" i="1"/>
  <c r="R176" i="1"/>
  <c r="P176" i="1"/>
  <c r="R175" i="1"/>
  <c r="P175" i="1"/>
  <c r="R174" i="1"/>
  <c r="P174" i="1"/>
  <c r="R173" i="1"/>
  <c r="P173" i="1"/>
  <c r="T172" i="1"/>
  <c r="R172" i="1"/>
  <c r="P172" i="1"/>
  <c r="J172" i="1"/>
  <c r="R171" i="1"/>
  <c r="P171" i="1"/>
  <c r="V170" i="1"/>
  <c r="T170" i="1"/>
  <c r="R170" i="1"/>
  <c r="P170" i="1"/>
  <c r="R169" i="1"/>
  <c r="P169" i="1"/>
  <c r="T168" i="1"/>
  <c r="R168" i="1"/>
  <c r="P168" i="1"/>
  <c r="X167" i="1"/>
  <c r="V167" i="1"/>
  <c r="T167" i="1"/>
  <c r="R167" i="1"/>
  <c r="P167" i="1"/>
  <c r="R166" i="1"/>
  <c r="P166" i="1"/>
  <c r="Z165" i="1"/>
  <c r="X165" i="1"/>
  <c r="V165" i="1"/>
  <c r="T165" i="1"/>
  <c r="R165" i="1"/>
  <c r="P165" i="1"/>
  <c r="R164" i="1"/>
  <c r="P164" i="1"/>
  <c r="P163" i="1"/>
  <c r="T162" i="1"/>
  <c r="R162" i="1"/>
  <c r="P162" i="1"/>
  <c r="V161" i="1"/>
  <c r="T161" i="1"/>
  <c r="R161" i="1"/>
  <c r="P161" i="1"/>
  <c r="V160" i="1"/>
  <c r="T160" i="1"/>
  <c r="R160" i="1"/>
  <c r="P160" i="1"/>
  <c r="V159" i="1"/>
  <c r="T159" i="1"/>
  <c r="R159" i="1"/>
  <c r="P159" i="1"/>
  <c r="R158" i="1"/>
  <c r="P158" i="1"/>
  <c r="T157" i="1"/>
  <c r="R157" i="1"/>
  <c r="P157" i="1"/>
  <c r="P156" i="1"/>
  <c r="J156" i="1"/>
  <c r="T155" i="1"/>
  <c r="R155" i="1"/>
  <c r="P155" i="1"/>
  <c r="T154" i="1"/>
  <c r="R154" i="1"/>
  <c r="P154" i="1"/>
  <c r="Z153" i="1"/>
  <c r="X153" i="1"/>
  <c r="V153" i="1"/>
  <c r="T153" i="1"/>
  <c r="R153" i="1"/>
  <c r="P153" i="1"/>
  <c r="P152" i="1"/>
  <c r="T151" i="1"/>
  <c r="R151" i="1"/>
  <c r="P151" i="1"/>
  <c r="T150" i="1"/>
  <c r="R150" i="1"/>
  <c r="P150" i="1"/>
  <c r="T149" i="1"/>
  <c r="R149" i="1"/>
  <c r="P149" i="1"/>
  <c r="R148" i="1"/>
  <c r="P148" i="1"/>
  <c r="V147" i="1"/>
  <c r="T147" i="1"/>
  <c r="R147" i="1"/>
  <c r="P147" i="1"/>
  <c r="P146" i="1"/>
  <c r="J146" i="1"/>
  <c r="P145" i="1"/>
  <c r="T144" i="1"/>
  <c r="R144" i="1"/>
  <c r="P144" i="1"/>
  <c r="R143" i="1"/>
  <c r="P143" i="1"/>
  <c r="R142" i="1"/>
  <c r="P142" i="1"/>
  <c r="T141" i="1"/>
  <c r="R141" i="1"/>
  <c r="P141" i="1"/>
  <c r="J141" i="1"/>
  <c r="X140" i="1"/>
  <c r="V140" i="1"/>
  <c r="T140" i="1"/>
  <c r="R140" i="1"/>
  <c r="P140" i="1"/>
  <c r="J140" i="1"/>
  <c r="P139" i="1"/>
  <c r="N139" i="1"/>
  <c r="V138" i="1"/>
  <c r="T138" i="1"/>
  <c r="R138" i="1"/>
  <c r="P138" i="1"/>
  <c r="R137" i="1"/>
  <c r="P137" i="1"/>
  <c r="Z136" i="1"/>
  <c r="X136" i="1"/>
  <c r="V136" i="1"/>
  <c r="T136" i="1"/>
  <c r="R136" i="1"/>
  <c r="P136" i="1"/>
  <c r="P135" i="1"/>
  <c r="P134" i="1"/>
  <c r="R133" i="1"/>
  <c r="P133" i="1"/>
  <c r="T132" i="1"/>
  <c r="R132" i="1"/>
  <c r="P132" i="1"/>
  <c r="R131" i="1"/>
  <c r="P131" i="1"/>
  <c r="P130" i="1"/>
  <c r="N130" i="1"/>
  <c r="P129" i="1"/>
  <c r="N129" i="1"/>
  <c r="T128" i="1"/>
  <c r="R128" i="1"/>
  <c r="P128" i="1"/>
  <c r="R127" i="1"/>
  <c r="P127" i="1"/>
  <c r="T126" i="1"/>
  <c r="R126" i="1"/>
  <c r="P126" i="1"/>
  <c r="T125" i="1"/>
  <c r="R125" i="1"/>
  <c r="P125" i="1"/>
  <c r="N125" i="1"/>
  <c r="V124" i="1"/>
  <c r="T124" i="1"/>
  <c r="R124" i="1"/>
  <c r="P124" i="1"/>
  <c r="R123" i="1"/>
  <c r="P123" i="1"/>
  <c r="P122" i="1"/>
  <c r="N122" i="1"/>
  <c r="V121" i="1"/>
  <c r="T121" i="1"/>
  <c r="R121" i="1"/>
  <c r="P121" i="1"/>
  <c r="X120" i="1"/>
  <c r="V120" i="1"/>
  <c r="T120" i="1"/>
  <c r="R120" i="1"/>
  <c r="P120" i="1"/>
  <c r="T119" i="1"/>
  <c r="R119" i="1"/>
  <c r="P119" i="1"/>
  <c r="T118" i="1"/>
  <c r="R118" i="1"/>
  <c r="P118" i="1"/>
  <c r="R117" i="1"/>
  <c r="P117" i="1"/>
  <c r="R116" i="1"/>
  <c r="P116" i="1"/>
  <c r="R115" i="1"/>
  <c r="P115" i="1"/>
  <c r="R114" i="1"/>
  <c r="P114" i="1"/>
  <c r="R113" i="1"/>
  <c r="P113" i="1"/>
  <c r="R112" i="1"/>
  <c r="P112" i="1"/>
  <c r="P111" i="1"/>
  <c r="R110" i="1"/>
  <c r="P110" i="1"/>
  <c r="P109" i="1"/>
  <c r="P108" i="1"/>
  <c r="T107" i="1"/>
  <c r="R107" i="1"/>
  <c r="P107" i="1"/>
  <c r="R106" i="1"/>
  <c r="P106" i="1"/>
  <c r="P105" i="1"/>
  <c r="P104" i="1"/>
  <c r="N104" i="1"/>
  <c r="P103" i="1"/>
  <c r="P102" i="1"/>
  <c r="R101" i="1"/>
  <c r="P101" i="1"/>
  <c r="P100" i="1"/>
  <c r="N100" i="1"/>
  <c r="R99" i="1"/>
  <c r="P99" i="1"/>
  <c r="N99" i="1"/>
  <c r="P98" i="1"/>
  <c r="N98" i="1"/>
  <c r="R97" i="1"/>
  <c r="P97" i="1"/>
  <c r="N97" i="1"/>
  <c r="R96" i="1"/>
  <c r="P96" i="1"/>
  <c r="T95" i="1"/>
  <c r="R95" i="1"/>
  <c r="P95" i="1"/>
  <c r="T94" i="1"/>
  <c r="R94" i="1"/>
  <c r="P94" i="1"/>
  <c r="P93" i="1"/>
  <c r="Z92" i="1"/>
  <c r="X92" i="1"/>
  <c r="V92" i="1"/>
  <c r="T92" i="1"/>
  <c r="R92" i="1"/>
  <c r="P92" i="1"/>
  <c r="R91" i="1"/>
  <c r="P91" i="1"/>
  <c r="V90" i="1"/>
  <c r="T90" i="1"/>
  <c r="R90" i="1"/>
  <c r="P90" i="1"/>
  <c r="V89" i="1"/>
  <c r="T89" i="1"/>
  <c r="R89" i="1"/>
  <c r="P89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R86" i="1"/>
  <c r="P86" i="1"/>
  <c r="R85" i="1"/>
  <c r="P85" i="1"/>
  <c r="R84" i="1"/>
  <c r="P84" i="1"/>
  <c r="Z83" i="1"/>
  <c r="X83" i="1"/>
  <c r="V83" i="1"/>
  <c r="T83" i="1"/>
  <c r="R83" i="1"/>
  <c r="P83" i="1"/>
  <c r="T82" i="1"/>
  <c r="R82" i="1"/>
  <c r="P82" i="1"/>
  <c r="R81" i="1"/>
  <c r="P81" i="1"/>
  <c r="T80" i="1"/>
  <c r="R80" i="1"/>
  <c r="P80" i="1"/>
  <c r="V79" i="1"/>
  <c r="T79" i="1"/>
  <c r="R79" i="1"/>
  <c r="P79" i="1"/>
  <c r="V78" i="1"/>
  <c r="T78" i="1"/>
  <c r="R78" i="1"/>
  <c r="P78" i="1"/>
  <c r="T77" i="1"/>
  <c r="R77" i="1"/>
  <c r="P77" i="1"/>
  <c r="X76" i="1"/>
  <c r="V76" i="1"/>
  <c r="T76" i="1"/>
  <c r="R76" i="1"/>
  <c r="P76" i="1"/>
  <c r="R75" i="1"/>
  <c r="P75" i="1"/>
  <c r="Z74" i="1"/>
  <c r="X74" i="1"/>
  <c r="V74" i="1"/>
  <c r="T74" i="1"/>
  <c r="R74" i="1"/>
  <c r="P74" i="1"/>
  <c r="R73" i="1"/>
  <c r="P73" i="1"/>
  <c r="T72" i="1"/>
  <c r="R72" i="1"/>
  <c r="P72" i="1"/>
  <c r="R71" i="1"/>
  <c r="P71" i="1"/>
  <c r="T70" i="1"/>
  <c r="R70" i="1"/>
  <c r="P70" i="1"/>
  <c r="R69" i="1"/>
  <c r="P69" i="1"/>
  <c r="T68" i="1"/>
  <c r="R68" i="1"/>
  <c r="P68" i="1"/>
  <c r="T67" i="1"/>
  <c r="R67" i="1"/>
  <c r="P67" i="1"/>
  <c r="R66" i="1"/>
  <c r="P66" i="1"/>
  <c r="R65" i="1"/>
  <c r="P65" i="1"/>
  <c r="AB64" i="1"/>
  <c r="Z64" i="1"/>
  <c r="X64" i="1"/>
  <c r="V64" i="1"/>
  <c r="T64" i="1"/>
  <c r="R64" i="1"/>
  <c r="P64" i="1"/>
  <c r="T63" i="1"/>
  <c r="R63" i="1"/>
  <c r="P63" i="1"/>
  <c r="T62" i="1"/>
  <c r="R62" i="1"/>
  <c r="P62" i="1"/>
  <c r="V61" i="1"/>
  <c r="T61" i="1"/>
  <c r="R61" i="1"/>
  <c r="P61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X58" i="1"/>
  <c r="V58" i="1"/>
  <c r="T58" i="1"/>
  <c r="R58" i="1"/>
  <c r="P58" i="1"/>
  <c r="T57" i="1"/>
  <c r="R57" i="1"/>
  <c r="P57" i="1"/>
  <c r="R56" i="1"/>
  <c r="P56" i="1"/>
  <c r="P55" i="1"/>
  <c r="J55" i="1"/>
  <c r="R54" i="1"/>
  <c r="P54" i="1"/>
  <c r="R53" i="1"/>
  <c r="P53" i="1"/>
  <c r="P52" i="1"/>
  <c r="R51" i="1"/>
  <c r="P51" i="1"/>
  <c r="R50" i="1"/>
  <c r="P50" i="1"/>
  <c r="R49" i="1"/>
  <c r="P49" i="1"/>
  <c r="N49" i="1"/>
  <c r="R48" i="1"/>
  <c r="P48" i="1"/>
  <c r="T47" i="1"/>
  <c r="R47" i="1"/>
  <c r="P47" i="1"/>
  <c r="T46" i="1"/>
  <c r="R46" i="1"/>
  <c r="P46" i="1"/>
  <c r="P45" i="1"/>
  <c r="N45" i="1"/>
  <c r="V44" i="1"/>
  <c r="T44" i="1"/>
  <c r="R44" i="1"/>
  <c r="P44" i="1"/>
  <c r="P43" i="1"/>
  <c r="J43" i="1"/>
  <c r="R42" i="1"/>
  <c r="P42" i="1"/>
  <c r="R41" i="1"/>
  <c r="P41" i="1"/>
  <c r="R40" i="1"/>
  <c r="P40" i="1"/>
  <c r="J40" i="1"/>
  <c r="R39" i="1"/>
  <c r="P39" i="1"/>
  <c r="J39" i="1"/>
  <c r="T38" i="1"/>
  <c r="R38" i="1"/>
  <c r="P38" i="1"/>
  <c r="N38" i="1"/>
  <c r="P37" i="1"/>
  <c r="R36" i="1"/>
  <c r="P36" i="1"/>
  <c r="P35" i="1"/>
  <c r="P34" i="1"/>
  <c r="R33" i="1"/>
  <c r="P33" i="1"/>
  <c r="P32" i="1"/>
  <c r="N32" i="1"/>
  <c r="P31" i="1"/>
  <c r="N31" i="1"/>
  <c r="R30" i="1"/>
  <c r="P30" i="1"/>
  <c r="P29" i="1"/>
  <c r="P28" i="1"/>
  <c r="J28" i="1"/>
  <c r="P27" i="1"/>
  <c r="P26" i="1"/>
  <c r="P25" i="1"/>
  <c r="P24" i="1"/>
  <c r="P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R15" i="1"/>
  <c r="P15" i="1"/>
  <c r="P14" i="1"/>
  <c r="V13" i="1"/>
  <c r="T13" i="1"/>
  <c r="R13" i="1"/>
  <c r="P13" i="1"/>
  <c r="T12" i="1"/>
  <c r="R12" i="1"/>
  <c r="P12" i="1"/>
  <c r="Z11" i="1"/>
  <c r="X11" i="1"/>
  <c r="V11" i="1"/>
  <c r="T11" i="1"/>
  <c r="R11" i="1"/>
  <c r="P11" i="1"/>
  <c r="P10" i="1"/>
  <c r="P9" i="1"/>
  <c r="P8" i="1"/>
  <c r="R7" i="1"/>
  <c r="P7" i="1"/>
</calcChain>
</file>

<file path=xl/sharedStrings.xml><?xml version="1.0" encoding="utf-8"?>
<sst xmlns="http://schemas.openxmlformats.org/spreadsheetml/2006/main" count="13258" uniqueCount="3086">
  <si>
    <t>Inventario de documentos</t>
  </si>
  <si>
    <t>TIPO DE DOCUMENTO</t>
  </si>
  <si>
    <t>GERENCIA CENTRAL</t>
  </si>
  <si>
    <t>GERENCIA DE LINEA</t>
  </si>
  <si>
    <t>SUBGERENCIA</t>
  </si>
  <si>
    <t>AREA</t>
  </si>
  <si>
    <t>ANALISTA A CARGO</t>
  </si>
  <si>
    <t>NOMBRE DEL DOCUMENTO</t>
  </si>
  <si>
    <t>ESTADO DEL DOCUMENTO</t>
  </si>
  <si>
    <t>ANALISTA QUE LO ELIMINO</t>
  </si>
  <si>
    <t>F. ELIMINACIÓN</t>
  </si>
  <si>
    <t>CONFIDENCIALIDAD</t>
  </si>
  <si>
    <t>CÓDIGO</t>
  </si>
  <si>
    <t>Acta ultimo sustento de no actualización</t>
  </si>
  <si>
    <t>Fecha ultimo sustento de no actualización</t>
  </si>
  <si>
    <t>ACTA</t>
  </si>
  <si>
    <t>FECHA</t>
  </si>
  <si>
    <t>Politica</t>
  </si>
  <si>
    <t xml:space="preserve">Directorio </t>
  </si>
  <si>
    <t xml:space="preserve"> Gerencia de Compliance y Prevención </t>
  </si>
  <si>
    <t xml:space="preserve">  </t>
  </si>
  <si>
    <t xml:space="preserve"> Oficialía De Conducta De Mercado</t>
  </si>
  <si>
    <t>Alfonso</t>
  </si>
  <si>
    <t>Gestión de Conducta de Mercado</t>
  </si>
  <si>
    <t>Modificado</t>
  </si>
  <si>
    <t/>
  </si>
  <si>
    <t>Uso Interno</t>
  </si>
  <si>
    <t>PO-OCME01</t>
  </si>
  <si>
    <t xml:space="preserve">Acuerdo N� 029, Acta N� 03/2023 (Directorio) </t>
  </si>
  <si>
    <t>Acuerdo N° 96, Acta N° 07/2018 (Directorio)</t>
  </si>
  <si>
    <t xml:space="preserve"> Prevención Y Control</t>
  </si>
  <si>
    <t>Prevención de Fraudes, Estafas y Corrupción</t>
  </si>
  <si>
    <t>Eliminado</t>
  </si>
  <si>
    <t>Alfonso Zuñiga Lazo</t>
  </si>
  <si>
    <t>PO-PCON01</t>
  </si>
  <si>
    <t xml:space="preserve">Acuerdo N° 221, Acta N° 17/2020 (Directorio) </t>
  </si>
  <si>
    <t xml:space="preserve">Prevención </t>
  </si>
  <si>
    <t>Nuevo</t>
  </si>
  <si>
    <t>PO-PCON02</t>
  </si>
  <si>
    <t>Acuerdo N° 067, Acta N° 006/2022 (Directorio)</t>
  </si>
  <si>
    <t xml:space="preserve"> Gerencia de Riesgo Corporativo </t>
  </si>
  <si>
    <t xml:space="preserve"> Riesgos No Financieros</t>
  </si>
  <si>
    <t>Elizabeth</t>
  </si>
  <si>
    <t>Interrupcion Significativa de Operaciones</t>
  </si>
  <si>
    <t>PO-RNFIG01</t>
  </si>
  <si>
    <t xml:space="preserve"> Seguridad De La Información y PDP</t>
  </si>
  <si>
    <t>Seguridad de la Información para Proveedores</t>
  </si>
  <si>
    <t>PO-SINF01</t>
  </si>
  <si>
    <t>Acuerdo Nº 208, Acta N° 18/2023 (Directorio)</t>
  </si>
  <si>
    <t>Acuerdo N� 162, Acta N� 14/2023 (Directorio)</t>
  </si>
  <si>
    <t>Acuerdo N� 140, Acta N� 012/2023 (Directorio)</t>
  </si>
  <si>
    <t>Acuerdo N° 045, Acta N° 05/2023 (Directorio)</t>
  </si>
  <si>
    <t>Acuerdo Nº 36,  Acta Nº 04/2022 (Directorio)</t>
  </si>
  <si>
    <t>Acuerdo Nº 263,  Acta Nº 25/2021 (Directorio)</t>
  </si>
  <si>
    <t>Protección de Datos Personales</t>
  </si>
  <si>
    <t>PO-SINF02</t>
  </si>
  <si>
    <t>Acuerdo N° 067, Acta N° 06/2022 (Directorio)</t>
  </si>
  <si>
    <t>Acuerdo N° 295, Acta N° 25/2020 (Directorio)</t>
  </si>
  <si>
    <t xml:space="preserve"> Subgerencia de Riesgo Financiero </t>
  </si>
  <si>
    <t xml:space="preserve"> Data Science De Riesgo De Crédito</t>
  </si>
  <si>
    <t>Provisiones de Créditos</t>
  </si>
  <si>
    <t>PO-DCRC06</t>
  </si>
  <si>
    <t>Acuerdo N° 278, Acta N° 24/2023 (Directorio)</t>
  </si>
  <si>
    <t>Acuerdo N° 232, Acta N° 21/2022 (Directorio)</t>
  </si>
  <si>
    <t xml:space="preserve">Gerencia Mancomunada </t>
  </si>
  <si>
    <t xml:space="preserve"> Gerencia Legal </t>
  </si>
  <si>
    <t xml:space="preserve"> Subgerencia Legal </t>
  </si>
  <si>
    <t xml:space="preserve"> Gestión Procesal</t>
  </si>
  <si>
    <t>Constitucion de Provisiones y Pasivos Contingentes Derivados de Controversias Legales</t>
  </si>
  <si>
    <t>PO-GPRO01</t>
  </si>
  <si>
    <t>Acuerdo Nº 419,  Acta Nº 21/2013 (Directorio)</t>
  </si>
  <si>
    <t>Política para la Gestión Clasificación Reporte y Constitución de Provisiones por Controversias</t>
  </si>
  <si>
    <t>PO-GPRO02</t>
  </si>
  <si>
    <t>Acuerdo Nº 127, Acta Nº 12/2022 (Directorio)</t>
  </si>
  <si>
    <t>Acuerdo N° 270, Acta N° 025/2021 (Directorio)</t>
  </si>
  <si>
    <t xml:space="preserve"> Gerencia Mancomunada </t>
  </si>
  <si>
    <t xml:space="preserve"> Gerencia Mancomunada</t>
  </si>
  <si>
    <t>Dividendos</t>
  </si>
  <si>
    <t>Especial</t>
  </si>
  <si>
    <t>PO-GMAN01</t>
  </si>
  <si>
    <t>Acuerdo N° 008, Acta N° 001/2020 (Junta General de Accionistas)</t>
  </si>
  <si>
    <t xml:space="preserve">Gerente Central de Administración y Operaciones </t>
  </si>
  <si>
    <t xml:space="preserve"> Gerencia de Administración </t>
  </si>
  <si>
    <t xml:space="preserve"> Adquisiciones</t>
  </si>
  <si>
    <t>César</t>
  </si>
  <si>
    <t>Adquisición de Inmuebles</t>
  </si>
  <si>
    <t>PO-ADQI01</t>
  </si>
  <si>
    <t>ADQI-25-07-2022 Acta 02-PROC</t>
  </si>
  <si>
    <t>Acuerdo N° 22, Acta N° 03/2019 (Comité BGC)</t>
  </si>
  <si>
    <t xml:space="preserve"> Infraestructura Locativa</t>
  </si>
  <si>
    <t>Obras por Impuestos</t>
  </si>
  <si>
    <t>PO-ILOC01</t>
  </si>
  <si>
    <t>ILOC-16-08-2022 Acta 13-PROC</t>
  </si>
  <si>
    <t>Acuerdo Nº 207, Acta Nº 16/2020 (Directorio)</t>
  </si>
  <si>
    <t xml:space="preserve"> Gerencia de Personas y Desarrollo Organizacional </t>
  </si>
  <si>
    <t xml:space="preserve"> Administración De Personal</t>
  </si>
  <si>
    <t>Alexis</t>
  </si>
  <si>
    <t>Política de Remunerativa y Beneficios Laborales</t>
  </si>
  <si>
    <t>PO-APER01</t>
  </si>
  <si>
    <t>APER-09-03-2022-Acta 04- PROC</t>
  </si>
  <si>
    <t>Acuerdo N° 221, Acta N° 017/2020 (Directorio)</t>
  </si>
  <si>
    <t>Política de Vacaciones</t>
  </si>
  <si>
    <t>PO-APER02</t>
  </si>
  <si>
    <t>Política de Excepcion a la Obligación Laboral Exclusiva</t>
  </si>
  <si>
    <t>PO-APER03</t>
  </si>
  <si>
    <t>Política de Teletrabajo</t>
  </si>
  <si>
    <t>PO-APER04</t>
  </si>
  <si>
    <t xml:space="preserve"> Personas y Desarrollo Organizacional </t>
  </si>
  <si>
    <t xml:space="preserve"> Bienestar Y Clima Laboral</t>
  </si>
  <si>
    <t>Política de Reconocimiento e Incentivos</t>
  </si>
  <si>
    <t>PO-BCLA01</t>
  </si>
  <si>
    <t>Política de Atención a Trabajadores Declarados con Incapacidad</t>
  </si>
  <si>
    <t>PO-BCLAO02</t>
  </si>
  <si>
    <t xml:space="preserve"> Subgerencia de Gestión de Talento y Aprendizaje </t>
  </si>
  <si>
    <t xml:space="preserve"> Aprendizaje</t>
  </si>
  <si>
    <t>Política Desarrollo y Capacitación</t>
  </si>
  <si>
    <t>PO-APRE01</t>
  </si>
  <si>
    <t>Política de Líneas de Carrera y Planes de Sucesión</t>
  </si>
  <si>
    <t>PO-APRE02</t>
  </si>
  <si>
    <t xml:space="preserve">Gerente Central de Finanzas y Control de Gestión </t>
  </si>
  <si>
    <t xml:space="preserve"> Gerencia de Control de Gestión y Planificación Estratégica </t>
  </si>
  <si>
    <t xml:space="preserve"> Eficiencia</t>
  </si>
  <si>
    <t>Pilar</t>
  </si>
  <si>
    <t>Gastos</t>
  </si>
  <si>
    <t>PO-EFIC01</t>
  </si>
  <si>
    <t>Acuerdo N° 221, Acta N° 17/2020 (Directorio)</t>
  </si>
  <si>
    <t xml:space="preserve"> Gerencia de Finanzas </t>
  </si>
  <si>
    <t xml:space="preserve"> Subgerencia De Tesorería Y Mesa De Dinero </t>
  </si>
  <si>
    <t xml:space="preserve"> Subgerencia De Tesorería Y Mesa De Dinero</t>
  </si>
  <si>
    <t xml:space="preserve">Políticas y Manual de Producto Forwards de Tipo de Cambio </t>
  </si>
  <si>
    <t>Pilar Del Rocio Casani Tapia</t>
  </si>
  <si>
    <t>PO-SMTDO01</t>
  </si>
  <si>
    <t>Cambio de Moneda Extranjera</t>
  </si>
  <si>
    <t>PO-SMTDO03</t>
  </si>
  <si>
    <t>Tesorería</t>
  </si>
  <si>
    <t>PO-SMTDO04</t>
  </si>
  <si>
    <t>Acuerdo N° 127, Acta N° 12/2022 (Directorio)</t>
  </si>
  <si>
    <t xml:space="preserve"> Gerencia de Productos Pasivos </t>
  </si>
  <si>
    <t xml:space="preserve"> Productos Pasivos</t>
  </si>
  <si>
    <t>Depósitos</t>
  </si>
  <si>
    <t>PO-PPAS01</t>
  </si>
  <si>
    <t>acta 21</t>
  </si>
  <si>
    <t>FATCA</t>
  </si>
  <si>
    <t>PO-PPAS02</t>
  </si>
  <si>
    <t>Acta 21</t>
  </si>
  <si>
    <t xml:space="preserve">Gerente Central de Negocios </t>
  </si>
  <si>
    <t xml:space="preserve"> Subgerencia de Cobranza </t>
  </si>
  <si>
    <t xml:space="preserve"> Recuperaciones</t>
  </si>
  <si>
    <t>Castigo de Créditos</t>
  </si>
  <si>
    <t>PO-RECU01</t>
  </si>
  <si>
    <t>Acuerdo N� 166, Acta N� 14/2023 (Directorio)</t>
  </si>
  <si>
    <t>Recuperación de Créditos</t>
  </si>
  <si>
    <t>PO-RECU02</t>
  </si>
  <si>
    <t>Transferencia de Cartera de Créditos</t>
  </si>
  <si>
    <t>RE-RECU03</t>
  </si>
  <si>
    <t xml:space="preserve"> Gerencia de Canales Alternativos </t>
  </si>
  <si>
    <t xml:space="preserve"> Negocios En Canales Alternativos</t>
  </si>
  <si>
    <t>Dinero Electrónico</t>
  </si>
  <si>
    <t>PO-NECA01</t>
  </si>
  <si>
    <t>Acuerdo N°207, Acta N°019/2022 (Directorio)</t>
  </si>
  <si>
    <t xml:space="preserve"> Gerencia de Créditos </t>
  </si>
  <si>
    <t xml:space="preserve"> Gerencia de Créditos</t>
  </si>
  <si>
    <t>Claudia</t>
  </si>
  <si>
    <t>Créditos</t>
  </si>
  <si>
    <t>PO-CRED01</t>
  </si>
  <si>
    <t xml:space="preserve"> Gerencia de Marketing, Experiencia Cliente y Sostenibilidad </t>
  </si>
  <si>
    <t xml:space="preserve"> Marketing</t>
  </si>
  <si>
    <t>Auspicios</t>
  </si>
  <si>
    <t>PO-MARK01</t>
  </si>
  <si>
    <t>MARK-24-03-2022 Acta 14-PROC</t>
  </si>
  <si>
    <t>Acuerdo Nº 127, Acta Nº 012/2022 (Directorio)</t>
  </si>
  <si>
    <t>Acuerdo Nº 108  Acta Nº 08/2017(Directorio)</t>
  </si>
  <si>
    <t xml:space="preserve"> Responsabilidad Social Empresarial</t>
  </si>
  <si>
    <t>Ahorro de Energia Electrica</t>
  </si>
  <si>
    <t>PO-RSEM01</t>
  </si>
  <si>
    <t>Medioambiental</t>
  </si>
  <si>
    <t>PO-RSEM02</t>
  </si>
  <si>
    <t>Sostenibilidad y Responsabilidad Social</t>
  </si>
  <si>
    <t>PO-RSEM03</t>
  </si>
  <si>
    <t>Gestión Ambiental</t>
  </si>
  <si>
    <t>PO-RSEM04</t>
  </si>
  <si>
    <t>Reglamento</t>
  </si>
  <si>
    <t xml:space="preserve"> Directorio </t>
  </si>
  <si>
    <t xml:space="preserve"> Directorio</t>
  </si>
  <si>
    <t>Plan Anual de Directorio</t>
  </si>
  <si>
    <t>Jose Luis Talavera Talavera</t>
  </si>
  <si>
    <t>PL-DIRE01</t>
  </si>
  <si>
    <t>Acuerdo Nº 177, Acta Nº 08/2019 (Directorio)</t>
  </si>
  <si>
    <t>Reglamento del Directorio</t>
  </si>
  <si>
    <t>RE-DIRE01</t>
  </si>
  <si>
    <t>Acuerdo N°03, Acta N° 01/2021 (Directorio)</t>
  </si>
  <si>
    <t>Asignacion de Equipos de Computo Portátiles a Directores</t>
  </si>
  <si>
    <t>RE-DIRE02</t>
  </si>
  <si>
    <t>Acuerdo Nº 200, Acta Nº 15/2020 (Directorio)</t>
  </si>
  <si>
    <t>Marco de Gobierno Corporativo</t>
  </si>
  <si>
    <t>RE-DIRE03</t>
  </si>
  <si>
    <t>Comité de Buen Gobierno Corporativo</t>
  </si>
  <si>
    <t>RE-DIRE04</t>
  </si>
  <si>
    <t>Acuerdo N° 006, Acta N° 01/2023 (Directorio)</t>
  </si>
  <si>
    <t>Acuerdo N° 52, Acta N° 05/2021 (Directorio)</t>
  </si>
  <si>
    <t xml:space="preserve">Cumplimiento de Requisitos de Idoneidad Moral Idoneidad Técnica y Solvencia Económica de los Accionistas Beneficiarios Finales Directores Gerentes y Principales Funcionarios de Caja </t>
  </si>
  <si>
    <t>RE-DIRE06</t>
  </si>
  <si>
    <t>Acuerdo Nº 216, Acta Nº 21/2021 (Directorio)</t>
  </si>
  <si>
    <t xml:space="preserve"> Gerencia de Auditoría Interna </t>
  </si>
  <si>
    <t xml:space="preserve"> Gerencia de Auditoría Interna</t>
  </si>
  <si>
    <t>Comité de Auditoría</t>
  </si>
  <si>
    <t>RE-GAIN01</t>
  </si>
  <si>
    <t>Acta 22</t>
  </si>
  <si>
    <t>Acuerdo N� 159/2023, Acta N� 14-2023 (Directorio)</t>
  </si>
  <si>
    <t>Acuerdo Nº 164, Acta N° 10/2020 (Directorio)</t>
  </si>
  <si>
    <t>Estatuto de la Gerencia de Auditoría Interna</t>
  </si>
  <si>
    <t>RE-GAIN02</t>
  </si>
  <si>
    <t>Acuerdo Nº 91/2022, Acta Nº 08-2022 (Directorio)</t>
  </si>
  <si>
    <t>Acuerdo Nº 252,  Acta Nº 14/2018 (Directorio)</t>
  </si>
  <si>
    <t>Código de Etica de Auditoria Interna</t>
  </si>
  <si>
    <t>RE-GAIN03</t>
  </si>
  <si>
    <t>Acuerdo N° 91/2022, Acta N° 08-2022 (Directorio)</t>
  </si>
  <si>
    <t xml:space="preserve">Acuerdo N° 221, Acta N° 017/2020 (Directorio) </t>
  </si>
  <si>
    <t xml:space="preserve"> Gerencia de Compliance y Prevención</t>
  </si>
  <si>
    <t>Manual de Cumplimiento Normativo</t>
  </si>
  <si>
    <t>RE-OCNO01</t>
  </si>
  <si>
    <t xml:space="preserve">Acuerdo N° 003, Acta N° 001/2021 (Directorio) </t>
  </si>
  <si>
    <t>Manual de Gestión de Conducta de Mercado</t>
  </si>
  <si>
    <t>RE-OCME01</t>
  </si>
  <si>
    <t xml:space="preserve">Acuerdo N� 030, Acta N� 03/2023 (Directorio) </t>
  </si>
  <si>
    <t>Código de Buenas Prácticas de Conducta de Mercado</t>
  </si>
  <si>
    <t>RE-OCME02</t>
  </si>
  <si>
    <t xml:space="preserve">Acuerdo N� 028, Acta N� 03/2023 (Directorio) </t>
  </si>
  <si>
    <t>Acuerdo N° 106, Acta N° 05/2020 (Directorio)</t>
  </si>
  <si>
    <t>RE-PCON01</t>
  </si>
  <si>
    <t xml:space="preserve"> Gerencia de Riesgo Corporativo</t>
  </si>
  <si>
    <t>Comité de Riesgos</t>
  </si>
  <si>
    <t>RE-GRCO01</t>
  </si>
  <si>
    <t>Acuerdo N� 253, Acta N� 22/2023 (Directorio)</t>
  </si>
  <si>
    <t>Acuerdo N°151, Acta N° 15/2021 (Directorio)</t>
  </si>
  <si>
    <t>Manual de Gestión Integral de Riesgos</t>
  </si>
  <si>
    <t>RE-GRCO02</t>
  </si>
  <si>
    <t>Acuerdo N° 108, Acta N° 10/2022 (Directorio)</t>
  </si>
  <si>
    <t>Acuerdo Nº 199, Acta Nº 19/2021 (Directorio)</t>
  </si>
  <si>
    <t>Manual de Gestión de Apetito al Riesgo</t>
  </si>
  <si>
    <t>RE-GRCO06</t>
  </si>
  <si>
    <t>Acuerdo N° 203, Acta N° 028/2023 (Directorio)</t>
  </si>
  <si>
    <t>Acuerdo N° 162, Acta N° 14/2023 (Directorio)</t>
  </si>
  <si>
    <t>Acuerdo N° 043, Acta N° 05/2023 (Directorio)</t>
  </si>
  <si>
    <t>Acuerdo N° 067, Acta N° 06/2022  (Directorio)</t>
  </si>
  <si>
    <t>Acuerdo Nº 02,  Acta Nº 01/2018 (Directorio)</t>
  </si>
  <si>
    <t>Manual de Sistema de Gestión de Riesgo Operacional</t>
  </si>
  <si>
    <t>MG-RNFI01</t>
  </si>
  <si>
    <t>Acuerdo Nº 229, Acta Nº 20/2023 (Directorio)</t>
  </si>
  <si>
    <t>Acuerdo Nº 208, Acta Nº 18/2023 (Directorio)</t>
  </si>
  <si>
    <t>Acuerdo Nº 140, Acta Nº 12/2023 (Directorio)</t>
  </si>
  <si>
    <t>Acuerdo Nº 270, Acta Nº 25/2022 (Directorio)</t>
  </si>
  <si>
    <t>Acuerdo Nº 232, Acta Nº 21/2022 (Directorio)</t>
  </si>
  <si>
    <t>Acuerdo N 205 Acta N 19/2022 Directorio</t>
  </si>
  <si>
    <t>Manual de Sistema de Gestión de Continuidad del Negocio</t>
  </si>
  <si>
    <t>MG-RNFI02</t>
  </si>
  <si>
    <t>Acuerdo Nº 230, Acta Nº 020/2023 (Directorio)</t>
  </si>
  <si>
    <t>Acuerdo Nº 162, Acta Nº 014/2023 (Directorio)</t>
  </si>
  <si>
    <t>Acuerdo N° 131, Acta N° 12/2022 (Directorio)</t>
  </si>
  <si>
    <t>Acuerdo Nº 108,  Acta Nº 010/2022 (Directorio)</t>
  </si>
  <si>
    <t>Acuerdo N° 240, Acta N° 23/2021 (Directorio)</t>
  </si>
  <si>
    <t>Manual de Gestión del Riesgo de Reputación</t>
  </si>
  <si>
    <t>MG-RNFI03</t>
  </si>
  <si>
    <t>Manual de Gestión del Riesgo Estratégico</t>
  </si>
  <si>
    <t>MG-RNFI04</t>
  </si>
  <si>
    <t>Comité de Riesgo Operacional</t>
  </si>
  <si>
    <t>RE-RNFI01</t>
  </si>
  <si>
    <t xml:space="preserve"> Seguridad de la Información y PDP</t>
  </si>
  <si>
    <t>Manual de Sistema de Gestión de Seguridad de la Información y Ciberseguridad</t>
  </si>
  <si>
    <t>MG-SINF01</t>
  </si>
  <si>
    <t>Acuerdo Nº 085, Acta Nº 08/2023 (Directorio)</t>
  </si>
  <si>
    <t>Acuerdo Nº 18, Acta Nº 02/2023 (Directorio)</t>
  </si>
  <si>
    <t>Acuerdo Nº 250, Acta Nº 23/2022 (Directorio)</t>
  </si>
  <si>
    <t>Acuerdo Nº 036, Acta Nº 04/2022 (Directorio)</t>
  </si>
  <si>
    <t>Medios Extraíbles</t>
  </si>
  <si>
    <t>RE-SINF02</t>
  </si>
  <si>
    <t>Acuerdo N° 088, Acta N° 08/2022  (Directorio)</t>
  </si>
  <si>
    <t>Mensajería Electrónica</t>
  </si>
  <si>
    <t>RE-SINF03</t>
  </si>
  <si>
    <t>Responsabilidad en el Uso de Accesos, Servicios y Bienes Asignados</t>
  </si>
  <si>
    <t>RE-SINF04</t>
  </si>
  <si>
    <t>Uso de Controles Criptográficos</t>
  </si>
  <si>
    <t>RE-SINF05</t>
  </si>
  <si>
    <t>Acuerdo N� 018, Acta N� 02/2023 (Directorio)</t>
  </si>
  <si>
    <t>Equipos Desatendidos y Escritorio Limpio</t>
  </si>
  <si>
    <t>RE-SINF06</t>
  </si>
  <si>
    <t>Seguridad de la Información para la Gestión de Proyectos</t>
  </si>
  <si>
    <t>RE-SINF07</t>
  </si>
  <si>
    <t>Acuerdo N� 278, Acta N� 24/2023 (Directorio)</t>
  </si>
  <si>
    <t>Transferencia de Información</t>
  </si>
  <si>
    <t>RE-SINF08</t>
  </si>
  <si>
    <t>Protección de Registros de la Organización</t>
  </si>
  <si>
    <t>RE-SINF09</t>
  </si>
  <si>
    <t>Acuerdo Nº 279, Acta Nº 24/2023 (Directorio)</t>
  </si>
  <si>
    <t>Acuerdo N� 110, Acta N� 10/2023 (Directorio)</t>
  </si>
  <si>
    <t>Seguridad en la Cadena de Suministro de TI y Comunicación</t>
  </si>
  <si>
    <t>RE-SINF10</t>
  </si>
  <si>
    <t>Control  y Gestión de Accesos</t>
  </si>
  <si>
    <t>RE-SINF11</t>
  </si>
  <si>
    <t>Acuerdo Nº 253, Acta Nº 22/2023 (Directorio)</t>
  </si>
  <si>
    <t>Acuerdo Nº 018, Acta Nº 02/2023 (Directorio)</t>
  </si>
  <si>
    <t>Acuerdo N° 270, Acta N° 25/2022 (Directorio)</t>
  </si>
  <si>
    <t>Acuerdo N 263 Acta N 252022 Directorio</t>
  </si>
  <si>
    <t>Acuerdo N° 159, Acta N° 14/2022  (Directorio)</t>
  </si>
  <si>
    <t>Seguridad Ligada a los Recursos Humanos</t>
  </si>
  <si>
    <t>RE-SINF12</t>
  </si>
  <si>
    <t>Código de Conducta para el Tratamiento de Datos Personales</t>
  </si>
  <si>
    <t>RE-SINF13</t>
  </si>
  <si>
    <t>Comité de Protección de Datos Personales</t>
  </si>
  <si>
    <t>RE-SINF14</t>
  </si>
  <si>
    <t>Acuerdo Nº 232, Acta Nº 021/2022 (Directorio)</t>
  </si>
  <si>
    <t>Comité Táctico Operativo del SGSI-C</t>
  </si>
  <si>
    <t>RE-SINF15</t>
  </si>
  <si>
    <t>Acuerdo N� 205, Acta N� 19/2022 (Directorio)</t>
  </si>
  <si>
    <t>Acuerdo Nº 131,  Acta Nº 12/2022 (Directorio)</t>
  </si>
  <si>
    <t xml:space="preserve"> Admisión Y Seguimiento</t>
  </si>
  <si>
    <t>Manual de Gestión Riesgo de Crédito</t>
  </si>
  <si>
    <t>MG-ADSE02</t>
  </si>
  <si>
    <t>Acuerdo Nº 208, Acta Nº 018/2023 (Directorio)</t>
  </si>
  <si>
    <t>Acuerdo Nº 043, Acta Nº 05/2023 (Directorio)</t>
  </si>
  <si>
    <t>Acuerdo N° 071, Acta N° 07/2021 (Directorio)</t>
  </si>
  <si>
    <t>Manual de Gestión de Riesgo Social y Ambiental</t>
  </si>
  <si>
    <t>MG-ADSE04</t>
  </si>
  <si>
    <t xml:space="preserve"> Acuerdo N° 159, Acta N° 14/2022 (Directorio)</t>
  </si>
  <si>
    <t>Acuerdo Nº 204,  Acta Nº 15/2020 (Directorio).</t>
  </si>
  <si>
    <t>Determinación de Vinculación y Grupos Económicos</t>
  </si>
  <si>
    <t>MG-ADSE05</t>
  </si>
  <si>
    <t>Acuerdo N° 046, Acta N° 02/2020 (Directorio)</t>
  </si>
  <si>
    <t>Comité de Riesgo de Crédito</t>
  </si>
  <si>
    <t>RE-ADSE01</t>
  </si>
  <si>
    <t>Acuerdo Nº 127,  Acta Nº 12/2021 (Directorio)</t>
  </si>
  <si>
    <t>Manual de Gestión de Metodologías Riesgo de Crédito</t>
  </si>
  <si>
    <t>MG-DSRC01</t>
  </si>
  <si>
    <t>Acuerdo N° 205, Acta N° 19/2022 (Directorio)</t>
  </si>
  <si>
    <t>Acuerdo N° 88, Acta N° 08/2022 (Directorio)</t>
  </si>
  <si>
    <t>Manual Gobernanza de Modelos de Riesgo de Crédito</t>
  </si>
  <si>
    <t>MG-DSRC02</t>
  </si>
  <si>
    <t>Administración del Riesgo de Sobreendeudamiento Minorista</t>
  </si>
  <si>
    <t>RE-DSRC01</t>
  </si>
  <si>
    <t>Acuerdo N° 018, Acta N° 02/2021 (Directorio)</t>
  </si>
  <si>
    <t>Comité de Modelos y Analytics</t>
  </si>
  <si>
    <t>RE-DSRC02</t>
  </si>
  <si>
    <t>Acuerdo N° 127, Acta N° 12/2022  (Directorio)</t>
  </si>
  <si>
    <t xml:space="preserve"> Riesgo De Mercado Y Liquidez</t>
  </si>
  <si>
    <t>Manual de Gestión de Riesgo de Mercado</t>
  </si>
  <si>
    <t>RE-RMLI-01</t>
  </si>
  <si>
    <t>Acuerdo N° 278, Acta N° 024/2023 (Directorio)</t>
  </si>
  <si>
    <t>Acuerdo N° 229, Acta N° 020/2023 (Directorio)</t>
  </si>
  <si>
    <t>Acuerdo N° 208, Acta N° 018/2023 (Directorio)</t>
  </si>
  <si>
    <t>Acuerdo N° 045, Acta N° 005/2023 (Directorio)</t>
  </si>
  <si>
    <t>Acuerdo N° 159, Acta N° 014/2022 (Directorio)</t>
  </si>
  <si>
    <t>Manual de Gestión de Riesgo de Liquidez</t>
  </si>
  <si>
    <t>RE-RMLI-02</t>
  </si>
  <si>
    <t>Acuerdo N° 180, Acta N° 17/2022 (Directorio)</t>
  </si>
  <si>
    <t>Manual de Gestión de Capital</t>
  </si>
  <si>
    <t>RE-RMLI-03</t>
  </si>
  <si>
    <t>Acuerdo Nº 141, Acta Nº 07/2019 (Directorio)</t>
  </si>
  <si>
    <t xml:space="preserve"> Oficialía De Cumplimiento </t>
  </si>
  <si>
    <t xml:space="preserve"> Oficialía De Cumplimiento</t>
  </si>
  <si>
    <t>Prevención y Gestión de los Riesgos de Lavado de Activos y del Financiamiento del Terrorismo</t>
  </si>
  <si>
    <t>RE-OCUM01</t>
  </si>
  <si>
    <t>Acuerdo N° 207, Acta N° 19/2022 (Directorio)</t>
  </si>
  <si>
    <t>Acuerdo N° 056, Acta N° 05/2022 (Directorio)</t>
  </si>
  <si>
    <t>Acuerdo N° 306, Acta N° 26/2020 (Directorio)</t>
  </si>
  <si>
    <t>Comité de Gerencia</t>
  </si>
  <si>
    <t>RE-GMAN01</t>
  </si>
  <si>
    <t>Acuerdo Nº 039, Acta Nº 05/2018 (Comité de Buen Gobierno Corporativo)</t>
  </si>
  <si>
    <t>Contrataciones</t>
  </si>
  <si>
    <t>RE-ADQI01</t>
  </si>
  <si>
    <t>Acuerdo N� 235, Acta N� 21/2023 (Directorio)</t>
  </si>
  <si>
    <t>Acuerdo N�63, Acta N� 07/2023 (Directorio)</t>
  </si>
  <si>
    <t>Acuerdo Nº 67, Acta Nº 06/2022 (Directorio)</t>
  </si>
  <si>
    <t>Acuerdo Nº 221, Acta Nº 17/2020 (Directorio)</t>
  </si>
  <si>
    <t xml:space="preserve"> Control Patrimonial</t>
  </si>
  <si>
    <t>Administración de Bienes</t>
  </si>
  <si>
    <t>RE-CPAT01</t>
  </si>
  <si>
    <t>Venta de Bienes</t>
  </si>
  <si>
    <t>RE-CPAT02</t>
  </si>
  <si>
    <t>Acuerdo Nº 207, Acta Nº 19/2022 (Directorio)</t>
  </si>
  <si>
    <t>Vehículos</t>
  </si>
  <si>
    <t>RE-CPAT03</t>
  </si>
  <si>
    <t>Acuerdo Nº 106, Acta Nº 05/2020 (Directorio)</t>
  </si>
  <si>
    <t>Remodelación e Implementación de Agencias y Oficinas Administrativas</t>
  </si>
  <si>
    <t>RE-ILOC01</t>
  </si>
  <si>
    <t>Acuerdo N° 03, Acta N° 01/2021 (Directorio)</t>
  </si>
  <si>
    <t>Reglamento de Determinación y Selección de Puestos de Dirección y Confianza</t>
  </si>
  <si>
    <t>RE-APER01</t>
  </si>
  <si>
    <t>Acuerdo N° 298, Acta N° 25/2020 (Directorio)</t>
  </si>
  <si>
    <t>Reglamento Interno de Trabajo</t>
  </si>
  <si>
    <t>RE-APER02</t>
  </si>
  <si>
    <t>Código de Ética</t>
  </si>
  <si>
    <t>RE-APER03</t>
  </si>
  <si>
    <t>Reglamento Remunerativo</t>
  </si>
  <si>
    <t>RE-APER05</t>
  </si>
  <si>
    <t>Acuerdo N° 162, Acta N° 015/2021 (Directorio)</t>
  </si>
  <si>
    <t xml:space="preserve"> Gerencia De Personas Y Desarrollo Organizacional</t>
  </si>
  <si>
    <t>Reglamento del Comité de Remuneraciones</t>
  </si>
  <si>
    <t>RE-GDHU01</t>
  </si>
  <si>
    <t>MEMORANDO N� 265-2023-CMAC/GMAN</t>
  </si>
  <si>
    <t xml:space="preserve"> Innovation Lab </t>
  </si>
  <si>
    <t xml:space="preserve"> Innovation Lab</t>
  </si>
  <si>
    <t>Gestión de Actividades Temporales (Pilotos)</t>
  </si>
  <si>
    <t>USO INTERNO</t>
  </si>
  <si>
    <t>RE-GILA01</t>
  </si>
  <si>
    <t xml:space="preserve"> Acuerdo Nº 67, Acta Nº 06/2022 (Directorio)</t>
  </si>
  <si>
    <t xml:space="preserve"> Operaciones </t>
  </si>
  <si>
    <t xml:space="preserve"> Procesos Centrales Y Servicios</t>
  </si>
  <si>
    <t>Alejandra</t>
  </si>
  <si>
    <t>Caja General</t>
  </si>
  <si>
    <t>RE-PCEN02</t>
  </si>
  <si>
    <t>Acuerdo N° 03, Acta N°01/2021 (Directorio)</t>
  </si>
  <si>
    <t xml:space="preserve"> Soporte Financiero</t>
  </si>
  <si>
    <t>Soporte Financiero</t>
  </si>
  <si>
    <t>RE-SFIN01</t>
  </si>
  <si>
    <t>PCSE-14-03-2022 Acta 12-PROC</t>
  </si>
  <si>
    <t>Reglamento de Apoyo Económico a los Colaboradores en Caso de Desastres</t>
  </si>
  <si>
    <t>RE-BCLA02</t>
  </si>
  <si>
    <t>Reglamento Interno de Seguridad y Salud en el Trabajo</t>
  </si>
  <si>
    <t>RE-BCLA03</t>
  </si>
  <si>
    <t>Acuerdo N° 137, Acta N° 14/2021 (Directorio)</t>
  </si>
  <si>
    <t>Reglamento de Comité de Seguridad y Salud en el Trabajo</t>
  </si>
  <si>
    <t>RE-BCLA04</t>
  </si>
  <si>
    <t>Acuerdo N� 15, Acta N� 14/2023 (Directorio)</t>
  </si>
  <si>
    <t>Reglamento de Desarrollo y Capacitación</t>
  </si>
  <si>
    <t>RE -APRE01</t>
  </si>
  <si>
    <t xml:space="preserve"> Reclutamiento Y Selección</t>
  </si>
  <si>
    <t>Reglamento de Reclutamiento y Selección del Personal</t>
  </si>
  <si>
    <t>RE-RSEL01</t>
  </si>
  <si>
    <t xml:space="preserve"> Procesos y Calidad de Servicios Operacionales </t>
  </si>
  <si>
    <t xml:space="preserve"> Procesos</t>
  </si>
  <si>
    <t>Reglamento de Normativa Interna</t>
  </si>
  <si>
    <t>RE-PROC01</t>
  </si>
  <si>
    <t>Acuerdo Nº 108, Acta Nº 10/2022 (Directorio)</t>
  </si>
  <si>
    <t>Actas de los Comités</t>
  </si>
  <si>
    <t>RE-PROC02</t>
  </si>
  <si>
    <t>Acuerdo N° 39, Acta N° 04/2021 (Directorio)</t>
  </si>
  <si>
    <t xml:space="preserve"> TI </t>
  </si>
  <si>
    <t xml:space="preserve"> Ciberseguridad Y Continuidad Operacional</t>
  </si>
  <si>
    <t>Antimalware</t>
  </si>
  <si>
    <t>RE-CCOP02</t>
  </si>
  <si>
    <t>Gestión de Incidentes de Ciberseguridad</t>
  </si>
  <si>
    <t>RE-CCOP03</t>
  </si>
  <si>
    <t>Acuerdo N� 085, Acta N� 08/2023 (Directorio)</t>
  </si>
  <si>
    <t xml:space="preserve"> Infraestructura Y Tecnología</t>
  </si>
  <si>
    <t>Jose</t>
  </si>
  <si>
    <t>Cláusulas de Niveles de Servicio de Red</t>
  </si>
  <si>
    <t>RE-ITEC01</t>
  </si>
  <si>
    <t>Acuerdo N° 141, Acta N° 08/2020 (Directorio)</t>
  </si>
  <si>
    <t>Gestión de Cambios</t>
  </si>
  <si>
    <t>RE-ITEC03</t>
  </si>
  <si>
    <t>Acuerdo Nº 25,  Acta Nº 03/2019 (CBGC)</t>
  </si>
  <si>
    <t>Separación de Entornos de Desarrollo, Pruebas y Producción</t>
  </si>
  <si>
    <t>RE-ITEC04</t>
  </si>
  <si>
    <t>Software</t>
  </si>
  <si>
    <t>RE-ITEC05</t>
  </si>
  <si>
    <t>Gestión de la Capacidad</t>
  </si>
  <si>
    <t>RE-ITEC07</t>
  </si>
  <si>
    <t>Acuerdo N� 278,  Acta N� 24/2023 (Directorio)</t>
  </si>
  <si>
    <t>Gestión Respaldo de la Información</t>
  </si>
  <si>
    <t>RE-ITEC08</t>
  </si>
  <si>
    <t>Acuerdo N° 052, Acta N° 05/2021 (Directorio)</t>
  </si>
  <si>
    <t>Seguridad de Red</t>
  </si>
  <si>
    <t>RE-ITEC09</t>
  </si>
  <si>
    <t xml:space="preserve"> Mantención Y Desarrollo De Sistemas</t>
  </si>
  <si>
    <t>Desarrollo de Sistemas de la Información</t>
  </si>
  <si>
    <t>RE-MDSI01</t>
  </si>
  <si>
    <t>Acuerdo N� 263, Acta N� 25/2022 (Directorio)</t>
  </si>
  <si>
    <t>Acuerdo Nº 240, Acta Nº 23/2021 (Directorio)</t>
  </si>
  <si>
    <t xml:space="preserve"> Gerencia de Contabilidad y Tributaria </t>
  </si>
  <si>
    <t xml:space="preserve"> Contabilidad</t>
  </si>
  <si>
    <t>Manual de Políticas Contables</t>
  </si>
  <si>
    <t>RE-CONT03</t>
  </si>
  <si>
    <t>Acuerdo N° 020, Acta N° 03/2019 (CBGC)</t>
  </si>
  <si>
    <t xml:space="preserve"> Aseguramiento De Ingresos Y Excelencia Operacional</t>
  </si>
  <si>
    <t xml:space="preserve">Comité De Rentabilidad </t>
  </si>
  <si>
    <t>RE-AIEO01</t>
  </si>
  <si>
    <t>Acuerdo N° 203, Acta N° 19/2021 (Directorio)</t>
  </si>
  <si>
    <t xml:space="preserve">Gastos </t>
  </si>
  <si>
    <t>RE-EFIC01</t>
  </si>
  <si>
    <t>Acuerdo N� 227, Acta N� 021/2022 (Directorio)</t>
  </si>
  <si>
    <t xml:space="preserve"> Planificación Estratégica Y Bsc</t>
  </si>
  <si>
    <t>Comité de Inversiones y Proyectos</t>
  </si>
  <si>
    <t>RE-PEBS01</t>
  </si>
  <si>
    <t>PEBS-08-03-2022 Acta 03-PROC</t>
  </si>
  <si>
    <t xml:space="preserve">Acuerdo N° 127, Acta N° 012/2022 (Directorio) </t>
  </si>
  <si>
    <t>Normas Internas de Conducta</t>
  </si>
  <si>
    <t>RE-SMTD01</t>
  </si>
  <si>
    <t>Acuerdo N° 298, Acta N° 025/2020 (Directorio)</t>
  </si>
  <si>
    <t>RE-SMTD03</t>
  </si>
  <si>
    <t>Acuerdo N° 302, Acta N° 026/2020 (Directorio)</t>
  </si>
  <si>
    <t>Comité de Gestión de Activos y Pasivos (ALCO)</t>
  </si>
  <si>
    <t>RE-TESO05</t>
  </si>
  <si>
    <t>Acuerdo N� 006, Acta N� 001/2023 (Directorio)</t>
  </si>
  <si>
    <t>RE-PPAS01</t>
  </si>
  <si>
    <t>Manual Ley FATCA</t>
  </si>
  <si>
    <t>RE-PPAS02</t>
  </si>
  <si>
    <t>Catálogo de Productos Pasivos</t>
  </si>
  <si>
    <t>RE-PPAS03</t>
  </si>
  <si>
    <t>Acuerdo N�45, Acta N� 007/2023 (Comit� de Gerencia)</t>
  </si>
  <si>
    <t>Acuerdo N°86, Acta N° 21/2021 (Comité de Gerencia)</t>
  </si>
  <si>
    <t xml:space="preserve"> Calidad Y Tecnología Crediticia</t>
  </si>
  <si>
    <t xml:space="preserve">Reglamento de Calidad y Tecnología Crediticia </t>
  </si>
  <si>
    <t>RE-CTCR-01</t>
  </si>
  <si>
    <t>Acta N°056, Acuerdo N°009/2020 (Comité de Gerencia)</t>
  </si>
  <si>
    <t>Acuerdo N°01, Acta N° 01-2019 (Cbgc)</t>
  </si>
  <si>
    <t>RE-RECU01</t>
  </si>
  <si>
    <t>Acuerdo Nº 019, Acta Nº 06/2015  (CBGC)</t>
  </si>
  <si>
    <t>RE-RECU04</t>
  </si>
  <si>
    <t>Acuerdo N° 106/2020, Acta N° 05/2020 (Sesión de Directorio)</t>
  </si>
  <si>
    <t>Reglamento de Cobros y Pagos</t>
  </si>
  <si>
    <t>RE-RECU06</t>
  </si>
  <si>
    <t>Catálogo Perfil de Cliente y Productos Crediticios</t>
  </si>
  <si>
    <t>CP-CRE05</t>
  </si>
  <si>
    <t>Acuerdo N� 057, Acta N� 018 /2023 (Comit� de Gerencia)</t>
  </si>
  <si>
    <t>Acuerdo N� 026, Acta N� 005 /2023 (Comit� de Gerencia)</t>
  </si>
  <si>
    <t>Acuerdo N� 045, Acta N� 007 /2023 (Comit� de Gerencia)</t>
  </si>
  <si>
    <t xml:space="preserve">Acuerdo N� 120, Acta N� 026 /2022 (Comit� de Gerencia) </t>
  </si>
  <si>
    <t xml:space="preserve">Acuerdo 105, Acta N° 024 /2022 (Comité de Gerencia) </t>
  </si>
  <si>
    <t xml:space="preserve">Acuerdo 118, Acta N° 028 /2021 (Comité de Gerencia) </t>
  </si>
  <si>
    <t>RE-GCRE04</t>
  </si>
  <si>
    <t xml:space="preserve">Acuerdo N° 240, Acta N° 023/2021 (Directorio) </t>
  </si>
  <si>
    <t xml:space="preserve"> Gerencia de Estrategia de Negocios y Segmentos </t>
  </si>
  <si>
    <t xml:space="preserve"> Producto Seguros</t>
  </si>
  <si>
    <t>Catalogo de Seguros</t>
  </si>
  <si>
    <t>CP-PSEG02</t>
  </si>
  <si>
    <t>Acuerdo N� 109, Acta N� 019/2023 (Comit� de Gerencia)</t>
  </si>
  <si>
    <t>Acuerdo N� 73, Acta N� 012/2023 (Comit� de Gerencia)</t>
  </si>
  <si>
    <t>Acuerdo N� 135, Acta N� 028/2022 (Comit� de Gerencia)</t>
  </si>
  <si>
    <t xml:space="preserve">Acuerdo 114, Acta N° 027 /2021 (Comité de Gerencia) </t>
  </si>
  <si>
    <t>Seguros</t>
  </si>
  <si>
    <t>RE-SEPE01</t>
  </si>
  <si>
    <t xml:space="preserve"> Experiencia Del Cliente</t>
  </si>
  <si>
    <t>Comité de Experiencia del Cliente</t>
  </si>
  <si>
    <t>RE-ECLI01</t>
  </si>
  <si>
    <t>Instructivo</t>
  </si>
  <si>
    <t>Seguimiento de los Acuerdos del BGC</t>
  </si>
  <si>
    <t>Elizabeth Reinoso Navarro</t>
  </si>
  <si>
    <t>IN-17.7.01</t>
  </si>
  <si>
    <t>Reprogramación de Fechas para Implementar Recomendaciones Incluidas en Informes de Auditoría Interna</t>
  </si>
  <si>
    <t>IN-23.1-01</t>
  </si>
  <si>
    <t>Acta N� 153-2023-PROC (Gerencia de Auditoria Interna)</t>
  </si>
  <si>
    <t>Administración SISNE</t>
  </si>
  <si>
    <t>IN-24.1-01</t>
  </si>
  <si>
    <t>Acuerdo Nº 15, Acta Nº 003/2022 (Comité de Gerencia)</t>
  </si>
  <si>
    <t>Acta N° 248-2020-PROC (Oficialía de Cumplimiento Normativo)</t>
  </si>
  <si>
    <t>Difusión, Evaluación y Monitoreo de Normativa</t>
  </si>
  <si>
    <t>IN-24.1-02</t>
  </si>
  <si>
    <t>Acuerdo N� 11, Acta N� 003/2023 (Comit� de Gerencia)</t>
  </si>
  <si>
    <t>Acta N° 027-2022-PROC (Oficialía de Cumplimiento Normativo)</t>
  </si>
  <si>
    <t>Acta N° 234-2020-PROC (Oficialía de Cumplimiento Normativo)</t>
  </si>
  <si>
    <t>Entrega de Información a Entidades Externas</t>
  </si>
  <si>
    <t>IN-24.2.01</t>
  </si>
  <si>
    <t>Acuerdo N° 221, Acta N° 17/2020 (Directorio) </t>
  </si>
  <si>
    <t>Fedateo de Documentos</t>
  </si>
  <si>
    <t>IN-24.2-02</t>
  </si>
  <si>
    <t>Gestión de Transparencia de Información</t>
  </si>
  <si>
    <t>IN-24.3-01</t>
  </si>
  <si>
    <t>Acuerdo N� 073, Acta N� 012/2023 (Comit� de Gerencia)</t>
  </si>
  <si>
    <t>Acuerdo Nº 157, Acta N° 033/2021 (Comité de Gerencia)</t>
  </si>
  <si>
    <t>Elaboración, Modificación y Eliminación de Formatería.</t>
  </si>
  <si>
    <t>IN-24.3-02</t>
  </si>
  <si>
    <t>Acuerdo Nº 040-2022, Acta N° 009/2022 (Comité de Gerencia)</t>
  </si>
  <si>
    <t>Acuerdo Nº 143-2020, Acta N° 042/2020 (Comité de Gerencia)</t>
  </si>
  <si>
    <t>Gestión de Prácticas de Negocio</t>
  </si>
  <si>
    <t>IN-24.4-03</t>
  </si>
  <si>
    <t>Investigación de Fraude, Incumplimientos</t>
  </si>
  <si>
    <t>IN-23.2-02</t>
  </si>
  <si>
    <t>Acuerdo N� 088, Acta N� 016/2023 (Comit� de Gerencia)</t>
  </si>
  <si>
    <t>Acuerdo N° 012, Acta N° 002/2022 (Comité de Gerencia)</t>
  </si>
  <si>
    <t xml:space="preserve">Acuerdo N° 198, Acta N° 30/2021 (Comité de Gerencia) </t>
  </si>
  <si>
    <t>Monitoreo de Log en Canales Digitales</t>
  </si>
  <si>
    <t>IN-23.2-03</t>
  </si>
  <si>
    <t>Acuerdo N° 047, Acta N° 014/2022 (Comité de Gerencia)</t>
  </si>
  <si>
    <t>Atención de Estafas y Fraudes en Agencias</t>
  </si>
  <si>
    <t>IN-23.2-04</t>
  </si>
  <si>
    <t>Operaciones Correspondientes a Patrones de Fraude</t>
  </si>
  <si>
    <t>IN-23.2-05</t>
  </si>
  <si>
    <t>Acuerdo N� 111, Acta N� 021/2023 (Comit� de Gerencia)</t>
  </si>
  <si>
    <t>Acuerdo N� 10, Acta N� 003/2023 (Comit� de Gerencia)</t>
  </si>
  <si>
    <t>Acta N° 017- 2020-Dorg (Gerencia De Operaciones Y Canales)</t>
  </si>
  <si>
    <t>Canal de Denuncias</t>
  </si>
  <si>
    <t>IN-23.2-1</t>
  </si>
  <si>
    <t>Gestión de los Centros de Reuniones para Continuidad del Negocio</t>
  </si>
  <si>
    <t>IN-22.2-01</t>
  </si>
  <si>
    <t>Acta Nº 78-PROC-2022 (Gerencia de Riesgo Corporativo)</t>
  </si>
  <si>
    <t>Acta Nº 61-PROC-2022 (Gerencia de Riesgo Corporativo)</t>
  </si>
  <si>
    <t>Acta N° 265-Proc-2020 (Gerencia De Riesgo Corporativo)</t>
  </si>
  <si>
    <t>Reporte de Eventos de Interrupción Significativa de Operaciones</t>
  </si>
  <si>
    <t>IN-22.2-03</t>
  </si>
  <si>
    <t>Manual de Instructivos de Sistema de Gestión de Continuidad del Negocio (SGCN)</t>
  </si>
  <si>
    <t>IN-22.2-04</t>
  </si>
  <si>
    <t>Acta N� 156-2023-PROC (Gerencia de Riesgo Corporativo)</t>
  </si>
  <si>
    <t>Acta N° 091-PROC-2022 (Gerencia de Riesgo Corporativo)</t>
  </si>
  <si>
    <t>Acta N° 174-PROC-2021 (Gerencia de Riesgo Corporativo)</t>
  </si>
  <si>
    <t>Actualización de Planes de Continuidad del Negocio</t>
  </si>
  <si>
    <t>IN-22.2-05</t>
  </si>
  <si>
    <t>Acta N° 153-PROC-2020 (Gerencia de Riesgos Corporativo)</t>
  </si>
  <si>
    <t>Gestión de Eventos de Pérdida por Riesgo Operacional</t>
  </si>
  <si>
    <t>IN-22.6-01</t>
  </si>
  <si>
    <t xml:space="preserve">Acta N� 230-2023-PROC (Gerencia de Riesgo Corporativo) </t>
  </si>
  <si>
    <t>Acta N° 247-2022-PROC (Gerencia de Riesgo Corporativo)</t>
  </si>
  <si>
    <t>Acta N° 004-PROC-2022 (Gerencia de Riesgo Corporativo)</t>
  </si>
  <si>
    <t>Acta N° 271-2020-PROC (Gerencia de Riesgo Corporativo)</t>
  </si>
  <si>
    <t>Gestión para Cambios Importantes y Nuevos Productos</t>
  </si>
  <si>
    <t>IN-22.6-02</t>
  </si>
  <si>
    <t>Acta N� 197-2023-PROC (Gerencia de Riesgo Corporativo)</t>
  </si>
  <si>
    <t>Acta N° 243-2022-PROC (Gerencia de Riesgo Corporativo)</t>
  </si>
  <si>
    <t>Acta Nº 070-PROC-2022 (Gerencia de Riesgo Corporativo)</t>
  </si>
  <si>
    <t>Acta N° 164-PROC-2021 (Gerencia de Riesgo Corporativo)</t>
  </si>
  <si>
    <t>Gestión de Riesgo Operacional para Nuevos Productos y Cambios Importantes</t>
  </si>
  <si>
    <t>IN-22.6-03</t>
  </si>
  <si>
    <t>Acta N� 249-2022-PROC (Gerencia de Riesgo Corporativo)</t>
  </si>
  <si>
    <t>Acta N° 004-Proc-2022 (Gerencia De Riesgo Corporativo)</t>
  </si>
  <si>
    <t>Gestión Ágil de Riesgo Operacional para Nuevos Productos y Cambios Importantes</t>
  </si>
  <si>
    <t>IN-22.6-04</t>
  </si>
  <si>
    <t>Clasificación de Riesgos y Eventos de Pérdida por Riesgo Operacional</t>
  </si>
  <si>
    <t>IN-22.6-05</t>
  </si>
  <si>
    <t>Autoevaluación de Riesgos y Controles</t>
  </si>
  <si>
    <t>IN-22.6-06</t>
  </si>
  <si>
    <t>Acta N� 183-2023-PROC (Gerencia de Riesgo Corporativo)</t>
  </si>
  <si>
    <t>Manual de Instructivos del Sistema de Gestión de Seguridad de la Información y Ciberseguridad (SGSI-C)</t>
  </si>
  <si>
    <t>IN-22.3-01</t>
  </si>
  <si>
    <t>Acta N�251-2023/PROC (Gerencia de Riesgo Corporativo)</t>
  </si>
  <si>
    <t>Acta N� 194-2023-PROC (Gerencia de Riesgo Corporativo)</t>
  </si>
  <si>
    <t>Acta Nº 165-2022-PROC (Gerencia de Riesgo Corporativo)</t>
  </si>
  <si>
    <t>Acta Nº 156-2022-Proc (Gerencia De Riesgo Corporativo)</t>
  </si>
  <si>
    <t>Acta Nº 162-2022-PROC (Gerencia de Riesgo Corporativo)</t>
  </si>
  <si>
    <t>Autorización  de Intercambio Seguro de Información por Mensajería Electrónica</t>
  </si>
  <si>
    <t>IN-22.3-02</t>
  </si>
  <si>
    <t>Acta N� 250-2023-PROC (Gerente de Riesgo Corporativo)</t>
  </si>
  <si>
    <t>Monitoreo de Controles del SGSI-C</t>
  </si>
  <si>
    <t>IN-22.3-03</t>
  </si>
  <si>
    <t xml:space="preserve"> Acta N� 240-2023-PROC (Gerencia de Riesgo Corporativo)</t>
  </si>
  <si>
    <t>Acta N� 062-2023-PROC (Gerencia de Riesgo Corporativo)</t>
  </si>
  <si>
    <t>Acta N� 011-2023-PROC (Gerencia de Riesgo Corporativo)</t>
  </si>
  <si>
    <t>Acta N° 100-2022-PROC (Gerencia de Riesgo Corporativo)</t>
  </si>
  <si>
    <t>Gestión de Llaves de Cifrado</t>
  </si>
  <si>
    <t>IN-22.3-05</t>
  </si>
  <si>
    <t>Acta N� 102-2023-PROC (Gerencia de Riesgo Corporativo)</t>
  </si>
  <si>
    <t>Acuerdo Nº 127,  Acta Nº 12/2022(Directorio)</t>
  </si>
  <si>
    <t>Contacto con Autoridades y Grupos de Interés Especial</t>
  </si>
  <si>
    <t>IN-22.3-06</t>
  </si>
  <si>
    <t>Acta N° 088-2022-PROC (Gerencia de Riesgo Corporativo)</t>
  </si>
  <si>
    <t>Gestión de Perfiles de los Sistemas Informáticos y Base de Datos</t>
  </si>
  <si>
    <t>IN-22.3-07</t>
  </si>
  <si>
    <t>Acta N� 157-2023-PROC (Gerencia de Riesgo Corporativo)</t>
  </si>
  <si>
    <t>Acta N 233-2022-PROC (Gerencia de Riesgo Corporativo)</t>
  </si>
  <si>
    <t>Acta N°014-2022-PROC (Gerencia de Riesgo Corporativo)</t>
  </si>
  <si>
    <t>Almacenamiento de Datos del Titular de la Tarjeta</t>
  </si>
  <si>
    <t>IN-22.3-08</t>
  </si>
  <si>
    <t>Acta N� 144-2023-PROC (Gerencia de TI)</t>
  </si>
  <si>
    <t>Monitoreo de Dispositivos Móviles</t>
  </si>
  <si>
    <t>IN-22.3-09</t>
  </si>
  <si>
    <t>Actualización del CDE (Cardholder Data Environment)</t>
  </si>
  <si>
    <t>IN-22.3-10</t>
  </si>
  <si>
    <t xml:space="preserve">Acta N� 196-2023- PROC (Gerencia de Riesgo Corporativo)  </t>
  </si>
  <si>
    <t>Administración de Derechos ARCO</t>
  </si>
  <si>
    <t>IN-22.9-01</t>
  </si>
  <si>
    <t>Protocolo de Atención a la Autoridad Nacional de Protección de Datos Personales (APDP)</t>
  </si>
  <si>
    <t>IN-22.9-02</t>
  </si>
  <si>
    <t>Acta N° 182-PROC-2021 (Gerencia de Riesgo Corporativo)</t>
  </si>
  <si>
    <t>Gestión de Bancos de Datos</t>
  </si>
  <si>
    <t>IN-22.9-03</t>
  </si>
  <si>
    <t>Acuerdo Nº 127,  Acta Nº 12/2022 (Directorio)</t>
  </si>
  <si>
    <t>Opinión de Riesgos y Gestión de Autonomías</t>
  </si>
  <si>
    <t>IN-22.4-06</t>
  </si>
  <si>
    <t>Acta N 121-2022-PROC</t>
  </si>
  <si>
    <t>Acta N° 041-PROC-2021 (Gerencia de Riesgo Corporativo)</t>
  </si>
  <si>
    <t xml:space="preserve">Acuerdo N° 221, Acta N° 17/2020 (Directorio)
</t>
  </si>
  <si>
    <t>Rating de Agencias y Rating de Analistas de Créditos</t>
  </si>
  <si>
    <t>IN-22.4-07</t>
  </si>
  <si>
    <t>Acta N� 171-2023-PROC (Gerencia de Riesgo Corporativo)</t>
  </si>
  <si>
    <t>Acta N° 195-2022-PROC (Gerencia de Riesgo Corporativo)</t>
  </si>
  <si>
    <t>Acta N° 041-2022-PROC (Gerencia de Riesgo Corporativo)</t>
  </si>
  <si>
    <t>Seguimiento y Supervisión de Agencias</t>
  </si>
  <si>
    <t>IN-22.4-08</t>
  </si>
  <si>
    <t>Acta N� 175-2023-PROC (Gerencia de Riesgo Corporativo)</t>
  </si>
  <si>
    <t>Acta N° 215-PROC-2021 (Gerencia de Riesgo Corporativo)</t>
  </si>
  <si>
    <t>Control de Sobreendeudamiento</t>
  </si>
  <si>
    <t>IN-22.4-03</t>
  </si>
  <si>
    <t>Acta N� 016-2023-PROC (Gerencia de Riesgo Corporativo)</t>
  </si>
  <si>
    <t>Acta Nº 126-2022-PROC (Gerencia de Riesgo Corporativo)</t>
  </si>
  <si>
    <t>Acuerdo N° 157, Acta N° 33/2021 (Comité de Gerencia)</t>
  </si>
  <si>
    <t>Evaluación y Clasificación del Deudor y Exigencia de Provisiones</t>
  </si>
  <si>
    <t>IN-22.4-04</t>
  </si>
  <si>
    <t>Acuerdo N° 221, Acta N°17/2020 (Directorio)</t>
  </si>
  <si>
    <t>Identificación de Clientes Expuestos a Riesgo Cambiario Crediticio</t>
  </si>
  <si>
    <t>IN-22.4-05</t>
  </si>
  <si>
    <t>Cálculo de Límite Global e Individual de Créditos a Directores y Trabajadores</t>
  </si>
  <si>
    <t>IN-22.1-01</t>
  </si>
  <si>
    <t>Acta Nº 074-2022-PROC (Gerencia de Riesgo Corporativo)</t>
  </si>
  <si>
    <t>Actualización de la Información en la Central de Riesgos</t>
  </si>
  <si>
    <t>IN-22.4-02</t>
  </si>
  <si>
    <t>Control de Excesos a Los Límites Internos de Riesgos de Mercado</t>
  </si>
  <si>
    <t>IN-22.5-01</t>
  </si>
  <si>
    <t>Acta Nº 113-2022-PROC (Gerencia de Riesgo Corporativo)</t>
  </si>
  <si>
    <t>Revisión y Control de Límites de Riesgo de Mercado y Liquidez</t>
  </si>
  <si>
    <t>IN-22.5-02</t>
  </si>
  <si>
    <t>Traspaso de Instrumentos de Inversión Entre la Cartera de Negociación y el Libro Bancario</t>
  </si>
  <si>
    <t>IN-22.5-03</t>
  </si>
  <si>
    <t>RMLI-11-05-2022 Acta 11-PROC</t>
  </si>
  <si>
    <t>Metodologías para la Elaboración de Anexos y Reportes de Riesgos</t>
  </si>
  <si>
    <t>IN-22.1-02</t>
  </si>
  <si>
    <t>Acta N� 213-2023-PROC (Gerencia de Riesgo Corporativo)</t>
  </si>
  <si>
    <t>Acta N� 097-2023-PROC (Gerencia de Riesgo Corporativo)</t>
  </si>
  <si>
    <t>Acta N° 209-2022-Proc (Gerencia De Riesgo Corporativo)</t>
  </si>
  <si>
    <t>Acta N° 087-2022-PROC (Gerencia de Riesgo Corporativo)</t>
  </si>
  <si>
    <t>Acta N° 18-2022-PROC (Gerencia de Riesgo Corporativo)</t>
  </si>
  <si>
    <t>Acta N° 181-2021-Proc (Gerencia De Riesgo Corporativo)</t>
  </si>
  <si>
    <t>Análisis y Revisión de la Segmentación Semestral de los Clientes</t>
  </si>
  <si>
    <t>IN-25.1-01</t>
  </si>
  <si>
    <t>Acta N�066 -2023-PROC (Oficial�a de Cumplimiento)</t>
  </si>
  <si>
    <t xml:space="preserve">Acta N° 116 /2018-DORG (Oficialía de Cumplimiento) </t>
  </si>
  <si>
    <t>Congelamiento Administrativo de Fondos para Lavado de Activos y Financiamiento de Terrorismo</t>
  </si>
  <si>
    <t>IN-25.1-02</t>
  </si>
  <si>
    <t>Acta N� 128-2023-PROC (Oficial�a de Cumplimiento)</t>
  </si>
  <si>
    <t>Acta N° 224-2020-PROC (Oficialía de Cumplimiento)</t>
  </si>
  <si>
    <t>Determinación de los Perfiles de Riesgo de los Clientes para la Prevención de LA/FT</t>
  </si>
  <si>
    <t>IN-25.1-03</t>
  </si>
  <si>
    <t>Acta N� 037-2023-PROC (Oficial�a de Cumplimiento)</t>
  </si>
  <si>
    <t xml:space="preserve"> Acta N° 197-2021-PROC (Oficialía de Cumplimiento) </t>
  </si>
  <si>
    <t>Metodología SARLAFT</t>
  </si>
  <si>
    <t>IN-25.1-04</t>
  </si>
  <si>
    <t>Acta N°185 -2022-PROC (Oficialía de Cumplimiento)</t>
  </si>
  <si>
    <t>Acta N° 162-2021-PROC (Oficialía de Cumplimiento)</t>
  </si>
  <si>
    <t>Indicadores Clave de Gestión y Riesgo de LA/FT</t>
  </si>
  <si>
    <t>IN-25.1-05</t>
  </si>
  <si>
    <t xml:space="preserve">Acta N°039/2022 - Proc (Oficialía De Cumplimiento)
</t>
  </si>
  <si>
    <t>Administración de Operaciones Únicas en Efectivo y Múltiples</t>
  </si>
  <si>
    <t>IN-25.1-06</t>
  </si>
  <si>
    <t>Acta N� 198-2023-PROC (Oficial�a de Cumplimiento)</t>
  </si>
  <si>
    <t>Acta N° 099-2022-PROC (Oficialía de Cumplimiento)</t>
  </si>
  <si>
    <t>Acta N° 213-2021-PROC (Oficial de Cumplimiento)</t>
  </si>
  <si>
    <t>Análisis y Evaluación de Operaciones Inusuales y Sospechosas</t>
  </si>
  <si>
    <t>IN-25.1-07</t>
  </si>
  <si>
    <t>Acta N� 178-2023-PROC (Oficial�a de Cumplimiento)</t>
  </si>
  <si>
    <t>Acta N° 234-2022-PROC (Oficialía de Cumplimiento)</t>
  </si>
  <si>
    <t>Acta N° 017-2022-PROC (Oficialía de Cumplimiento)</t>
  </si>
  <si>
    <t>Acta N° 189-2021-Proc (Oficialía De Cumplimiento)</t>
  </si>
  <si>
    <t>Administración de Listas Negras de LA/FT para la Aceptación y Desvinculación de Clientes</t>
  </si>
  <si>
    <t>IN-25.1-08</t>
  </si>
  <si>
    <t>Acta N� 056-2023-PROC (Oficial�a de Cumplimiento)</t>
  </si>
  <si>
    <t>Acta N� 018-2023-PROC (Oficial�a de Cumplimiento)</t>
  </si>
  <si>
    <t>Acta N° 157-2022-PROC (Oficialía de Cumplimiento)</t>
  </si>
  <si>
    <t>Acta N° 005-2022-PROC (Oficial de Cumplimiento)</t>
  </si>
  <si>
    <t>Acuerdo Nº 157. Acta Nº 033/2021 (Comité De Gerencia)</t>
  </si>
  <si>
    <t>Evaluación del Riesgo de LA/FT de Apertura de Nuevas Agencias, Nuevos Productos y Cambios Importantes y Bienes y Servicios Provistos por Terceros</t>
  </si>
  <si>
    <t>IN-25.1-09</t>
  </si>
  <si>
    <t xml:space="preserve">Acta N°034/2022 - PROC (Oficialía de Cumplimiento) </t>
  </si>
  <si>
    <t>Acta N°012/2019 - DORG (Oficialía de Cumplimiento)</t>
  </si>
  <si>
    <t>Determinación de Señales de Alerta para la Prevención de LAFT</t>
  </si>
  <si>
    <t>IN-25.1-10</t>
  </si>
  <si>
    <t>Acta N° 102-2022-PROC (Oficialía de Cumplimiento)</t>
  </si>
  <si>
    <t>Acta N° 007-2022-Proc (Oficialía De Cumplimiento)</t>
  </si>
  <si>
    <t xml:space="preserve"> Asesoría Legal</t>
  </si>
  <si>
    <t>Administración de Formatos Contractuales</t>
  </si>
  <si>
    <t>IN-18.1-01</t>
  </si>
  <si>
    <t>Acta N� 019-2023-PROC (Gerencia Legal)</t>
  </si>
  <si>
    <t>Acuerdo N° 157, Acta N° 033/2021 (Comité de Gerencia)</t>
  </si>
  <si>
    <t>Acta N° 271-2019-DORG (Gerencia Legal)</t>
  </si>
  <si>
    <t>Atención de Comunicaciones de Entidades Públicas y Terceros</t>
  </si>
  <si>
    <t>IN-18.1-02</t>
  </si>
  <si>
    <t>Acta N� 125-2023-PROC (Gerencia Legal)</t>
  </si>
  <si>
    <t>Acta N° 045-2020-DORG (Gerencia Legal)</t>
  </si>
  <si>
    <t>Elaboración de Convenios de Créditos</t>
  </si>
  <si>
    <t>IN-18.1-05</t>
  </si>
  <si>
    <t>Otorgamiento y Revocatoria de Poderes</t>
  </si>
  <si>
    <t>IN-18.1-06</t>
  </si>
  <si>
    <t>Acta N� 246-2023-PROC (Gerencia Legal)</t>
  </si>
  <si>
    <t>Revisión de Poderes de Personas Jurídicas</t>
  </si>
  <si>
    <t>IN-18.1-07</t>
  </si>
  <si>
    <t>Elaboración de Contratos</t>
  </si>
  <si>
    <t>IN-18.1-08</t>
  </si>
  <si>
    <t>Acta N� 189-2023-PROC (Gerencia Legal)</t>
  </si>
  <si>
    <t>Acta N� 105-2023-PROC (Gerencia Legal)</t>
  </si>
  <si>
    <t>Acta N° 176-2021-PROC (Gerencia Legal)</t>
  </si>
  <si>
    <t>Atención de Procedimientos Administrativos</t>
  </si>
  <si>
    <t>IN-18.1-09</t>
  </si>
  <si>
    <t>Acta N° 81-2021-PROC (Gerencia Legal)</t>
  </si>
  <si>
    <t>Ejecución de Conciliaciones Extrajudiciales</t>
  </si>
  <si>
    <t>IN-18.2-03</t>
  </si>
  <si>
    <t>Atención de Denuncias y Procesos Penales</t>
  </si>
  <si>
    <t>IN-18.2-04</t>
  </si>
  <si>
    <t>Gestión, Clasificación, Reporte y Constitución de Provisiones por Controversias</t>
  </si>
  <si>
    <t>IN-18.2-05</t>
  </si>
  <si>
    <t>Acta N211-2022-PROC (Gerencia Legal)</t>
  </si>
  <si>
    <t>Acta N°150-2022-PROC (Gerencia Legal)</t>
  </si>
  <si>
    <t>Acta N°048-2022-PROC (Gerencia Legal)</t>
  </si>
  <si>
    <t>Acta N°231-2021-Proc (Gerencia Legal)</t>
  </si>
  <si>
    <t>Elaboración y Seguimiento del Plan Anual de Compras</t>
  </si>
  <si>
    <t>IN-12.1-01</t>
  </si>
  <si>
    <t>Acta N� 003-2023-PROC (Gerencia de Administraci�n)</t>
  </si>
  <si>
    <t>Acta N° 237-2022-PROC (Gerencia de Administración)</t>
  </si>
  <si>
    <t>Acta N° 192-2021-PROC (Gerencia de Administración)</t>
  </si>
  <si>
    <t>Solicitud de Compra</t>
  </si>
  <si>
    <t>IN-12.1-02</t>
  </si>
  <si>
    <t>Acta N�234-2023-PROC (Gerencia de Administraci�n)</t>
  </si>
  <si>
    <t>Acta N� 254-2022-PROC (Gerencia de Administraci�n)</t>
  </si>
  <si>
    <t>Creación y Modificación de Artículos</t>
  </si>
  <si>
    <t>IN-12.1-03</t>
  </si>
  <si>
    <t>Acta N° 067-2022-PROC (Gerencia de Administración)</t>
  </si>
  <si>
    <t>Acta N° 233-2020-PROC (Gerencia de Administración)</t>
  </si>
  <si>
    <t>Selección del Proveedor</t>
  </si>
  <si>
    <t>IN-12.1-04</t>
  </si>
  <si>
    <t>Acta N�096-2023-PROC (Gerencia de Administraci�n)</t>
  </si>
  <si>
    <t>Carta Fianza de Proveedores</t>
  </si>
  <si>
    <t>IN-12.1-05</t>
  </si>
  <si>
    <t>Generación de Orden de Compra</t>
  </si>
  <si>
    <t>IN-12.1-06</t>
  </si>
  <si>
    <t>Compra por Plataforma Electrónica</t>
  </si>
  <si>
    <t>IN-12.1-07</t>
  </si>
  <si>
    <t>Compras Especiales</t>
  </si>
  <si>
    <t>IN-12.1-08</t>
  </si>
  <si>
    <t>Acta N�023-2023-PROC (Gerencia de Administraci�n)</t>
  </si>
  <si>
    <t>Alquileres</t>
  </si>
  <si>
    <t>IN-12.1-09</t>
  </si>
  <si>
    <t>Acta N� 083-2023-PROC (Gerencia de Administraci�n)</t>
  </si>
  <si>
    <t>Compra con Tarjeta de Crédito</t>
  </si>
  <si>
    <t>IN-12.1-10</t>
  </si>
  <si>
    <t>Acta N� 236-2022-PROC (Gerencia de Administraci�n)</t>
  </si>
  <si>
    <t>Acta N° 201-2019-DORG (Gerencia de Administración)</t>
  </si>
  <si>
    <t>Generación de Carga Masiva</t>
  </si>
  <si>
    <t>Cesar Lolo Aranibar Urquizo</t>
  </si>
  <si>
    <t>IN-12.1-11</t>
  </si>
  <si>
    <t>Registro y Evaluación de Proveedores</t>
  </si>
  <si>
    <t>IN-12.1-12</t>
  </si>
  <si>
    <t>Acta N� 122-2023-PROC (Gerencia de Administraci�n)</t>
  </si>
  <si>
    <t>Acta N� 034-2023-PROC (Gerencia de Administraci�n)</t>
  </si>
  <si>
    <t>Acta N° 022-2022-PROC (Gerencia de Administración)</t>
  </si>
  <si>
    <t>Recepción de Bienes y Servicios</t>
  </si>
  <si>
    <t>IN-12.1-13</t>
  </si>
  <si>
    <t>Estandarización de Sellos</t>
  </si>
  <si>
    <t>IN-12.1-15</t>
  </si>
  <si>
    <t>Gestión de Documentos del Archivo General</t>
  </si>
  <si>
    <t>IN-12.6-01</t>
  </si>
  <si>
    <t>Acta N�237-2023/PROC (Gerencia de Administraci�n)</t>
  </si>
  <si>
    <t xml:space="preserve">Acuerdo N° 127, Acta N° 12/2022 (Directorio) </t>
  </si>
  <si>
    <t>IN-12.7-01</t>
  </si>
  <si>
    <t>Acta N° 208-2021-PROC (Gerencia de Administración)</t>
  </si>
  <si>
    <t>Inventario de Bienes y Suministros</t>
  </si>
  <si>
    <t>IN-12.7-02</t>
  </si>
  <si>
    <t>Acta N�013-2023-PROC (Gerencia de Administraci�n)</t>
  </si>
  <si>
    <t>Acta N° 260-2022-PROC (Gerencia de Administración)</t>
  </si>
  <si>
    <t>Administración de Bienes Muebles Secuestrados y Adjudicados</t>
  </si>
  <si>
    <t>IN-12.7-03</t>
  </si>
  <si>
    <t>Acta N° 223-2021-PROC (Gerencia de Administración)</t>
  </si>
  <si>
    <t>Administración de Bienes Inmuebles Adjudicados</t>
  </si>
  <si>
    <t>IN-12.7-04</t>
  </si>
  <si>
    <t>Acta N� 036-2023-PROC (Gerencia de Administraci�n)</t>
  </si>
  <si>
    <t>Etiquetado y Despacho de Bienes</t>
  </si>
  <si>
    <t>IN-12.7-05</t>
  </si>
  <si>
    <t>Acta N° 260-2022-PROC(Gerencia de Administración)</t>
  </si>
  <si>
    <t>IN-12.8-01</t>
  </si>
  <si>
    <t>Acta N° 260-2022-PROC (Gerencia de Administracion)</t>
  </si>
  <si>
    <t>Acta N° 224-2022-PROC (Gerencia de Administración)</t>
  </si>
  <si>
    <t>Baja de Bienes</t>
  </si>
  <si>
    <t>IN-12.8-02</t>
  </si>
  <si>
    <t>Acta N° 286-2020-PROC (Gerencia de Administración)</t>
  </si>
  <si>
    <t>Administración de Siniestros Institucionales</t>
  </si>
  <si>
    <t>IN-12.9-01</t>
  </si>
  <si>
    <t>Acta N�238-2023/PROC (Gerencia de Administraci�n)</t>
  </si>
  <si>
    <t>Acta N° 070– DORG – 2020 (Gerencia de Administración)</t>
  </si>
  <si>
    <t xml:space="preserve"> Gerencia de Administración</t>
  </si>
  <si>
    <t>Presentación de Declaración Jurada de Ingresos, Bienes y Rentas</t>
  </si>
  <si>
    <t>IN-17.2-04</t>
  </si>
  <si>
    <t>Acta N� 201-2023-PROC (Gerencia de Personas y Desarrollo Organizacional)</t>
  </si>
  <si>
    <t>Acuerdo N° 515, Acta N° 048/2009 (Comité de Gerencia)</t>
  </si>
  <si>
    <t>Aprobación de la Implementación, Remodelación, Ampliación o Traslado de Sedes</t>
  </si>
  <si>
    <t>IN-12.2-01</t>
  </si>
  <si>
    <t>Implementación, Remodelación, Ampliación o Traslado de Sedes</t>
  </si>
  <si>
    <t>IN-12.2-02</t>
  </si>
  <si>
    <t>Acta N�104-2023-PROC (Gerencia de Administraci�n)</t>
  </si>
  <si>
    <t>Acta N° 002-2021-PROC (Gerencia de Administración)</t>
  </si>
  <si>
    <t>Cierre de Agencias</t>
  </si>
  <si>
    <t>IN-12.2-03</t>
  </si>
  <si>
    <t>IN-12.2-04</t>
  </si>
  <si>
    <t>Acta N° 144-2020-PROC (Gerencia de Administración)</t>
  </si>
  <si>
    <t xml:space="preserve"> Seguridad Institucional</t>
  </si>
  <si>
    <t>Monitoreo de Sistema de Circuito Cerrado de Televisión</t>
  </si>
  <si>
    <t>IN-12.10-01</t>
  </si>
  <si>
    <t>Acta N� 200-2023-PROC (Gerencia de Administraci�n)</t>
  </si>
  <si>
    <t>Acta N° 170-2021-PROC (Gerencia de Administración)</t>
  </si>
  <si>
    <t>Control del Servicio de Vigilancia</t>
  </si>
  <si>
    <t>IN-12.10-02</t>
  </si>
  <si>
    <t>Acta N° 075-2022-PROC (Gerencia de Administración)</t>
  </si>
  <si>
    <t>Mantenimiento de los Sistemas de Seguridad Electrónica</t>
  </si>
  <si>
    <t>IN-12.10-03</t>
  </si>
  <si>
    <t>Acta N�258-2023/PROC (Gerencia de Administraci�n)</t>
  </si>
  <si>
    <t>Custodia en Oficinas Administrativas</t>
  </si>
  <si>
    <t>IN-12.10-04</t>
  </si>
  <si>
    <t>Acta N� 130-2023-PROC (Gerencia de Administraci�n)</t>
  </si>
  <si>
    <t>Acta Nº 120-2022-PROC (Gerencia de Administración)</t>
  </si>
  <si>
    <t>Acta Nº 111-2022-PROC (Gerencia de Administración)</t>
  </si>
  <si>
    <t>Acuerdo Nº 157, Acta N° 033/2021 (Comité De Gerencia)</t>
  </si>
  <si>
    <t>Visualización y Grabación de Imágenes del Sistema CCTV</t>
  </si>
  <si>
    <t>IN-12.10-05</t>
  </si>
  <si>
    <t>Acta N� 260-2023/PROC (Gerencia de Administraci�n)</t>
  </si>
  <si>
    <t>Acta N� 168-2023-PROC (Gerencia de Administraci�n)</t>
  </si>
  <si>
    <t>Acta N° 124-PROC-2021 (Gerencia de Administración)</t>
  </si>
  <si>
    <t>Atención de Señales de Alarma en Centro de Control</t>
  </si>
  <si>
    <t>IN-12.11-01</t>
  </si>
  <si>
    <t>Atención de Agencia por Caidas de Red y/o Falla de Comunicación</t>
  </si>
  <si>
    <t>IN-12.11-03</t>
  </si>
  <si>
    <t>Atención de Agencia por Corte de Suministro Electrico</t>
  </si>
  <si>
    <t>IN-12.11-04</t>
  </si>
  <si>
    <t>Apertura y Cierre de Agencias</t>
  </si>
  <si>
    <t>IN-12.11-05</t>
  </si>
  <si>
    <t>Acta N� 190-2023-PROC (Gerencia de Administraci�n)</t>
  </si>
  <si>
    <t>Acta N° 131-2022-PROC (Gerencia de Administración)</t>
  </si>
  <si>
    <t>Acta N° 223-2021-Proc (Gerencia De Administración)</t>
  </si>
  <si>
    <t>Control de Acceso a las Areas Confidenciales</t>
  </si>
  <si>
    <t>IN-12.11-06</t>
  </si>
  <si>
    <t>Acta N 227-2022-PROC Gerencia de Administracion</t>
  </si>
  <si>
    <t>Acta N° 161-2022-PROC (Gerencia de Administración)</t>
  </si>
  <si>
    <t>Estándar para los Dispositivos de Seguridad Electrónica y Física</t>
  </si>
  <si>
    <t>IN-12.11-07</t>
  </si>
  <si>
    <t>Cambio de Claves del Sistema de Alarmas</t>
  </si>
  <si>
    <t>IN-12.11-08</t>
  </si>
  <si>
    <t xml:space="preserve"> Servicios Internos</t>
  </si>
  <si>
    <t>Contingencia Ante Interrupción del Servicio de Energía Eléctrica</t>
  </si>
  <si>
    <t>IN-12.3-01</t>
  </si>
  <si>
    <t>Acta N�166-2023-PROC (Gerencia de Administraci�n)</t>
  </si>
  <si>
    <t>Atención de Servicios Generales</t>
  </si>
  <si>
    <t>IN-12.4-01</t>
  </si>
  <si>
    <t>Acta N° 200-DORG-2019 (Gerencia de Administración)</t>
  </si>
  <si>
    <t>Servicio de Mensajería y Courier</t>
  </si>
  <si>
    <t>IN-12.4-02</t>
  </si>
  <si>
    <t>Control Vehicular</t>
  </si>
  <si>
    <t>IN-12.5-01</t>
  </si>
  <si>
    <t>Formulación, Aprobación y Seguimiento del Cuadro de Asignación de Personal (CAP)</t>
  </si>
  <si>
    <t>IN-17.1-01</t>
  </si>
  <si>
    <t>Acta N° 047-2022-PROC (Gerencia de Personas y Desarrollo Organizacional)</t>
  </si>
  <si>
    <t>Procedimiento Disciplinario por Evaluación de Rendimiento Deficiente (Créditos)</t>
  </si>
  <si>
    <t>IN-17.2-01</t>
  </si>
  <si>
    <t>Acta N� 212-2023-PROC (Gerencia de Personas y Desarrollo Organizacional)</t>
  </si>
  <si>
    <t>Acta N° 199-2020-PROC (Gerencia de Personas y Desarrollo Organizacional)</t>
  </si>
  <si>
    <t>Entrega y Recepción de Cargo para el Personal</t>
  </si>
  <si>
    <t>IN-17.2-02</t>
  </si>
  <si>
    <t>Registro y Contratación del Personal</t>
  </si>
  <si>
    <t>IN-17.2-03</t>
  </si>
  <si>
    <t>Acta N� 219-2023-PROC (Gerencia de Personas y Desarrollo Organizacional)</t>
  </si>
  <si>
    <t>Acta N° 169-2022-PROC (Gerencia de Personas y Desarrollo Organizacional)</t>
  </si>
  <si>
    <t>Acta N° 147-2021-PROC (Gerencia de Personas y Desarrollo Organizacional)</t>
  </si>
  <si>
    <t>Cese de Personal, Cálculo y Pago de Liquidación de Beneficios Sociales</t>
  </si>
  <si>
    <t>IN-17.2-05</t>
  </si>
  <si>
    <t>Acta N 169-2022-PROC Gerencia de Personas y Desarrollo Organizacional</t>
  </si>
  <si>
    <t>Acta N° 009-2022-PROC (Gerencia de Operaciones)</t>
  </si>
  <si>
    <t>Acta N° 006-2022-Proc (Gerencia De Personas Y Desarrollo Organizacional)</t>
  </si>
  <si>
    <t>Acta N° 028-2021-Porc (Gerencia De Personas Y Desarrollo Organizacional)</t>
  </si>
  <si>
    <t>Goce de Vacaciones</t>
  </si>
  <si>
    <t>IN-17.2-06</t>
  </si>
  <si>
    <t>Acta N° 140-PROC-2020 (Gerencia de Personas y Desarrollo Organizacional)</t>
  </si>
  <si>
    <t>Desplazamiento de Personal</t>
  </si>
  <si>
    <t>IN-17.2-07</t>
  </si>
  <si>
    <t>N�044-2023-PROC (Gerencia de Personas y Desarrollo Organizacional)</t>
  </si>
  <si>
    <t xml:space="preserve">Acta N° 134-2021-PROC (Gerencia de Personas y Desarrollo Organizacional) </t>
  </si>
  <si>
    <t>Sanciones y Resarcimiento</t>
  </si>
  <si>
    <t>IN-17.2-08</t>
  </si>
  <si>
    <t>Acta N° 047-2022-Proc (Gerencia De Personas Y Desarrollo Organizacional)</t>
  </si>
  <si>
    <t>Registro de Familiares y Vinculados</t>
  </si>
  <si>
    <t>IN-17.2-09</t>
  </si>
  <si>
    <t>Acta N° 145-PROC-2022 (Gerencia de Personas y Desarrollo Organizacional)</t>
  </si>
  <si>
    <t>Acta N° 133-PROC-2021 (Gerencia de Personas y Desarrollo Organizacional)</t>
  </si>
  <si>
    <t>Control del Registro de Personal</t>
  </si>
  <si>
    <t>IN-17.2-10</t>
  </si>
  <si>
    <t>Acta N� 220 -2023-PROC (Gerencia de Personas y Desarrollo Organizacional)</t>
  </si>
  <si>
    <t>Acta N° 217 -2022-PROC (Gerencia de Personas y Desarrollo Organizacional)</t>
  </si>
  <si>
    <t>Gestión y Control de Contratos</t>
  </si>
  <si>
    <t>IN-17.2-12</t>
  </si>
  <si>
    <t>Atención de Requerimientos por Fiscalizaciones Laborales</t>
  </si>
  <si>
    <t>IN-17.2-13</t>
  </si>
  <si>
    <t>Acta N°244-2022-PROC</t>
  </si>
  <si>
    <t>Procedimiento Disciplinario por Evaluación de Rendimiento Deficiente del Asesor Comercial</t>
  </si>
  <si>
    <t>IN-17.2-14</t>
  </si>
  <si>
    <t>Acta N° 205-2020-PROC (Gerencia de Personas y Desarrollo Organizacional)</t>
  </si>
  <si>
    <t>Procedimiento Disciplinario por Evaluación de Productividad de Pasivas</t>
  </si>
  <si>
    <t>IN-17.2-15</t>
  </si>
  <si>
    <t>Acta N� 236-2023-PROC (Gerente de Personas y Desarrollo Organizacional)</t>
  </si>
  <si>
    <t>Acta N° 085-2022-PROC (Gerente de Personal y Desarrollo Organizacional)</t>
  </si>
  <si>
    <t>Acta 103-2021-PROC (Gerente de Personal y Desarrollo Organizacional)</t>
  </si>
  <si>
    <t>Atención de los Casos de Hostilidad Laboral</t>
  </si>
  <si>
    <t>IN-17.2-16</t>
  </si>
  <si>
    <t>Acta N° 180-2022-PROC (Gerencia de Personas y Desarrollo Organizacional)</t>
  </si>
  <si>
    <t>Medidas para el Teletrabajo</t>
  </si>
  <si>
    <t>IN-17.2-17</t>
  </si>
  <si>
    <t>Cálculo de la Retribución Variable del Directorio</t>
  </si>
  <si>
    <t>Confidencial</t>
  </si>
  <si>
    <t>IN-17.3-01</t>
  </si>
  <si>
    <t>Acuerdo N° 080, Acta N° 04/2019 (Directorio)</t>
  </si>
  <si>
    <t>Acuerdo N° 21, Acta N° 02/2016 (Directorio)</t>
  </si>
  <si>
    <t>Bono por Resultados (BPR)</t>
  </si>
  <si>
    <t>IN-17.3-02</t>
  </si>
  <si>
    <t>Acuerdo N°200,  Acta N°13 /2017 (Directorio)</t>
  </si>
  <si>
    <t>Cálculo y Abono de Utilidades</t>
  </si>
  <si>
    <t>IN-17.3-03</t>
  </si>
  <si>
    <t>Acta Nº 205-2019-DORG (Gerencia de Personas y Desarrollo Organizacional)</t>
  </si>
  <si>
    <t>Trámite de Retenciones Judiciales</t>
  </si>
  <si>
    <t>IN-17.3-04</t>
  </si>
  <si>
    <t>Elaboración de Planillas de Pagos</t>
  </si>
  <si>
    <t>IN-17.3-05</t>
  </si>
  <si>
    <t>Acta N� 082-2023-PROC (Gerencia de Personas y Desarrollo Organizacional)</t>
  </si>
  <si>
    <t>N�072-2023-PROC</t>
  </si>
  <si>
    <t>Acta N° 006-2022-PROC (Gerencia de Personas y Desarrollo Organizacional)</t>
  </si>
  <si>
    <t>Acta N° 128-2021-PROC (Gerencia de Personas y Desarrollo Organizacional)</t>
  </si>
  <si>
    <t>Ascenso de Categorías del Gerente de Agencia, Analista Senior y Analista de Créditos</t>
  </si>
  <si>
    <t>IN-17.3-06</t>
  </si>
  <si>
    <t>Acuerdo Nº 157. Acta Nº 033/2021 (Comité de Gerencia)</t>
  </si>
  <si>
    <t>Otorgamiento de Canasta Navideña</t>
  </si>
  <si>
    <t>IN-17.3-07</t>
  </si>
  <si>
    <t>Cálculo y Pago del Impuesto a la Renta de 4ta y 5ta Categoría</t>
  </si>
  <si>
    <t>IN-17.3-08</t>
  </si>
  <si>
    <t>Acta N° 232-2020-PROC (Gerencia de Personas y Desarrollo Organizacional)</t>
  </si>
  <si>
    <t>Ascenso de Categoría del Personal de Operaciones que Pertenece a Agencias</t>
  </si>
  <si>
    <t>IN-17.3-09</t>
  </si>
  <si>
    <t>Acta N°141-2022-Porc (Gerencia De Personas Y Desarrollo Organizacional)</t>
  </si>
  <si>
    <t>Acta N° 038-2021-Porc (Gerencia De Personas Y Desarrollo Organizacional)</t>
  </si>
  <si>
    <t>"Acta N° 038-2021-PORC (Gerencia de Personas y Desarrollo Organizacional)"</t>
  </si>
  <si>
    <t>Otorgamiento de Prestaciones Alimentarias</t>
  </si>
  <si>
    <t>IN-17.3-10</t>
  </si>
  <si>
    <t>Remuneraciones Complementarias y Otras no Remunerativas</t>
  </si>
  <si>
    <t>IN-17.3-11</t>
  </si>
  <si>
    <t>N�073-2023-PROC</t>
  </si>
  <si>
    <t>Asignación por Escolaridad</t>
  </si>
  <si>
    <t>IN-17.3-12</t>
  </si>
  <si>
    <t>Gestiones Sindicales</t>
  </si>
  <si>
    <t>IN-17.4-02</t>
  </si>
  <si>
    <t>Acta N° 193-2021-PROC (Gerencia de Personas y Desarrollo Organizacional)</t>
  </si>
  <si>
    <t>Gestión de Mesas Ágiles</t>
  </si>
  <si>
    <t>IN-4.3-01</t>
  </si>
  <si>
    <t>Acta N� 210-2023-PROC (Gerencia de Innovation Lab)</t>
  </si>
  <si>
    <t>Acta N� 089-2023-PROC (Gerencia de Innovation Lab)</t>
  </si>
  <si>
    <t>Acuerdo N� 026, Acta N� 005/2023 (Comit� de Gerencia)</t>
  </si>
  <si>
    <t>Acta N° 181-2022-PROC (Gerencia de Innovation Lab)</t>
  </si>
  <si>
    <t>Acta N° 140-2022-PROC (Gerencia de Innovation Lab)</t>
  </si>
  <si>
    <t>Acta N° 118-2022-PROC (Gerencia de Innovation Lab)</t>
  </si>
  <si>
    <t>Acta N° 059-2022-Proc (Gerencia De Innovation Lab)</t>
  </si>
  <si>
    <t>Gestión de Fuentes en Github</t>
  </si>
  <si>
    <t>IN-4.3-02</t>
  </si>
  <si>
    <t>Acta N� 257-2023-PROC (Gerencia de Innovation Lab)</t>
  </si>
  <si>
    <t>Acta N° 114-2022-PROC (Gerencia de Innovation Lab)</t>
  </si>
  <si>
    <t>Acta N° 109-2021-PROC (Sub Gerencia de Innovation Lab)</t>
  </si>
  <si>
    <t>Gestión de Personal Externo en Cajalab</t>
  </si>
  <si>
    <t>IN-4.3-03</t>
  </si>
  <si>
    <t>Gestión de Procesos de Automatización (RPA) en Caja Lab</t>
  </si>
  <si>
    <t>IN-4.3-04</t>
  </si>
  <si>
    <t xml:space="preserve"> Garantías</t>
  </si>
  <si>
    <t>Anulación de Operaciones de Garantías</t>
  </si>
  <si>
    <t>IN-7.3-01</t>
  </si>
  <si>
    <t>Acta N° 122 – 2022 - PROC (Gerencia de Operaciones)</t>
  </si>
  <si>
    <t>Acta N°016-DORG-2020 (Gerencia de Operaciones y Canales)</t>
  </si>
  <si>
    <t>Levantamiento de Garantías</t>
  </si>
  <si>
    <t>IN-7.3-02</t>
  </si>
  <si>
    <t>Acta N�065-2023-PROC (Gerencia de Operaciones)</t>
  </si>
  <si>
    <t>Acta N°175-2022-PROC (Gerencia de Operaciones)</t>
  </si>
  <si>
    <t>Acta N° 224-2021-PROC (Gerencia de Operaciones)</t>
  </si>
  <si>
    <t>Otorgamiento de Garantías</t>
  </si>
  <si>
    <t>IN-7.3-03</t>
  </si>
  <si>
    <t>Acta N° 81 – 2022 - PROC (Gerencia de Operaciones)</t>
  </si>
  <si>
    <t>Acta N° 69 – 2021 - PROC (Gerencia de Operaciones)</t>
  </si>
  <si>
    <t>Revisión de Documentos y Poderes en Operaciones Activas</t>
  </si>
  <si>
    <t>IN-7.3-04</t>
  </si>
  <si>
    <t>Acta N�069 – 2023 - PROC (Gerencia de Operaciones)</t>
  </si>
  <si>
    <t xml:space="preserve">Selección de Peritos Valuadores </t>
  </si>
  <si>
    <t>IN-7.3-05</t>
  </si>
  <si>
    <t>Acta N�247 – 2023 - PROC (Gerencia de Operaciones)</t>
  </si>
  <si>
    <t>Sustitución y Liberación de Garantías</t>
  </si>
  <si>
    <t>IN-7.3-06</t>
  </si>
  <si>
    <t xml:space="preserve"> Operaciones Y Red De Agencias</t>
  </si>
  <si>
    <t>Trámite de Solicitudes</t>
  </si>
  <si>
    <t>IN-10.4-01</t>
  </si>
  <si>
    <t>Acta N�227-2023-PROC (Gerencia de Operaciones)</t>
  </si>
  <si>
    <t>Acta N° 143-2023-PROC (Gerencia de Operaciones)</t>
  </si>
  <si>
    <t>Acta N° 127-2023-PROC (Gerencia de Operaciones)</t>
  </si>
  <si>
    <t>Acta N° 100-2023-PROC (Gerencia de Operaciones)</t>
  </si>
  <si>
    <t>Acta N° 038-2023-PROC (Gerencia de Operaciones)</t>
  </si>
  <si>
    <t>Acta N°232-2022-PROC (Gerencia de Operaciones)</t>
  </si>
  <si>
    <t>Acta N° 171 – 2022 - PROC (Gerencia de Operaciones)</t>
  </si>
  <si>
    <t>Tablas Informativas</t>
  </si>
  <si>
    <t>IN-10.4-02</t>
  </si>
  <si>
    <t>Acta N�245-2023-PROC (Gerencia de Operaciones)</t>
  </si>
  <si>
    <t>Acta N�229-2023-PROC (Gerencia de Operaciones)</t>
  </si>
  <si>
    <t>Acta N� 209-2023-PROC (Gerencia de Operaciones)</t>
  </si>
  <si>
    <t>Acta N�180-2023-PROC (Gerencia de Operaciones)</t>
  </si>
  <si>
    <t>Acta N�143-2023-PROC (Gerencia de Operaciones)</t>
  </si>
  <si>
    <t>Acta N� 099-2023-PROC (Gerencia de Operaciones)</t>
  </si>
  <si>
    <t>Acta N�095-2023-PROC (Gerencia de Operaciones)</t>
  </si>
  <si>
    <t>Retiro - Cancelación en Cuenta</t>
  </si>
  <si>
    <t>IN-10.4-03</t>
  </si>
  <si>
    <t>Acta N�035–2023-PROC (Gerencia de Operaciones)</t>
  </si>
  <si>
    <t>Acta N° 108–2022-PROC (Gerencia de Operaciones)</t>
  </si>
  <si>
    <t>Acta N° 218-2021-Proc (Gerencia De Operaciones)</t>
  </si>
  <si>
    <t>Compensación de Cuotas Vencidas</t>
  </si>
  <si>
    <t>IN-10.4-06</t>
  </si>
  <si>
    <t>Acta N° 103–2022-PROC (Gerencia de Operaciones)</t>
  </si>
  <si>
    <t>Acuerdo N°157, Acta N° 033/2021 (Comité de Gerencia)</t>
  </si>
  <si>
    <t>Depósito en Cuenta</t>
  </si>
  <si>
    <t>IN-10.4-07</t>
  </si>
  <si>
    <t>Acta N�067–2023-PROC (Gerencia de Operaciones)</t>
  </si>
  <si>
    <t>Acta N�057–2023-PROC (Gerencia de Operaciones)</t>
  </si>
  <si>
    <t>Ejecución de Operaciones en Caso de Contingencias</t>
  </si>
  <si>
    <t>IN-10.4-08</t>
  </si>
  <si>
    <t>Acta N�080–2023-PROC (Gerencia de Operaciones)</t>
  </si>
  <si>
    <t>Acuerdo N°10, Acta N° 04/2021 (Comité de Gerencia)</t>
  </si>
  <si>
    <t>Ejecución de Operaciones Varias</t>
  </si>
  <si>
    <t>IN-10.4-09</t>
  </si>
  <si>
    <t>Acta N�078–2023-PROC (Gerencia de Operaciones)</t>
  </si>
  <si>
    <t>Acta N° 092-2022-PROC (Gerencia de Operaciones)</t>
  </si>
  <si>
    <t>Acta N° 023-PROC-2022 (Gerencia de Operaciones)</t>
  </si>
  <si>
    <t>Acta N° 065-Proc-2021 (Gerencia De Operaciones)</t>
  </si>
  <si>
    <t>Pago de Cuotas y Servicios</t>
  </si>
  <si>
    <t>IN-10.4-10</t>
  </si>
  <si>
    <t>Acta N°216–2022-PROC (Gerencia de Operaciones)</t>
  </si>
  <si>
    <t>Acta N° 137 – 2021 - PROC (Gerencia de Operaciones)</t>
  </si>
  <si>
    <t>Reversión de Créditos Reprogramados por el Estado de Emergencia</t>
  </si>
  <si>
    <t>IN-10.4-14</t>
  </si>
  <si>
    <t>Acta N° 209-PROC-2021 (Gerencia de Operaciones)</t>
  </si>
  <si>
    <t>Ejecución de Operaciones - Personas en Grupos de Riesgo Covid 19</t>
  </si>
  <si>
    <t>IN-10.4-16</t>
  </si>
  <si>
    <t>Acta N° 133-2022-PROC (Gerencia de Operaciones)</t>
  </si>
  <si>
    <t>Supervisión de Agencias</t>
  </si>
  <si>
    <t>IN-14.1-01</t>
  </si>
  <si>
    <t>Acta N° 148–2022-PROC (Gerencia de Operaciones)</t>
  </si>
  <si>
    <t>Acta N° 166-2021-Proc (Gerencia De Operaciones)</t>
  </si>
  <si>
    <t>Atención de Solicitudes de Evaluación de Crédito por Estado de Emergencia</t>
  </si>
  <si>
    <t>Alejandra Portugal Terceros</t>
  </si>
  <si>
    <t>IN-10.4-15</t>
  </si>
  <si>
    <t>Acta N�173-2023-PROC (Gerencia de Operaciones)</t>
  </si>
  <si>
    <t>Arqueo en Agencias</t>
  </si>
  <si>
    <t>IN-19.5-01</t>
  </si>
  <si>
    <t>Acta N� 211-2023-PROC (Gerencia de Operaciones)</t>
  </si>
  <si>
    <t>ACTA N° 238-2022-PROC</t>
  </si>
  <si>
    <t>Acta N°192–2022-PROC (Gerencia de Operaciones)</t>
  </si>
  <si>
    <t>Acta N° 148–2022-Proc (Gerencia De Operaciones)</t>
  </si>
  <si>
    <t>Custodia de Llaves y Claves de Agencia</t>
  </si>
  <si>
    <t>IN-19.5-02</t>
  </si>
  <si>
    <t>Acta N�077–2023-PROC (Gerencia de Operaciones)</t>
  </si>
  <si>
    <t>Acta N° 225-2021-PROC (Gerencia de Operaciones)</t>
  </si>
  <si>
    <t>Manejo de Límites de Fondos en Agencias y Ventanillas</t>
  </si>
  <si>
    <t>IN-19.5-03</t>
  </si>
  <si>
    <t>Acta N�170–2023-PROC (Gerencia de Operaciones)</t>
  </si>
  <si>
    <t>Acta N�100–2023-PROC (Gerencia de Operaciones)</t>
  </si>
  <si>
    <t>Administración de Numerario</t>
  </si>
  <si>
    <t>IN-19.5-04</t>
  </si>
  <si>
    <t>Acta N° 142-PROC-2021 (Gerencia de Operaciones)</t>
  </si>
  <si>
    <t>Cierre Diario de Agencias</t>
  </si>
  <si>
    <t>IN-19.5-05</t>
  </si>
  <si>
    <t>Uso de Medios Físicos de Protección de Efectivo</t>
  </si>
  <si>
    <t>IN-19.5-06</t>
  </si>
  <si>
    <t>Desembolso de Créditos</t>
  </si>
  <si>
    <t>IN-7.4-01</t>
  </si>
  <si>
    <t>Acta N� 208-2023-PROC (Gerencia de Operaciones)</t>
  </si>
  <si>
    <t>Acta N�167-2023-PROC (Gerencia de Operaciones)</t>
  </si>
  <si>
    <t>Acta N� 149-2023-PROC (Gerencia de Operaciones)</t>
  </si>
  <si>
    <t>Acta N� 047-2023-PROC (Gerencia de Operaciones)</t>
  </si>
  <si>
    <t>Acta N� 027-2023-PROC (Gerencia de Operaciones)</t>
  </si>
  <si>
    <t>Disposición del Fondo de la AFP</t>
  </si>
  <si>
    <t>IN-10.1-01</t>
  </si>
  <si>
    <t>Acta N° 137 – 2022 - PROC (Gerencia de Operaciones)</t>
  </si>
  <si>
    <t>Pago de Cuotas y Cancelación de Créditos Movigas</t>
  </si>
  <si>
    <t>IN-10.4-05</t>
  </si>
  <si>
    <t>Acta N�051 – 2023 - PROC (Gerencia de Operaciones)</t>
  </si>
  <si>
    <t>Disponibilidad de CTS por Concepto de Suspensión Perfecta</t>
  </si>
  <si>
    <t>IN-10.4-13</t>
  </si>
  <si>
    <t>Acta N° 177 – 2020 – PROC (Gerente de Operaciones y Canales)</t>
  </si>
  <si>
    <t>Abastecimiento de Efectivo para Agencias y Cajeros Automáticos</t>
  </si>
  <si>
    <t>IN-19.8-01</t>
  </si>
  <si>
    <t>Acta N�242 – 2023 - PROC (Gerencia de Operaciones)</t>
  </si>
  <si>
    <t>Acta N�074 – 2023 - PROC (Gerencia de Operaciones)</t>
  </si>
  <si>
    <t>Acta N�004 – 2023 - PROC (Gerencia de Operaciones)</t>
  </si>
  <si>
    <t>Acta N°250 – 2022 - PROC (Gerencia de Operaciones)</t>
  </si>
  <si>
    <t>Acta N°207 – 2022 - Proc (Gerencia De Operaciones)</t>
  </si>
  <si>
    <t>Administración de Tarjetas</t>
  </si>
  <si>
    <t>IN-19.8-02</t>
  </si>
  <si>
    <t>Acta N�253 – 2023 - PROC (Gerencia de Operaciones)</t>
  </si>
  <si>
    <t>Acta N�161 – 2023 - PROC (Gerencia de Operaciones)</t>
  </si>
  <si>
    <t>Acta N�132 – 2023 - PROC (Gerencia de Operaciones)</t>
  </si>
  <si>
    <t>Acta N° 106-2022-Proc (Gerencia De Operaciones)</t>
  </si>
  <si>
    <t>Acta N° 076 – 2022 - Proc (Gerencia De Operaciones)</t>
  </si>
  <si>
    <t>Costeo y Control de Facturación de Servicios Brindados por Empresas Transportadoras de Valores</t>
  </si>
  <si>
    <t>IN-19.8-03</t>
  </si>
  <si>
    <t>Acta N� 091 – 2023 - PROC (Gerencia de Operaciones)</t>
  </si>
  <si>
    <t>Acta N° 219 – 2020 - PROC (Gerencia de Operaciones y Canales)</t>
  </si>
  <si>
    <t>Canje y Transferencia</t>
  </si>
  <si>
    <t>IN-19.1-01</t>
  </si>
  <si>
    <t>Acta N�060 – 2023 - PROC (Gerencia de Operaciones)</t>
  </si>
  <si>
    <t xml:space="preserve">Acta N° 220 – 2020 - PROC (Gerencia de Operaciones y Canales) </t>
  </si>
  <si>
    <t>Acuerdo N°409, Acta N° 044/2017 (Comité de Gerencia)</t>
  </si>
  <si>
    <t>Disposición de Fondo AFP – Estado de Emergencia Covid 19</t>
  </si>
  <si>
    <t>IN-19.1-02</t>
  </si>
  <si>
    <t>Acta N° 190-2021-PROC (Gerencia de Operaciones)</t>
  </si>
  <si>
    <t>Emisión y Control de Cheques a Cargo de Pagaduría</t>
  </si>
  <si>
    <t>IN-19.2-01</t>
  </si>
  <si>
    <t>Acta N�024 – 2023 - PROC (Gerencia de Operaciones)</t>
  </si>
  <si>
    <t>Acta N° 221- 2019-DORG (Gerencia de Operaciones y Canales)</t>
  </si>
  <si>
    <t>Pago a Proveedores</t>
  </si>
  <si>
    <t>IN-19.2-02</t>
  </si>
  <si>
    <t>Acta N�141 – 2023 - PROC (Gerencia de Operaciones)</t>
  </si>
  <si>
    <t>Anticipos Para Viáticos, Bienes Y Servicios</t>
  </si>
  <si>
    <t>IN-19.2-04</t>
  </si>
  <si>
    <t>Acta N�176-2023-PROC (Gerencia de Operaciones)</t>
  </si>
  <si>
    <t>ACTA N°230-2022-PROC</t>
  </si>
  <si>
    <t>Acta N° 138-2022-PROC (Gerencia de Operaciones)</t>
  </si>
  <si>
    <t>Acta N° 089-2022-PROC (Gerencia de Operaciones)</t>
  </si>
  <si>
    <t>Acuerdo Nº 114, Acta Nº 027/20201 (Comité De Gerencia)</t>
  </si>
  <si>
    <t>Pagos de Multas a Organismos Reguladores</t>
  </si>
  <si>
    <t>IN-19.2-05</t>
  </si>
  <si>
    <t>Acta N° 050-2021-PROC (Gerencia de Operaciones)</t>
  </si>
  <si>
    <t>Conciliaciones Bancarias y de Saldos de Bóveda de la ETV</t>
  </si>
  <si>
    <t>IN-19.6-01</t>
  </si>
  <si>
    <t>Acta N�126– PROC – 2023 (Gerencia de Operaciones)</t>
  </si>
  <si>
    <t>Acta N° 280– PROC – 2020 (Gerencia de Operaciones)</t>
  </si>
  <si>
    <t>Apertura de Cuentas de Depósito Producto Inmobiliario</t>
  </si>
  <si>
    <t>IN-19.6-02</t>
  </si>
  <si>
    <t>Acta N�163-PROC-2023 (Gerencia de Operaciones)</t>
  </si>
  <si>
    <t>Acta N° 104-2021 PROC (Gerencia de Operaciones)</t>
  </si>
  <si>
    <t>Operaciones Masivas</t>
  </si>
  <si>
    <t>IN-19.6-12</t>
  </si>
  <si>
    <t>Acta N�064-2023-PROC (Gerencia de Operaciones)</t>
  </si>
  <si>
    <t>Acta N° 252-2022-PROC (Gerencia de Operaciones)</t>
  </si>
  <si>
    <t>Conciliación y Cuadre de Operaciones de Tarjeta Débido con Unibanca</t>
  </si>
  <si>
    <t>IN-19.6-13</t>
  </si>
  <si>
    <t>Conciliación y Regularización de Cajeros Corresponsales</t>
  </si>
  <si>
    <t>IN-19.6-03</t>
  </si>
  <si>
    <t>Acta N�098-2023-PROC (Gerencia de Operaciones)</t>
  </si>
  <si>
    <t>Acta N° 292-2020-PROC (Gerencia de Operaciones)</t>
  </si>
  <si>
    <t>Intermediación de Créditos Mivivienda</t>
  </si>
  <si>
    <t>IN-19.6-04</t>
  </si>
  <si>
    <t>Acta N° 183-2022-PROC (Gerencia de Operaciones)</t>
  </si>
  <si>
    <t>Corresponsalía de Operaciones Financieras</t>
  </si>
  <si>
    <t>IN-19.6-05</t>
  </si>
  <si>
    <t>Acta N° 232 – 2021 - PROC (Gerencia de Operaciones)</t>
  </si>
  <si>
    <t>Liquidación y Compensación de Dinero Electrónico</t>
  </si>
  <si>
    <t>IN-19.6-07</t>
  </si>
  <si>
    <t>Acta N�009 – 2023 - PROC (Gerencia de Operaciones)</t>
  </si>
  <si>
    <t>Pago de Comisiones por Dinero Electrónico</t>
  </si>
  <si>
    <t>IN-19.6-08</t>
  </si>
  <si>
    <t>Depósito Bono Rural</t>
  </si>
  <si>
    <t>IN-20.2-09</t>
  </si>
  <si>
    <t>Depósito del Bono Universal</t>
  </si>
  <si>
    <t>IN-20.2-10</t>
  </si>
  <si>
    <t>Acta N° 221-2020-PROC (Gerencia de Operaciones y Canales)</t>
  </si>
  <si>
    <t>Procesos Operativos de Dinero Electrónico</t>
  </si>
  <si>
    <t>IN-19.6-11</t>
  </si>
  <si>
    <t>Levantamiento del Secreto Bancario</t>
  </si>
  <si>
    <t>IN-19.7-01</t>
  </si>
  <si>
    <t>Acta N�231 – 2023 - PROC (Gerencia de Operaciones)</t>
  </si>
  <si>
    <t>Acta N�030 – 2023 - PROC (Gerencia de Operaciones)</t>
  </si>
  <si>
    <t>Acta N° 126-PROC-2021 (Gerencia de Operaciones)</t>
  </si>
  <si>
    <t>Ejecución de Embargos</t>
  </si>
  <si>
    <t>IN-19.7-02</t>
  </si>
  <si>
    <t>Acta N�174 – 2023 - PROC (Gerencia de Operaciones)</t>
  </si>
  <si>
    <t>Acta N° 188 – 2021 - PROC (Gerencia de Operaciones)</t>
  </si>
  <si>
    <t>Cancelación Anticipada de Operaciones Pasivas con Clientes de la Tesorería</t>
  </si>
  <si>
    <t>IN-19.3-01</t>
  </si>
  <si>
    <t>Acta N° 239– PROC – 2020 (Gerencia de Operaciones y Canales)</t>
  </si>
  <si>
    <t>Gestión de Fondos Mutuos</t>
  </si>
  <si>
    <t>IN-19.3-03</t>
  </si>
  <si>
    <t>Acta N� 251-2022-PROC (Gerencia de Finanzas)</t>
  </si>
  <si>
    <t>Acta N° 054– PROC – 2021 (Gerencia de Operaciones)</t>
  </si>
  <si>
    <t>Inversiones del Fondo de Fideicomiso</t>
  </si>
  <si>
    <t>IN-19.3-04</t>
  </si>
  <si>
    <t>Registro y Control de Depósitos a Plazo (Activos)</t>
  </si>
  <si>
    <t>IN-19.3-05</t>
  </si>
  <si>
    <t>Registro y Control de Operaciones Cambiarias en el Mercado Profesional</t>
  </si>
  <si>
    <t>IN-19.3-06</t>
  </si>
  <si>
    <t>Registro y Control de Cds del BCRP en el Mercado Primario</t>
  </si>
  <si>
    <t>IN-19.3-07</t>
  </si>
  <si>
    <t>Registro y Control de Instrumentos en el Mercado Primario</t>
  </si>
  <si>
    <t>IN-19.3-08</t>
  </si>
  <si>
    <t>Registro y Control de la Venta de Cd del BCRP</t>
  </si>
  <si>
    <t>IN-19.3-09</t>
  </si>
  <si>
    <t>Registro y Control de Operaciones Cambiarias con clientes de la Caja y Tesorería</t>
  </si>
  <si>
    <t>IN-19.3-10</t>
  </si>
  <si>
    <t>Acta N° 207-2021-PROC (Gerencia de Operaciones)</t>
  </si>
  <si>
    <t>Vencimiento de Depósitos a Plazo Captados por Tesorería</t>
  </si>
  <si>
    <t>IN-19.3-11</t>
  </si>
  <si>
    <t>Administración de Apoderados en Entidades Financieras</t>
  </si>
  <si>
    <t>IN-19.3-12</t>
  </si>
  <si>
    <t>Apertura de Depósito a Plazo Captados por Tesorería</t>
  </si>
  <si>
    <t>IN-19.3-13</t>
  </si>
  <si>
    <t>Acta N° 264– PROC – 2020 (Gerencia de Operaciones )</t>
  </si>
  <si>
    <t>Retiro de Cuenta Ahorros de Clientes de Tesorería</t>
  </si>
  <si>
    <t>IN-19.3-14</t>
  </si>
  <si>
    <t>Control de Operaciones Diarias</t>
  </si>
  <si>
    <t>IN-19.3-15</t>
  </si>
  <si>
    <t>Acta N° 269– PROC – 2020 (Gerencia de Operaciones)</t>
  </si>
  <si>
    <t>Conformación del Comité de Intervención Frente al Hostigamiento Sexual</t>
  </si>
  <si>
    <t>IN-17.4-12</t>
  </si>
  <si>
    <t>Acta N� 186-2023-PROC (Gerencia de Personas y Desarrollo Organizacional)</t>
  </si>
  <si>
    <t>Acta N° 037, Acuerdo N° 235/2019 (Comité de Gerencia)</t>
  </si>
  <si>
    <t>Entrega de Uniformes para Trabajadores y Funcionarios de la Caja</t>
  </si>
  <si>
    <t>IN-17.4-01</t>
  </si>
  <si>
    <t>N�002-2023-PROC (Gerencia de Personas y Desarrollo Organizacional)</t>
  </si>
  <si>
    <t>Acta N° 069 - 2020 - DORG (Gerencia de Personas y Desarrollo Organizacional)</t>
  </si>
  <si>
    <t>Goce de Licencia por Maternidad</t>
  </si>
  <si>
    <t>IN-17.4-03</t>
  </si>
  <si>
    <t>Acta N� 076-2023-PROC (Gerencia de Personas y Desarrollo Organizacional)</t>
  </si>
  <si>
    <t>Acta N° 244-2019-DORG (Gerencia de Personas y Desarrollo Organizacional)</t>
  </si>
  <si>
    <t>Prevención y Sanción del Hostigamiento Sexual</t>
  </si>
  <si>
    <t>IN-17.4-04</t>
  </si>
  <si>
    <t>Acta N� 093-2023-PROC (Gerencia de Personas y Desarrollo Organizacional)</t>
  </si>
  <si>
    <t>Acta N° 199-2020-PROC (Gerente de Personas y Desarrollo Organizacional)</t>
  </si>
  <si>
    <t>Trámite de Descanso Médico</t>
  </si>
  <si>
    <t>IN-17.4-05</t>
  </si>
  <si>
    <t>Acta N° 104-2022-PROC (Gerencia de Personas y Desarrollo Organizacional)</t>
  </si>
  <si>
    <t>Uso de la Póliza de Asistencia Médica</t>
  </si>
  <si>
    <t>IN-17.4-06</t>
  </si>
  <si>
    <t>N�053-2023-PROC (Gerencia de Personas y Desarrollo Organizacional)</t>
  </si>
  <si>
    <t>Trámite de Licencias y Permisos</t>
  </si>
  <si>
    <t>IN-17.4-07</t>
  </si>
  <si>
    <t>Acta N� 110-2023-PROC</t>
  </si>
  <si>
    <t>Acta N° 219-2022-PROC (Gerencia de Personas y Desarrollo Organizacional)</t>
  </si>
  <si>
    <t>Trámite y Pago de Subsidios ESSALUD</t>
  </si>
  <si>
    <t>IN-17.4-08</t>
  </si>
  <si>
    <t>Registro y Actualización de Derechohabientes</t>
  </si>
  <si>
    <t>IN-17.4-09</t>
  </si>
  <si>
    <t>Acta N� 145-PROC (Gerencia de Personas y Desarrollo Organizacional)</t>
  </si>
  <si>
    <t>Gestión del Fondo de Ayuda Mutua</t>
  </si>
  <si>
    <t>IN-17.4-10</t>
  </si>
  <si>
    <t>Acta N� 134-2023-PROC (Gerencia de Personas y Desarrollo Organizacional)</t>
  </si>
  <si>
    <t>Acta N° 091-2020-PROC (Gerencia de Personas y Desarrollo Organizacional)</t>
  </si>
  <si>
    <t>Atención de las Solicitudes por Deceso del Trabajador</t>
  </si>
  <si>
    <t>IN-17.4-11</t>
  </si>
  <si>
    <t>Acta N° 184-2021-PROC (Gerencia de Personas y Desarrollo Organizacional)</t>
  </si>
  <si>
    <t>Medidas ante el Estado de Emergencia Sanitaria</t>
  </si>
  <si>
    <t>IN-17.4-13</t>
  </si>
  <si>
    <t xml:space="preserve">Acta N° 043-2021-Porc (Gerencia De Personas Y Desarrollo Organizacional)
</t>
  </si>
  <si>
    <t>Gestión de Accidentes e Incidentes del Sistema de Gestión de Seguridad y Salud en el Trabajo</t>
  </si>
  <si>
    <t>IN-17.5-01</t>
  </si>
  <si>
    <t xml:space="preserve">Acta N� 246-2023-PROC (Gerencia de Personas y Desarrollo Organizacional) </t>
  </si>
  <si>
    <t xml:space="preserve">Acta N° 001-2021-PROC (Gerencia de Personas y Desarrollo Organizacional) </t>
  </si>
  <si>
    <t>Prevención de Riesgos para Mujeres en Periodo de Gestación o Lactancia</t>
  </si>
  <si>
    <t>IN-17.5-02</t>
  </si>
  <si>
    <t>Acta N� 159-2023-PROC (Gerencia de Personas y Desarrollo Organizacional)</t>
  </si>
  <si>
    <t>Acta N° 012-2020-DORG (Gerencia de Personas y Desarrollo Organizacional)</t>
  </si>
  <si>
    <t>Comunicación, Participación y Consulta para el Sistema de Gestión de Seguridad y Salud en el Trabajo</t>
  </si>
  <si>
    <t>IN-17.5-03</t>
  </si>
  <si>
    <t xml:space="preserve">Acta N� 113-2023-PROC (Gerencia de Personas y Desarrollo Organizacional) </t>
  </si>
  <si>
    <t>Análisis de Trabajo Seguro e Identificación de Peligros, Evaluación y Control de Riesgos para el Sistema de Gestión de Seguridad y Salud en el Trabajo</t>
  </si>
  <si>
    <t>IN-17.5-04</t>
  </si>
  <si>
    <t>Chequeos Medicos-Ocupacionales</t>
  </si>
  <si>
    <t>IN-17.5-05</t>
  </si>
  <si>
    <t>Acta N° 007-2019-DORG (Gerencia de Desarrollo Humano)</t>
  </si>
  <si>
    <t>Inspecciones para el Sistema de Gestión de Seguridad y Salud en el Trabajo</t>
  </si>
  <si>
    <t>IN-17.5-06</t>
  </si>
  <si>
    <t>Acta N� 248-2023-PROC (Gerencia de Personas y Desarrollo
Organiza</t>
  </si>
  <si>
    <t>N�121-2023-PROC</t>
  </si>
  <si>
    <t>Lineamientos de Seguridad y Salud en el Trabajo para Contratistas y Proveedores</t>
  </si>
  <si>
    <t>IN-17.5-07</t>
  </si>
  <si>
    <t>Acciones Correctivas y Preventivas para el Sistema de Gestión de Seguridad y Salud en el Trabajo</t>
  </si>
  <si>
    <t>IN-17.5-08</t>
  </si>
  <si>
    <t xml:space="preserve">Acta N� 254-2023-PROC (Gerencia de Personas y Desarrollo Organizacional) </t>
  </si>
  <si>
    <t>Identificación y Evaluación de los Requisitos Legales para el Sistema de Gestión de Seguridad y Salud en el Trabajo</t>
  </si>
  <si>
    <t>IN-17.5-09</t>
  </si>
  <si>
    <t>Control de Documentos y Registros del Sistema de Gestión de Seguridad y Salud en el Trabajo</t>
  </si>
  <si>
    <t>IN-17.5-10</t>
  </si>
  <si>
    <t>Auditorias para el Sistema de Gestión de Seguridad y Salud en el Trabajo</t>
  </si>
  <si>
    <t>IN-17.5-12</t>
  </si>
  <si>
    <t>Gestión y Atención de Accidentes, Incidentes, Incidentes Peligrosos y Enfermedades Ocupacionales</t>
  </si>
  <si>
    <t>IN-17.5-13</t>
  </si>
  <si>
    <t>Equipos de Protección Personal</t>
  </si>
  <si>
    <t>IN-17.5-14</t>
  </si>
  <si>
    <t>N° 124-2023-PROC</t>
  </si>
  <si>
    <t>Lineamientos de Premiación</t>
  </si>
  <si>
    <t>IN-17.5-15</t>
  </si>
  <si>
    <t>Lineamientos para la Actualización de Documentos de SST en Área de Trabajo</t>
  </si>
  <si>
    <t>IN-17.5-16</t>
  </si>
  <si>
    <t>Acta N� 248-2023-PROC (Gerencia de Personas y Desarrollo
Organizacional)</t>
  </si>
  <si>
    <t>Planificación y Ejecución de Simulacros de Emergencia</t>
  </si>
  <si>
    <t>IN-17.5-17</t>
  </si>
  <si>
    <t>Acta N° 034-2020-DORG (Gerencia de Personas y Desarrollo Organizacional)</t>
  </si>
  <si>
    <t>Capacitación y Entrenamiento para el Sistema de Gestión de Seguridad y Salud en el Trabajo</t>
  </si>
  <si>
    <t>IN-17.6-06</t>
  </si>
  <si>
    <t>N�039-2023-PROC</t>
  </si>
  <si>
    <t xml:space="preserve">Acta N° 195-2021-PROC (Gerencia de Personas y Desarrollo Organizacional) </t>
  </si>
  <si>
    <t xml:space="preserve"> Subgerencia De Cultura Y Gestión Del Cambio </t>
  </si>
  <si>
    <t xml:space="preserve"> Subgerencia De Cultura Y Gestión Del Cambio</t>
  </si>
  <si>
    <t>Emisión de Comunicados Internos</t>
  </si>
  <si>
    <t>IN-17.8-01</t>
  </si>
  <si>
    <t>Acta N°225-2022PROC</t>
  </si>
  <si>
    <t>Acta N° 213-2020-PROC (Gerencia de Personas y Desarrollo Organizacional)</t>
  </si>
  <si>
    <t>Gestión del Desempeño</t>
  </si>
  <si>
    <t>IN-17.6-01</t>
  </si>
  <si>
    <t>N�058-2023-PROC</t>
  </si>
  <si>
    <t>Acta N° 106-2020-PROC (Gerencia de Personas y Desarrollo Organizacional)</t>
  </si>
  <si>
    <t>Escuela de Formación de Analistas de Crédito</t>
  </si>
  <si>
    <t>IN-17.6-02</t>
  </si>
  <si>
    <t>Acta N� 129-2023-PROC (Gerencia de Personas y Desarrollo Organizacional)</t>
  </si>
  <si>
    <t>Gestión del Plan de Capacitación</t>
  </si>
  <si>
    <t>IN-17.6-03</t>
  </si>
  <si>
    <t>Inducción y Reinducción del Personal</t>
  </si>
  <si>
    <t>IN-17.6-04</t>
  </si>
  <si>
    <t>Beneficios por Título Profesional o Grado Académico</t>
  </si>
  <si>
    <t>IN-17.6-05</t>
  </si>
  <si>
    <t>Acta Nº 128-PROC-2022 (Gerencia de Personas y Desarrollo Organizacional)</t>
  </si>
  <si>
    <t>Reclutamiento y Selección del Personal</t>
  </si>
  <si>
    <t>IN-17.1-02</t>
  </si>
  <si>
    <t>Acta N° 098-2022–PROC (Gerencia de Personas y Desarrollo Organizacional</t>
  </si>
  <si>
    <t>Acta N° 131–2021–PROC (Gerencia de Personas y Desarrollo Organizacional)</t>
  </si>
  <si>
    <t>Elaboración o Actualización de la Normativa Interna</t>
  </si>
  <si>
    <t>IN-4.1-02</t>
  </si>
  <si>
    <t>Acta N° 110-2022-PROC (Gerencia de Procesos y Calidad de Servicios Operacionales)</t>
  </si>
  <si>
    <t>Acta N° 060-2022-PROC (Gerencia de Procesos y Calidad de Servicios Operacionales)</t>
  </si>
  <si>
    <t>Acta N° 251-2020-Proc (Gerencia Central De Administración Y Operaciones)</t>
  </si>
  <si>
    <t>Prevención de Incidentes por Malware</t>
  </si>
  <si>
    <t>IN-16.3-01</t>
  </si>
  <si>
    <t>Acta N� 138-2023-PROC (Gerencia de TI)</t>
  </si>
  <si>
    <t>Administración de Accesos Remotos</t>
  </si>
  <si>
    <t>IN-16.3-02</t>
  </si>
  <si>
    <t>Acta N� 216-2023-PROC (Gerencia de TI)</t>
  </si>
  <si>
    <t>Acta N� 191-2023-PROC (Gerencia de TI)</t>
  </si>
  <si>
    <t>Acta N� 015-2023-PROC (Gerencia de TI)</t>
  </si>
  <si>
    <t>Acta N° 148-PROC-2021 (Gerencia de TI)</t>
  </si>
  <si>
    <t>Administración de Cuentas de Usuario</t>
  </si>
  <si>
    <t>IN-16.3-03</t>
  </si>
  <si>
    <t>Acta N� 046-2023-PROC (Gerencia de TI)</t>
  </si>
  <si>
    <t>Acta Nº 167-2022-PROC (Gerencia de TI)</t>
  </si>
  <si>
    <t>Acta N° 065-PROC–2022 (Gerencia de TI)</t>
  </si>
  <si>
    <t>Acuerdo N° 157, Acta N° 33/2021 (Comité De Gerencia)</t>
  </si>
  <si>
    <t>Administración de Carpetas Compartidas</t>
  </si>
  <si>
    <t>IN-16.3-04</t>
  </si>
  <si>
    <t>Acta N� 206-2023-PROC (Gerencia de TI)</t>
  </si>
  <si>
    <t>Acta Nº 174-2022-PROC (Gerencia de TI)</t>
  </si>
  <si>
    <t>Acta Nº 115-PROC-2022 (Gerencia de TI)</t>
  </si>
  <si>
    <t>Revisión de Registros y Consultas de Auditoría</t>
  </si>
  <si>
    <t>IN-16.3-10</t>
  </si>
  <si>
    <t>Acta N� 152-2023-PROC (Gerencia de TI)</t>
  </si>
  <si>
    <t>Acta N° 021-PROC -2022 (Gerencia de TI)</t>
  </si>
  <si>
    <t>Acta N° 122-PROC-2021 (Gerencia de TI)</t>
  </si>
  <si>
    <t>Acción Ante Eventos de Phishing y Abuso de Marco</t>
  </si>
  <si>
    <t>IN-16.3-11</t>
  </si>
  <si>
    <t>Acta N° 177-2022-PROC (Gerencia de TI)</t>
  </si>
  <si>
    <t>Acta N° 093-2022-PROC (Gerencia de TI)</t>
  </si>
  <si>
    <t>Acta N° 141 -2020-Proc (Gerencia De Ti)</t>
  </si>
  <si>
    <t>Habilitación e Inhabilitación de Puerto USB y/o Reproductor de DVD</t>
  </si>
  <si>
    <t>IN-16.3-14</t>
  </si>
  <si>
    <t>Acta N� 071-2023-PROC (Gerencia de TI)</t>
  </si>
  <si>
    <t>Acta Nº 036-PROC-2022 (Gerencia de TI)</t>
  </si>
  <si>
    <t>Acta Nº 059-2020-Dorg (Gerencia De Ti)</t>
  </si>
  <si>
    <t>Transferencia de Información por SFTP</t>
  </si>
  <si>
    <t>IN-16.3-15</t>
  </si>
  <si>
    <t>Acta N� 249-2023-PROC (Gerente de TI)</t>
  </si>
  <si>
    <t>Acta Nº 059-2020-DORG (Gerencia de TI)</t>
  </si>
  <si>
    <t>Gestión de Vulnerabilidades Técnicas de Software en Aplicaciones y Equipos</t>
  </si>
  <si>
    <t>IN-16.3-16</t>
  </si>
  <si>
    <t>Acta N� 086-2023-PROC (Gerencia de TI)</t>
  </si>
  <si>
    <t>Acta N� 008-2023-PROC (Gerencia de TI)</t>
  </si>
  <si>
    <t>Acta Nº 159-2022-PROC (Gerencia de TI)</t>
  </si>
  <si>
    <t>Acuerdo Nº 263, Acta Nº 25/2021 (Directorio)</t>
  </si>
  <si>
    <t>Acta N° 46-Proc-2021 (Gerencia De Ti)</t>
  </si>
  <si>
    <t>Pruebas de Penetración</t>
  </si>
  <si>
    <t>IN-16.3-17</t>
  </si>
  <si>
    <t>Acta Nº 242-2022-PROC (Gerencia de TI)</t>
  </si>
  <si>
    <t>Acta N° 084-2020-PROC (Gerencia de TI)</t>
  </si>
  <si>
    <t>Gestión de Registros de Auditoría de Seguridad</t>
  </si>
  <si>
    <t>IN-16.3-18</t>
  </si>
  <si>
    <t>Acta N� 224-2023-PROC (Gerencia de TI)</t>
  </si>
  <si>
    <t>Acuerdo N° 156-PROC-2021 (Gerencia de TI)</t>
  </si>
  <si>
    <t>Gestión de Reglas de Firewall</t>
  </si>
  <si>
    <t>IN-16.3-19</t>
  </si>
  <si>
    <t>Acta N� 049-2023-PROC (Gerencia de TI)</t>
  </si>
  <si>
    <t>Acta Nº 215-2022-PROC (Gerencia de TI)</t>
  </si>
  <si>
    <t>Acta Nº 146-2022-PROC (Gerencia de TI)</t>
  </si>
  <si>
    <t>Acta N° 201-PROC-2021 (Gerencia de TI)</t>
  </si>
  <si>
    <t>Estándares de Configuración de Sistemas</t>
  </si>
  <si>
    <t>IN-16.3-20</t>
  </si>
  <si>
    <t>Acuerdo N� 107-2023-PROC (Gerencia de TI)</t>
  </si>
  <si>
    <t>Acuerdo N° 216-PROC-2021 (Gerencia de TI)</t>
  </si>
  <si>
    <t>Manejo de Cuentas Privilegiadas</t>
  </si>
  <si>
    <t>IN-16.3-21</t>
  </si>
  <si>
    <t>Acta N° 015-2021-PROC (Gerencia de TI)</t>
  </si>
  <si>
    <t>Gestión de Herramientas de FIM y Parchado Virtual</t>
  </si>
  <si>
    <t>ESPECIAL</t>
  </si>
  <si>
    <t>IN-16.3-22</t>
  </si>
  <si>
    <t>acta N 152-2022</t>
  </si>
  <si>
    <t>Acta N° 033-2021-PROC (Gerencia de TI)</t>
  </si>
  <si>
    <t>Gestión de los Planes de Respuesta de Incidentes de Ciberseguridad</t>
  </si>
  <si>
    <t>IN-16.3-23</t>
  </si>
  <si>
    <t>Acta N� 222-2023-PROC (Gerencia de TI)</t>
  </si>
  <si>
    <t>Acta N� 154-2023-PROC (Gerencia de TI)</t>
  </si>
  <si>
    <t>Acta N° 085-2021-PROC (Gerencia de TI)</t>
  </si>
  <si>
    <t>Administración de Servicios en Nube</t>
  </si>
  <si>
    <t>IN-16.3-24</t>
  </si>
  <si>
    <t>Acta N 191-2022-PROC</t>
  </si>
  <si>
    <t>Acta N° 025-2021-PROC (Gerencia de TI)</t>
  </si>
  <si>
    <t>Análisis Forense</t>
  </si>
  <si>
    <t>IN-16.3-25</t>
  </si>
  <si>
    <t>Acta N� 239-2023-PROC (Gerencia de TI)</t>
  </si>
  <si>
    <t>Acta Nº 086-PROC-2022 (Gerencia de TI)</t>
  </si>
  <si>
    <t>Certificados de Cifradro</t>
  </si>
  <si>
    <t>IN-16.3-26</t>
  </si>
  <si>
    <t>Acta N� 214-2023-PROC (Gerencia de TI)</t>
  </si>
  <si>
    <t>Acta N° 144-2022-PROC (Gerencia de TI)</t>
  </si>
  <si>
    <t>Optimización de Sistemas</t>
  </si>
  <si>
    <t>IN-16.1-02</t>
  </si>
  <si>
    <t>Acta N° 142-2019-DORG (Gerencia de Soluciones de Negocio)</t>
  </si>
  <si>
    <t>Pase a Pruebas y Salida a Producción</t>
  </si>
  <si>
    <t>IN-16.1-03</t>
  </si>
  <si>
    <t>Acta N� 151-2023-PROC (Gerencia de TI)</t>
  </si>
  <si>
    <t>Acta N° 220–2022-PROC (Gerencia de TI)</t>
  </si>
  <si>
    <t>Acta N° 136-PROC -2022 (Gerencia de TI)</t>
  </si>
  <si>
    <t>Acta N° 202–PROC–2021 (Gerencia de TI)</t>
  </si>
  <si>
    <t>Control de Accesos al Código Fuente</t>
  </si>
  <si>
    <t>IN-16.1-05</t>
  </si>
  <si>
    <t>Acta N° 221–PROC–2021 (Gerencia de TI)</t>
  </si>
  <si>
    <t>Publicación de Aplicaciones Móviles</t>
  </si>
  <si>
    <t>IN-16.1-06</t>
  </si>
  <si>
    <t>Acta N° 266-2019-DORG (Gerencia de Soluciones de Negocio)</t>
  </si>
  <si>
    <t>Gestión de Respaldo de Información</t>
  </si>
  <si>
    <t>IN-16.2-01</t>
  </si>
  <si>
    <t>Acta N� 181-2023-PROC (Gerencia de TI)</t>
  </si>
  <si>
    <t>Acta N� 131-2023-PROC (Gerencia de TI)</t>
  </si>
  <si>
    <t>Acta N° 163-2022-PROC (Gerencia de TI)</t>
  </si>
  <si>
    <t>Acta N° 097-2022-PROC (Gerencia de TI)</t>
  </si>
  <si>
    <t>Acta Nº 032-Proc-2022 (Gerencia De Ti)</t>
  </si>
  <si>
    <t>Acta N° 153-Proc-2021 (Gerencia De Ti)</t>
  </si>
  <si>
    <t>Gestión de Cambios de Infraestructura</t>
  </si>
  <si>
    <t>IN-16.2-02</t>
  </si>
  <si>
    <t>Acta N° 135-2022-PROC (Gerencia de TI)</t>
  </si>
  <si>
    <t>Acta N° 19–PROC-2021 (Gerencia de TI)</t>
  </si>
  <si>
    <t>Actualización de Software en Aplicaciones y Equipos</t>
  </si>
  <si>
    <t>IN-16.2-03</t>
  </si>
  <si>
    <t>Acta N� 054-2023-PROC (Gerencia de TI)</t>
  </si>
  <si>
    <t>Acta N°  234-PROC–2021 (Gerencia de TI)</t>
  </si>
  <si>
    <t>Administración de Equipos Móviles</t>
  </si>
  <si>
    <t>IN-16.2-04</t>
  </si>
  <si>
    <t>Acta N� 137-2023-PROC (Gerencia de TI)</t>
  </si>
  <si>
    <t>Acta N° 008-PROC -2021 (Gerencia de TI)</t>
  </si>
  <si>
    <t>Cierre de Operaciones</t>
  </si>
  <si>
    <t>IN-16.2-05</t>
  </si>
  <si>
    <t>Acta N°  66-PROC–2022 (Gerencia de TI)</t>
  </si>
  <si>
    <t>Acta N°  230-PROC–2021 (Gerencia de TI)</t>
  </si>
  <si>
    <t>Generación del Anexo N° 06</t>
  </si>
  <si>
    <t>IN-16.2-06</t>
  </si>
  <si>
    <t>Inasistencia del Operador de Cierre</t>
  </si>
  <si>
    <t>IN-16.2-07</t>
  </si>
  <si>
    <t>Gestión de Paquetes de Software</t>
  </si>
  <si>
    <t>IN-16.2-08</t>
  </si>
  <si>
    <t>Actualización del Ambiente de Desarrollo</t>
  </si>
  <si>
    <t>IN-16.2-11</t>
  </si>
  <si>
    <t>Mantenimiento de la Red de Cajeros</t>
  </si>
  <si>
    <t>IN-16.2-13</t>
  </si>
  <si>
    <t>Acta N�228-2023-PROC (Gerencia de TI)</t>
  </si>
  <si>
    <t>Acta N°208-2022-Proc (Gerencia De Ti)</t>
  </si>
  <si>
    <t>Acta N° 199-2022-PROC (Gerencia de TI)</t>
  </si>
  <si>
    <t>Acta N° 169 - PROC - 2021 (Gerencia de TI)</t>
  </si>
  <si>
    <t>Protección de Datos de Prueba</t>
  </si>
  <si>
    <t>IN-16.2-14</t>
  </si>
  <si>
    <t>Acta N� 119-2023-PROC (Gerencia de TI)</t>
  </si>
  <si>
    <t>Acta N° 106–PROC-2021 (Gerencia de TI)</t>
  </si>
  <si>
    <t>Reutilización, Baja, y Destrucción de Dispositivos de TI</t>
  </si>
  <si>
    <t>IN-16.2-15</t>
  </si>
  <si>
    <t>Acta N� 202-PROC-2023 (Gerencia de TI)</t>
  </si>
  <si>
    <t>Acta N° 003-PROC -2021 (Gerencia de TI)</t>
  </si>
  <si>
    <t>Acta N° 99 -2020-PROC (Gerencia de TI)</t>
  </si>
  <si>
    <t>Sincronizacion Horaria de Equipos y Servidores</t>
  </si>
  <si>
    <t>IN-16.2-16</t>
  </si>
  <si>
    <t>Acta N� 012-2023-PROC (Gerencia de TI)</t>
  </si>
  <si>
    <t>IN-16.2-17</t>
  </si>
  <si>
    <t>Gestión de Niveles de Servicios Contratados por TI</t>
  </si>
  <si>
    <t>IN-16.2-19</t>
  </si>
  <si>
    <t>Controles de Seguridad de Canales Electrónicos</t>
  </si>
  <si>
    <t>IN-16.2-20</t>
  </si>
  <si>
    <t>Acta N° 186–PROC-2021 (Gerencia de TI)</t>
  </si>
  <si>
    <t>Control de Acceso al Data Center y Sala de Comunicaciones en Agencia</t>
  </si>
  <si>
    <t>IN-16.2-21</t>
  </si>
  <si>
    <t>Acta N 226-2022-PROC Gerencia de TI</t>
  </si>
  <si>
    <t>Acta N° 168-2022-PROC (Gerencia de TI)</t>
  </si>
  <si>
    <t>Acta N° 212-Proc-2021 (Gerencia De Ti)</t>
  </si>
  <si>
    <t>Gestión de Información y Accesos a Bases de Datos</t>
  </si>
  <si>
    <t>IN-16.2-22</t>
  </si>
  <si>
    <t>Acta N� 165-PROC-2023 (Gerencia de TI)</t>
  </si>
  <si>
    <t>Acta N° 222-PROC-2022 (Gerencia de TI)</t>
  </si>
  <si>
    <t>Acta N° 184-2022-PROC (Gerencia de TI)</t>
  </si>
  <si>
    <t>Acta N°  230-Proc–2021 (Gerencia De Ti)</t>
  </si>
  <si>
    <t>Gestión de Diagramas de Flujo de TI</t>
  </si>
  <si>
    <t>IN-16.2-23</t>
  </si>
  <si>
    <t>Acta N° 259-2022-PROC (Gerente de TI)</t>
  </si>
  <si>
    <t>Acta N° 100-PROC-2021 (Gerencia de TI)</t>
  </si>
  <si>
    <t>Revisión de Puntos Acceso Inalambricos no Autorizados</t>
  </si>
  <si>
    <t>IN-16.2-24</t>
  </si>
  <si>
    <t>Acta N° 196-2021-PROC (Gerencia de TI)</t>
  </si>
  <si>
    <t>Verificación de los Centros de Negocio Alternos y Centros de Comando de Emergencia</t>
  </si>
  <si>
    <t>IN-16.2-25</t>
  </si>
  <si>
    <t>Acta N° 065/2020 PROC (Gerencia de TI)</t>
  </si>
  <si>
    <t>Administración de Equipos de Cómputo</t>
  </si>
  <si>
    <t>IN-16.2-26</t>
  </si>
  <si>
    <t>Acta N� 085-2023-PROC (Gerencia de TI)</t>
  </si>
  <si>
    <t>Acta N° 261-2022-PROC</t>
  </si>
  <si>
    <t>Gestión de Configuración de Router</t>
  </si>
  <si>
    <t>IN-16.2-27</t>
  </si>
  <si>
    <t>Acta N° 094-PROC -2021 (Gerencia de TI)</t>
  </si>
  <si>
    <t>Gestión de Activos de Información</t>
  </si>
  <si>
    <t>IN-16.2-28</t>
  </si>
  <si>
    <t>Acta N� 217-2023-PROC (Gerencia de TI)</t>
  </si>
  <si>
    <t>Acta N° 239-2022-PROC (Gerencia de TI)</t>
  </si>
  <si>
    <t>Acta N° 190-2022-PROC (Gerencia de TI)</t>
  </si>
  <si>
    <t>Acta Nº 032-PROC-2022 (Gerencia de TI)</t>
  </si>
  <si>
    <t>Acta N° 003-Proc -2021 (Gerencia De Ti)</t>
  </si>
  <si>
    <t>Mantenimiento de Equipos Tecnológicos en Agencia</t>
  </si>
  <si>
    <t>IN-16.4-02</t>
  </si>
  <si>
    <t>Gestión de Incidentes de TI</t>
  </si>
  <si>
    <t>IN-16.4-04</t>
  </si>
  <si>
    <t>Acta N� 243-PROC-2023 (Gerencia de TI)</t>
  </si>
  <si>
    <t>Acta N� 169-2023-PROC (Gerencia de TI)</t>
  </si>
  <si>
    <t>Acta N° 258-2022-PROC (Gerencia de TI)</t>
  </si>
  <si>
    <t>Acta Nº 044-PROC-2022 (Gerencia de TI)</t>
  </si>
  <si>
    <t>Cambios de Emergencia</t>
  </si>
  <si>
    <t>IN-16.4-05</t>
  </si>
  <si>
    <t>Mantenimiento de Equipos del Data Center</t>
  </si>
  <si>
    <t>IN-16.4-06</t>
  </si>
  <si>
    <t>Acta N� 325-2023-PROC (Gerencia de TI)</t>
  </si>
  <si>
    <t>Manejo de los Relojes Marcadores</t>
  </si>
  <si>
    <t>IN-16.4-07</t>
  </si>
  <si>
    <t>Acta N° 279 – 2019 – DORG (Gerencia de TI)</t>
  </si>
  <si>
    <t>Modificaciones Directas en Base de Datos</t>
  </si>
  <si>
    <t>IN-16.4-08</t>
  </si>
  <si>
    <t xml:space="preserve"> Acta Nº 040-PROC-2022 (Gerencia de TI)</t>
  </si>
  <si>
    <t>Acta N° 200-Proc-2020 (Gerencia De Ti)</t>
  </si>
  <si>
    <t>Análisis, Programación, y Parametrización de Software</t>
  </si>
  <si>
    <t>IN-16.1-07</t>
  </si>
  <si>
    <t>Acta N� 055-PROC-2023 (Gerencia de TI)</t>
  </si>
  <si>
    <t>Acta N° 173-PROC-2022 (Gerencia de TI)</t>
  </si>
  <si>
    <t>Acta N° 202-PROC-2021 (Gerencia de TI)</t>
  </si>
  <si>
    <t>Identificación de Requisitos de Seguridad Para los Sistemas de Información</t>
  </si>
  <si>
    <t>IN-16.1-08</t>
  </si>
  <si>
    <t>Acta N° 211-2021-PROC (Gerencia de TI)</t>
  </si>
  <si>
    <t>Requisitos Para un Ambiente de Desarrollo Seguro</t>
  </si>
  <si>
    <t>IN-16.1-09</t>
  </si>
  <si>
    <t>Revisión y Análisis de Codigo Fuente</t>
  </si>
  <si>
    <t>IN-16.1-10</t>
  </si>
  <si>
    <t>Acta N� 036-2023-PROC (Gerencia de TI)</t>
  </si>
  <si>
    <t>Acta N° 198-2021-PROC (Gerencia de TI)</t>
  </si>
  <si>
    <t xml:space="preserve"> Parametrización</t>
  </si>
  <si>
    <t>Cambio de Politicas en el Core Bancario</t>
  </si>
  <si>
    <t>IN-16.1-01</t>
  </si>
  <si>
    <t>PARA-25/04/2022
acta de reunión-correo electrónico</t>
  </si>
  <si>
    <t>Acta N° 136–2020-PROC (Gerencia de TI)</t>
  </si>
  <si>
    <t>Administración de Caja Chica</t>
  </si>
  <si>
    <t>IN-21.1-01</t>
  </si>
  <si>
    <t>Acta N�177-2023-PROC (Gerencia de Operaciones)</t>
  </si>
  <si>
    <t>Acta N° 090-2022-PROC (Gerencia de Contabilidad y Tributaria)</t>
  </si>
  <si>
    <t>Acta N° 127-2020-PROC (Gerencia de Contabilidad y Tributaria)</t>
  </si>
  <si>
    <t>Cierre Anual Contable</t>
  </si>
  <si>
    <t>IN-21.1-02</t>
  </si>
  <si>
    <t>Conciliacion de Saldos de Activos Fijos e Intangibles</t>
  </si>
  <si>
    <t>IN-21.1-03</t>
  </si>
  <si>
    <t>Acta N° 287-2020-PROC (Gerencia de Contabilidad y Tributaria)</t>
  </si>
  <si>
    <t>Contabilización de las Provisiones del Mes y Asientos Manuales con Fecha Valor Contable</t>
  </si>
  <si>
    <t>IN-21.1-04</t>
  </si>
  <si>
    <t>Acta N� 253-2022-PROC (Gerencia de Contabilidad y Tributaria)</t>
  </si>
  <si>
    <t>Acuerdo N° 010, Acta N° 043/2022 (Comité de Gerencia)</t>
  </si>
  <si>
    <t>Acta N° 149-2021-PROC (Gerencia Central de Finanzas y Control de Gestión)</t>
  </si>
  <si>
    <t>Elaboración de Estados Financieros</t>
  </si>
  <si>
    <t>IN-21.1-05</t>
  </si>
  <si>
    <t>Acta N° 094-2022-PROC (Gerencia de Contabilidad y Tributaria)</t>
  </si>
  <si>
    <t>Acta N° 203-2021-PROC (Gerencia de Contabilidad y Tributaria)</t>
  </si>
  <si>
    <t>Elaboración de Información Financiera y Presupuestaria para la Dirección General de Contabilidad Pública (DGCP)</t>
  </si>
  <si>
    <t>IN-21.1-06</t>
  </si>
  <si>
    <t>Acta N� 252-2023-PROC (Gerencia de Contabilidad y Tributaria)</t>
  </si>
  <si>
    <t>Elaboración de Anexos y Reportes</t>
  </si>
  <si>
    <t>IN-21.1-08</t>
  </si>
  <si>
    <t>N� 233-2023-PROC</t>
  </si>
  <si>
    <t>Acta N� 118-2023-PROC (Gerencia de Contabilidad y Tributaria)</t>
  </si>
  <si>
    <t>Acta N� 090-2023-PROC (Gerencia de Contabilidad y Tributaria)</t>
  </si>
  <si>
    <t>Acta N� 032-2023-PROC (Gerencia de Contabilidad y Tributaria)</t>
  </si>
  <si>
    <t>Acta N° 205-2022-PROC (Gerencia de Contabilidad y Tributaria)</t>
  </si>
  <si>
    <t>Acta N° 176-2022-PROC (Gerencia de Contabilidad y Tributaria)</t>
  </si>
  <si>
    <t>Acta N° 170-2022-PROC (Gerencia de Contabilidad y Tributaria)</t>
  </si>
  <si>
    <t xml:space="preserve"> Tributaria</t>
  </si>
  <si>
    <t>Emisión de Comprobantes de Pago por Obsequios</t>
  </si>
  <si>
    <t>IN-21.2-01</t>
  </si>
  <si>
    <t>Elaboración de Libros Contables Electrónicos</t>
  </si>
  <si>
    <t>IN-21.2-02</t>
  </si>
  <si>
    <t>Elaboración y Cálculo del Impuesto a la Renta</t>
  </si>
  <si>
    <t>IN-21.2-03</t>
  </si>
  <si>
    <t>Acta N° 255-2020-PROC (Gerencia de Contabilidad y Tributaria)</t>
  </si>
  <si>
    <t>Liquidación de Impuestos, Declaraciones Juradas y Declaraciones Informativas (SUNAT)</t>
  </si>
  <si>
    <t>IN-21.2-04</t>
  </si>
  <si>
    <t>Gestión del Plan de Expansión</t>
  </si>
  <si>
    <t>IN-3.1-01</t>
  </si>
  <si>
    <t>Acta N° 062-20212PROC (Gerencia de Control de Gestión y Excelencia Operacional)</t>
  </si>
  <si>
    <t>Acta N° 049-2021-PROC (Gerencia de Control de Gestión y Excelencia Operacional)</t>
  </si>
  <si>
    <t>Evaluación de Gastos</t>
  </si>
  <si>
    <t>IN-1.3-01</t>
  </si>
  <si>
    <t>Acta N 169-2022-PROC Gerencia de Contabilidad y Tributaria</t>
  </si>
  <si>
    <t>Gestión de Proyecto en el Modulo Project Costing</t>
  </si>
  <si>
    <t>PR-CGAS01</t>
  </si>
  <si>
    <t>Acta N° 079-2022-PROC (Gerencia de Control de Gestión y Excelencia Operacional)</t>
  </si>
  <si>
    <t>Acuerdo N°321 , Acta N°029 /2016 (Comité de Gerencia)</t>
  </si>
  <si>
    <t>Gestión del Plan Estratégico</t>
  </si>
  <si>
    <t>IN-1.1-01</t>
  </si>
  <si>
    <t>Acuerdo N° 127, Acta N° 012/2022 (Directorio)</t>
  </si>
  <si>
    <t>Acta N° 214-2021-PROC (Subgerencia de Planificación Estratégica)</t>
  </si>
  <si>
    <t>Rendición de Cuentas de los Titulares</t>
  </si>
  <si>
    <t>IN-1.1-02</t>
  </si>
  <si>
    <t>Acta N° 165– 2020 – PROC (Subgerencia de Planificación Estratégica)</t>
  </si>
  <si>
    <t>Gestión de Proyectos</t>
  </si>
  <si>
    <t>IN-4.2-02</t>
  </si>
  <si>
    <t>Acta N° 057-2022-PROC (Subgerencia de Planificación Estratégica)</t>
  </si>
  <si>
    <t>Acta N° 214-2021-Proc (Subgerencia De Planificación Estratégica)</t>
  </si>
  <si>
    <t xml:space="preserve"> Gestión Financiera</t>
  </si>
  <si>
    <t>Análisis de Modificación de Nuevas Tasas y Comisiones</t>
  </si>
  <si>
    <t>IN-2.3-01</t>
  </si>
  <si>
    <t>Acta N� 021-2023-PROC (Gerencia Central de Finanzas y Control de
Gesti�n)</t>
  </si>
  <si>
    <t>Acta N° 073-2022-PROC (Gerencia de Finanzas)</t>
  </si>
  <si>
    <t>Gestión de Adeudados</t>
  </si>
  <si>
    <t>IN-6.1-01</t>
  </si>
  <si>
    <t>Acta N� 094-2023-PROC (Gerencia de Finanzas)</t>
  </si>
  <si>
    <t>Acta N° 084-2022-PROC (Gerencia de Finanzas)</t>
  </si>
  <si>
    <t>Asignación de Lineas Externas de Financiamiento a la Cartera Crediticia</t>
  </si>
  <si>
    <t>IN-6.2-02</t>
  </si>
  <si>
    <t>Emisión, Gestión y Control de Instrumentos de Deuda</t>
  </si>
  <si>
    <t>IN-6.2-03</t>
  </si>
  <si>
    <t>GFIN-26-08-2022 Acta 16-PROC</t>
  </si>
  <si>
    <t xml:space="preserve"> Presupuesto Y Business Plan</t>
  </si>
  <si>
    <t>Getión del Presupuesto Institucional</t>
  </si>
  <si>
    <t>IN-1.1-03</t>
  </si>
  <si>
    <t xml:space="preserve">Bonos Sénior </t>
  </si>
  <si>
    <t>IN-5.1-01</t>
  </si>
  <si>
    <t>Acta N° 130-2022-PROC (Gerencia de Finanzas)</t>
  </si>
  <si>
    <t>Elaboración de Tasas de Transferencia Activas y Pasivas</t>
  </si>
  <si>
    <t>IN-5.1-02</t>
  </si>
  <si>
    <t>Acta N� 214-2022-PROC</t>
  </si>
  <si>
    <t>Acta N° 227-2021-PROC (Gerente de Finanzas)</t>
  </si>
  <si>
    <t>Certificado de Deposito y Papeles Comerciales</t>
  </si>
  <si>
    <t>IN-5.1-03</t>
  </si>
  <si>
    <t>Encaje Legal</t>
  </si>
  <si>
    <t>IN-5.1-04</t>
  </si>
  <si>
    <t>Gap de Liquidez</t>
  </si>
  <si>
    <t>IN-5.1-05</t>
  </si>
  <si>
    <t>Intermediación de Fondos de Tesorería</t>
  </si>
  <si>
    <t>IN-5.1-06</t>
  </si>
  <si>
    <t>Acuerdo N°167 , Acta N°019/2018  (Comité de Gerencia)</t>
  </si>
  <si>
    <t>Inversiones de Letras del Tesoro- Mercado Primario y Secundario</t>
  </si>
  <si>
    <t>IN-5.2-01</t>
  </si>
  <si>
    <t>Inversiones en Cd del BCRP- Mercado Primario</t>
  </si>
  <si>
    <t>IN-5.2-02</t>
  </si>
  <si>
    <t>Inversiones en Operaciones de Reporte</t>
  </si>
  <si>
    <t>IN-5.2-03</t>
  </si>
  <si>
    <t>Acta N° 127-2022-PROC (Gerencia de Finanzas)</t>
  </si>
  <si>
    <t>Rescate de Fondos Mutuo</t>
  </si>
  <si>
    <t>IN-5.2-04</t>
  </si>
  <si>
    <t>Suscripcion en Fondos Mutuos</t>
  </si>
  <si>
    <t>IN-5.2-05</t>
  </si>
  <si>
    <t>Gestión de Tipo de Cambio y Atención a Clientes de Tesorería</t>
  </si>
  <si>
    <t>IN-5.3-01</t>
  </si>
  <si>
    <t>Acta N° 231-2022-PROC (Gerencia de Finanzas)</t>
  </si>
  <si>
    <t>Acta N° 119-2021-PROC (Gerencia de Finanzas)</t>
  </si>
  <si>
    <t>Operaciones Cambiarias con Entindades Financieras</t>
  </si>
  <si>
    <t>IN-5.3-02</t>
  </si>
  <si>
    <t>Validacion de la Posicion de Cambios y Determinacion del Tipo de Cambio</t>
  </si>
  <si>
    <t>IN-5.3-03</t>
  </si>
  <si>
    <t>Forward de Tipo de Cambio</t>
  </si>
  <si>
    <t>IN-5.3-04</t>
  </si>
  <si>
    <t>Acta N° 112-2022-PROC (Gerencia de Finanzas)</t>
  </si>
  <si>
    <t>Operaciones de Reporte de Cartera de Créditos con el BCRP</t>
  </si>
  <si>
    <t>IN-6.2-01</t>
  </si>
  <si>
    <t>Acta N° 063-PROC-2021 (Gerente de Finanzas)</t>
  </si>
  <si>
    <t>Difusión de Cambios para Nuevas Tasas Comisiones y Gastos</t>
  </si>
  <si>
    <t>IN-2.2-01</t>
  </si>
  <si>
    <t>Acta N� 020-2023-PROC (Gerencia de Productos Pasivos)</t>
  </si>
  <si>
    <t>Apertura de Cuentas de Depósito</t>
  </si>
  <si>
    <t>IN-9.1-01</t>
  </si>
  <si>
    <t>Acta N� 223-2023-PROC (Gerencia Central de Finanzas y Control de Gesti�n)</t>
  </si>
  <si>
    <t>Acta N�164-PROC-2023 (Gerencia de Productos Pasivos)</t>
  </si>
  <si>
    <t>Acta N� 101-PROC-2023 (Gerencia de Productos Pasivos)</t>
  </si>
  <si>
    <t>Acta N° 257-2022-PROC (Gerencia de Productos Pasivos)</t>
  </si>
  <si>
    <t>Acta N°179-2022-PROC (Gerencia de Productos Pasivos)</t>
  </si>
  <si>
    <t>Acta N°172-2022-PROC (Gerencia de Productos Pasivos)</t>
  </si>
  <si>
    <t>Acta N° 109-2022-Proc (Gerencia De Productos Pasivos)</t>
  </si>
  <si>
    <t>Gestión del Convenio Marco - Agencias</t>
  </si>
  <si>
    <t>IN-9.1-02</t>
  </si>
  <si>
    <t>Acta N° 011-2021-PROC (Gerencia Central de Finanzas y Control de Gestión)</t>
  </si>
  <si>
    <t>Apertura de Cuenta a Plazo Fijo Menor a Treinta y un días</t>
  </si>
  <si>
    <t>IN-9.1-03</t>
  </si>
  <si>
    <t>Promoción y Mantenimiento de la Cartera de Depósitos</t>
  </si>
  <si>
    <t>IN-9.1-04</t>
  </si>
  <si>
    <t>Acta N� 050-2023-PROC (Gerencia de Productos Pasivos)</t>
  </si>
  <si>
    <t>Acta N° 276-2020-PROC (Gerencia de Finanzas y Control de Gestión)</t>
  </si>
  <si>
    <t>Administración de Tasas Especiales</t>
  </si>
  <si>
    <t>IN-9.1-05</t>
  </si>
  <si>
    <t>Acta N� 031-2023-PROC (Gerencia de Productos Pasivos)</t>
  </si>
  <si>
    <t>APROBACIÓN: Acta N° 180-2021-PROC (Gerencia Central de Finanzas y Control de Gestión)</t>
  </si>
  <si>
    <t>Administración de Ordenes de Pago y Titulos Valores</t>
  </si>
  <si>
    <t>IN-9.1-06</t>
  </si>
  <si>
    <t>Acta N° 116-2021-PROC (Gerencia Central de Finanzas y Control de Gestión)</t>
  </si>
  <si>
    <t>Gestión del Fondo de Seguro de Depósitos</t>
  </si>
  <si>
    <t>IN-9.2-01</t>
  </si>
  <si>
    <t>Acta N� 014-2023-PROC (Gerencia de Productos Pasivos)</t>
  </si>
  <si>
    <t>Acta N° 253-2022-PROC (Gerencia de Productos Pasivos)</t>
  </si>
  <si>
    <t>Acta N° 154-2022-PROC (Gerencia de Productos Pasivos)</t>
  </si>
  <si>
    <t>Acta N° 021-2021-PROC (Gerencia Central de Finanzas y Control de Gestión)</t>
  </si>
  <si>
    <t>Seguimiento de Créditos</t>
  </si>
  <si>
    <t>IN-7.5-01</t>
  </si>
  <si>
    <t>Acta N� 109-2023/PROC (Gerencia Central de Negocios)</t>
  </si>
  <si>
    <t>Estandarización y Mejoras por CCR</t>
  </si>
  <si>
    <t>Claudia Anita Gutierrez Postigo</t>
  </si>
  <si>
    <t>IN-7.5-02</t>
  </si>
  <si>
    <t>Acompañamiento de la Unidad de Calidad de Créditos</t>
  </si>
  <si>
    <t>IN-7.5-03</t>
  </si>
  <si>
    <t>Contratación de Abogados y/o Empresas de Cobranza Externos</t>
  </si>
  <si>
    <t>IN-8.1-01</t>
  </si>
  <si>
    <t>Acta N� 199-2023-PROC (Subgerencia de Cobranza)</t>
  </si>
  <si>
    <t>Acta N� 213-2022-PROC (Subgerencia de Cobranza)</t>
  </si>
  <si>
    <t xml:space="preserve">Anticipos Judiciales </t>
  </si>
  <si>
    <t>IN-8.1-04</t>
  </si>
  <si>
    <t>Acta N� 108-2023-PROC (Subgerencia de Cobranza)</t>
  </si>
  <si>
    <t>Gestión de Créditos en Recuperación Legal</t>
  </si>
  <si>
    <t>IN-8.3-08</t>
  </si>
  <si>
    <t>Acta N° 187-2022-Proc (Subgerencia De Cobranza)</t>
  </si>
  <si>
    <t>Cástigo de Créditos</t>
  </si>
  <si>
    <t>IN-8.3-01</t>
  </si>
  <si>
    <t>Acta N� 068-2023-PROC (Subgerencia de Cobranza)</t>
  </si>
  <si>
    <t>Ejecución Extrajudicial de Garantías Mobiliarias</t>
  </si>
  <si>
    <t>IN-8.3-02</t>
  </si>
  <si>
    <t>Emisión de Constancias de Créditos y de Levantamiento de Protesto</t>
  </si>
  <si>
    <t>IN-8.3-03</t>
  </si>
  <si>
    <t>Informar a la Superintendencia de Banca, Seguros y AFP Sobre los Créditos con Mora Mayor o Igual a 105 Días, 120 Días o 180 Días.</t>
  </si>
  <si>
    <t>IN-8.3-04</t>
  </si>
  <si>
    <t>Llenado, Protesto de Pagarés y Comunicación a la Cámara de Comercio</t>
  </si>
  <si>
    <t>IN-8.3-05</t>
  </si>
  <si>
    <t>Pago de Honorarios a Abogados Externos</t>
  </si>
  <si>
    <t>IN-8.3-06</t>
  </si>
  <si>
    <t>Acta N° 151-2022-PROC (Subgerencia de Cobranza)</t>
  </si>
  <si>
    <t>Transferencia de Cartera</t>
  </si>
  <si>
    <t>IN-8.3-07</t>
  </si>
  <si>
    <t>Acta N� 022-2023-PROC (Subgerencia de Cobranza)</t>
  </si>
  <si>
    <t>Acta N� 206-2022-PROC (Subgerencia de Cobranza)</t>
  </si>
  <si>
    <t>Acta N° 011-2022-PROC (Subgerencia de Cobranza)</t>
  </si>
  <si>
    <t>Administración de Servicios de Recaudación y Comisiones de Entidades Financieras</t>
  </si>
  <si>
    <t>IN-11.1-01</t>
  </si>
  <si>
    <t>Acta N°206-2020-DORG (Gerencia de Canales Alternativos)</t>
  </si>
  <si>
    <t>Implementación y Traslado de ATM</t>
  </si>
  <si>
    <t>IN-14.2-01</t>
  </si>
  <si>
    <t>Acta N�005-2023-PROC (Gerencia de Canales Alternativos)</t>
  </si>
  <si>
    <t>Acta N°189-2022-PROC (Gerencia de Canales Alternativos)</t>
  </si>
  <si>
    <t>Implementación y Cierre de Locales Compartidos</t>
  </si>
  <si>
    <t>IN-14.2-02</t>
  </si>
  <si>
    <t>Administración de Cajeros Corresponsales</t>
  </si>
  <si>
    <t>IN-14.2-03</t>
  </si>
  <si>
    <t>Acta N� 232-2023-PROC (Gerencia de Canales Alternativos)</t>
  </si>
  <si>
    <t>Acta N° 095-2021-PROC (Gerencia de Canales Alternativos)</t>
  </si>
  <si>
    <t>Revisión Normativa a la Red de Cajeros Corresponsales</t>
  </si>
  <si>
    <t>IN-14.3-01</t>
  </si>
  <si>
    <t>Acta N�002-2024/PROC (Gerencia de Canales Alternativos)</t>
  </si>
  <si>
    <t>Pago la Red de Canales Alternativos</t>
  </si>
  <si>
    <t>IN-14.3-02</t>
  </si>
  <si>
    <t>Acta N�001-2024/PROC (Gerencia de Canales Alternativos)</t>
  </si>
  <si>
    <t>Acta N° 233 – 2021 - PROC (Gerencia de Canales Alternativos)</t>
  </si>
  <si>
    <t>Administración de Canales Alternativos</t>
  </si>
  <si>
    <t>IN-14.3-04</t>
  </si>
  <si>
    <t>Acta N° 095-2022-PROC (Gerencia de Canales Alternativos)</t>
  </si>
  <si>
    <t>Acta N° 145-2021-PROC (Gerencia de Canales Alternativos)</t>
  </si>
  <si>
    <t>Gestión de Convenios</t>
  </si>
  <si>
    <t>IN-7.2-01</t>
  </si>
  <si>
    <t>Acta N� 196-2022-PROC (Gerencia de Cr�ditos)</t>
  </si>
  <si>
    <t>Acta N° 196-2022-PROC (Gerencia de Créditos</t>
  </si>
  <si>
    <t>Acta N° 196-2022-PROC (Gerencia de Créditos)</t>
  </si>
  <si>
    <t>Acta N° 046/2021 (Gerencia de créditos)</t>
  </si>
  <si>
    <t>Acuerdo N° 157, Acta N° 033/2021 (Comité De Gerencia)</t>
  </si>
  <si>
    <t>Otorgamiento de Créditos</t>
  </si>
  <si>
    <t>IN-7.2-02</t>
  </si>
  <si>
    <t>Acta N�226-2023/PROC (Gerencia de Cr�ditos)</t>
  </si>
  <si>
    <t>Acta N� 140-2023-PROC (Gerencia de Cr�ditos)</t>
  </si>
  <si>
    <t>Acta N�136-2023-PROC (Gerente de Cr�ditos)</t>
  </si>
  <si>
    <t xml:space="preserve">Acta N� 114 -2023-PROC (Gerencia de Cr�ditos) </t>
  </si>
  <si>
    <t>Acta 070-2023-PROC (Gerente de Cr�ditos)</t>
  </si>
  <si>
    <t>Acta 212-2022-PROC (Gerente de Cr�ditos)</t>
  </si>
  <si>
    <t xml:space="preserve"> Acta N° 160/2022 (Gerencia de Créditos)</t>
  </si>
  <si>
    <t>Valuación de Garantías</t>
  </si>
  <si>
    <t>IN-7.2-03</t>
  </si>
  <si>
    <t>Acta N 246-2022-PROC Gerente de Creditos</t>
  </si>
  <si>
    <t>Seguimiento de Metas</t>
  </si>
  <si>
    <t>IN-7.2-04</t>
  </si>
  <si>
    <t>Acuerdo N� 048/2023 (Gerente de Cr�ditos)</t>
  </si>
  <si>
    <t>Actualización del Informe Comercial de Deudores no Minoristas</t>
  </si>
  <si>
    <t>IN-7.2-05</t>
  </si>
  <si>
    <t>Acta N° 66/2022 (Gerencia de Créditos)</t>
  </si>
  <si>
    <t>Emisión, Renovacion y Honramiento de Cartas Fianza</t>
  </si>
  <si>
    <t>IN-7.2-07</t>
  </si>
  <si>
    <t>Acta N° 066/2022 (Gerencia de créditos)</t>
  </si>
  <si>
    <t>Otorgamiento y Monitoreo de Tasas Especiales (Activas)</t>
  </si>
  <si>
    <t>IN-7.2-08</t>
  </si>
  <si>
    <t>Tablas de Excepciones y Delegaciones</t>
  </si>
  <si>
    <t>IN-7.2-09</t>
  </si>
  <si>
    <t>Acta N� 204-2023/PROC (Gerencia de Cr�ditos)</t>
  </si>
  <si>
    <t>Acta N� 203-2023/PROC (Gerencia de Cr�ditos)</t>
  </si>
  <si>
    <t>Acta N� 115-2023-PROC (Gerencia de Cr�ditos)</t>
  </si>
  <si>
    <t>Acta N� 178-2022-PROC (Gerencia de Cr�ditos)</t>
  </si>
  <si>
    <t>Acuerdo N° 172 ( Gerencia Créditos)</t>
  </si>
  <si>
    <t>Autorización de Políticas Bloqueantes con Excepción</t>
  </si>
  <si>
    <t>IN-7.2-10</t>
  </si>
  <si>
    <t>Acta N� 146-2023 / PROC (Gerente de Cr�ditos)</t>
  </si>
  <si>
    <t>Acta N� 025-2023 / PROC (Gerente de Cr�ditos)</t>
  </si>
  <si>
    <t>Actualización de Información Crediticia</t>
  </si>
  <si>
    <t>IN-7.2-11</t>
  </si>
  <si>
    <t>Acta N° 246-2022-PROC (Gerente de Créditos)</t>
  </si>
  <si>
    <t>Acta N° 053/2022 (Gerencia de créditos)</t>
  </si>
  <si>
    <t>Otorgamiento de Créditos - Modalidad Aprobados y Preaprobados</t>
  </si>
  <si>
    <t>IN-7.2-16</t>
  </si>
  <si>
    <t xml:space="preserve">Acta N� 160-2023-PROC (Gerencia de Cr�ditos)  </t>
  </si>
  <si>
    <t xml:space="preserve">Acta N� 026-2023-PROC (Gerencia de Cr�ditos) </t>
  </si>
  <si>
    <t xml:space="preserve">Acta N� 248/2022 (Gerencia de Cr�ditos) </t>
  </si>
  <si>
    <t>Acta N° 66/2022 (Gerencia de créditos)</t>
  </si>
  <si>
    <t>Acuerdo N° 153, Acta N° 31/2021 (Comité de Gerencia)</t>
  </si>
  <si>
    <t>Evaluación Remota</t>
  </si>
  <si>
    <t>IN-7.2-20</t>
  </si>
  <si>
    <t>Otorgamiento de Créditos en Agencias Compartidas con el Banco de la Nacion</t>
  </si>
  <si>
    <t>IN-7.5-10</t>
  </si>
  <si>
    <t xml:space="preserve"> Acta N° 117/2022 (Gerencia de Créditos) (se dio de baja) </t>
  </si>
  <si>
    <t>Acta N° 066-2022 PROC (Gerencia de Créditos)</t>
  </si>
  <si>
    <t>Reprogramacion y Refinanciacion de Créditos</t>
  </si>
  <si>
    <t>IN-7.6-02</t>
  </si>
  <si>
    <t xml:space="preserve">Acta N� 193-2023- PROC (Gerencia de Cr�ditos)  </t>
  </si>
  <si>
    <t xml:space="preserve">Acta N� 115 2023- PROC (Gerencia de Cr�ditos)  </t>
  </si>
  <si>
    <t>Acta N° 066-PROC-2022 (Gerencia de Créditos)</t>
  </si>
  <si>
    <t>Acta N° 056-PROC-2022 (Gerencia de Créditos)</t>
  </si>
  <si>
    <t>Cobranza Manual de Créditos</t>
  </si>
  <si>
    <t>IN-8.1-03</t>
  </si>
  <si>
    <t>Acta N° 066/2022 (Gerencia de Créditos)</t>
  </si>
  <si>
    <t>Seguimiento y Control de Mora</t>
  </si>
  <si>
    <t>IN-8.1-09</t>
  </si>
  <si>
    <t xml:space="preserve">Acta N° 132-2022 (Gerencia de Créditos) </t>
  </si>
  <si>
    <t>Tratamiento de Clientes en Estados de Emergencia</t>
  </si>
  <si>
    <t>IN-7.6-01</t>
  </si>
  <si>
    <t xml:space="preserve">Acta N� 188- 2023/ PROC (Gerencia de Cr�ditos)  </t>
  </si>
  <si>
    <t xml:space="preserve">Acta N� 017- 2023/ PROC (Gerencia de Cr�ditos)  </t>
  </si>
  <si>
    <t xml:space="preserve">Acta N° 241 2022- PROC (Gerencia de Créditos)  </t>
  </si>
  <si>
    <t xml:space="preserve"> Acta N° 160/2022 - Proc (Gerencia de Créditos)</t>
  </si>
  <si>
    <t xml:space="preserve">Acta N° 077-2022- PROC (Gerencia de Créditos) </t>
  </si>
  <si>
    <t>Acta N° 050-2022- Proc (Gerencia De Créditos)</t>
  </si>
  <si>
    <t>Acta N° 015-2022- Proc (Gerencia De Créditos)</t>
  </si>
  <si>
    <t xml:space="preserve"> Promoción Y Ventas</t>
  </si>
  <si>
    <t>Promoción de Créditos</t>
  </si>
  <si>
    <t>IN-7.1-01</t>
  </si>
  <si>
    <t>Acta N� 225/2023 (Gerencia de Cr�ditos)</t>
  </si>
  <si>
    <t>Acta N� 116/2023 (Gerencia de Cr�ditos)</t>
  </si>
  <si>
    <t>Pago de Productividad de Asesores Comerciales</t>
  </si>
  <si>
    <t>IN-7.1-02</t>
  </si>
  <si>
    <t xml:space="preserve"> Gerencia de Estrategia de Negocios y Segmentos</t>
  </si>
  <si>
    <t>Diseño y Modificación de Productos</t>
  </si>
  <si>
    <t>IN-2.1-01</t>
  </si>
  <si>
    <t>Acta N 1882022 Gerencia de Estrategia de Negocios y Segmentos</t>
  </si>
  <si>
    <t>Acta N° 069-2022-PROC (Gerente de  Experiencia al Cliente, Estrategia y Marketing)</t>
  </si>
  <si>
    <t>Asignación y Coberturas de Cartera con Garantía FAE AGRO</t>
  </si>
  <si>
    <t>IN-6.4-03</t>
  </si>
  <si>
    <t>Acta N� 092/2023/ PROC (Gerencia de Estrategia de Negocios y Segmentos)</t>
  </si>
  <si>
    <t xml:space="preserve">Acuerdo N° 127, Acta N° 12/2022 (Directorio)    </t>
  </si>
  <si>
    <t>Acta N° 026-2021-Proc (Gerente De  Experiencia Al Cliente, Estrategia Y Marketing)</t>
  </si>
  <si>
    <t>Acta N° 160-2021-Proc (Gerente De  Experiencia Al Cliente, Estrategia Y Marketing)</t>
  </si>
  <si>
    <t>Elegibilidad, Asignación y Otorgamiento de Fondo FAE Turismo</t>
  </si>
  <si>
    <t>IN-6.4-07</t>
  </si>
  <si>
    <t>Acta N� 184 / 2023 PROC (Gerente de Estrategia de Negocios y Segmentos)</t>
  </si>
  <si>
    <t xml:space="preserve">Acta N° 116-2022-Proc (Gerente De Experiencia Al Cliente, 
Estrategia Y Marketing)
</t>
  </si>
  <si>
    <t>Acta N° 069-2022-Proc (Gerente De  Experiencia Al Cliente, Estrategia Y Marketing)</t>
  </si>
  <si>
    <t>Acta N° 219-2021-Proc (Gerente De Experiencia Al Cliente, Estrategia Y Marketing)</t>
  </si>
  <si>
    <t>Acta N° 110-2021-Proc (Gerente De  Experiencia Al Cliente, Estrategia Y Marketing)</t>
  </si>
  <si>
    <t>Asignación y Control de Fondos y Coberturas con Cartera en Garantía Fondo Crecer</t>
  </si>
  <si>
    <t>IN-6.4-08</t>
  </si>
  <si>
    <t>Acta N� 182 / 2023 PROC (Gerente de Estrategia de Negocios y Segmentos)</t>
  </si>
  <si>
    <t>Acta N° 121/2021 (Grencia Experiencia Cliente Estrategia Y Marketing)</t>
  </si>
  <si>
    <t>Asignación y Control de Fondos y Coberturas con Cartera en Garantía FAE Mype I</t>
  </si>
  <si>
    <t>IN-6.4-05</t>
  </si>
  <si>
    <t>Elegibilidad, Asignación y Otorgamiento de Fondo PAE Mype</t>
  </si>
  <si>
    <t>IN-6.4-06</t>
  </si>
  <si>
    <t>Asignación y Control de Fondos y Coberturas con Cartera en Garantía Reactiva</t>
  </si>
  <si>
    <t>IN-6.4-02</t>
  </si>
  <si>
    <t>Acta N�  185-2023-PROC (Gerencia de Estrategia de Negocios y Segmentos)</t>
  </si>
  <si>
    <t xml:space="preserve">Acta N� 028/2023 (Gerencia de Estrategia de Negocios y Segmentos)    </t>
  </si>
  <si>
    <t>Acta N°  220 -2020-Proc (Gerencia De Experiencia Cliente, Estrategia Y Marketing)</t>
  </si>
  <si>
    <t>Elegibilidad, Asignación Y Otorgamiento De Fondo Reactiva</t>
  </si>
  <si>
    <t>IN-7.2-21</t>
  </si>
  <si>
    <t>Asignación y Control del Programa de Garantía de Gobierno</t>
  </si>
  <si>
    <t>IN-6.4-04</t>
  </si>
  <si>
    <t>N� 120 -2023-PROC</t>
  </si>
  <si>
    <t>Acta N° 283-2020-Proc (Gerencia De Créditos)</t>
  </si>
  <si>
    <t xml:space="preserve"> Producto Hipotecario</t>
  </si>
  <si>
    <t>Negociacion de Producto Inmobiliario</t>
  </si>
  <si>
    <t>IN-2.1-03</t>
  </si>
  <si>
    <t>Acta N° 182-2022-PROC (Gerencia de Estrategia de Negocios y Segmentos)</t>
  </si>
  <si>
    <t>Acta N° 68-2022-PROC (Gerente de  Experiencia al Cliente, Estrategia y Marketing)</t>
  </si>
  <si>
    <t>Seguimiento de Avance de Obra</t>
  </si>
  <si>
    <t>IN-2.1-04</t>
  </si>
  <si>
    <t>Acta N° 90-2021-PROC (Gerente de  Experiencia al Cliente, Estrategia y Marketing)</t>
  </si>
  <si>
    <t>Administración de Seguros</t>
  </si>
  <si>
    <t>IN-11.2-01</t>
  </si>
  <si>
    <t>Acta N� 172-2023/PROC (Gerente de Estrategia de Negocios y Segmentos)</t>
  </si>
  <si>
    <t>Acta N� N�244-2023/PROC (Gerente de Estrategia de Negocios y Segmentos)</t>
  </si>
  <si>
    <t xml:space="preserve">Acta N�148-2023-PROC (Gerente de Estrategia de Negocios y 
Segmentos) </t>
  </si>
  <si>
    <t>N�001-2023-PROC</t>
  </si>
  <si>
    <t>Acta N� 010-2023-PROC (Gerente de Estrategia de Negocios y Segmentos)</t>
  </si>
  <si>
    <t>Acta N° 010-2023-PROC (Gerente de Estrategia de Negocios y Segmentos)</t>
  </si>
  <si>
    <t>Acta N° 199-2021-Proc (Gerente De Experiencia Al Cliente, Estrategia Y Marketing)</t>
  </si>
  <si>
    <t>Afiliación de Seguros por Contingencia</t>
  </si>
  <si>
    <t>IN-11.2-02</t>
  </si>
  <si>
    <t>Acta N� 106-2023-PROC (Gerencia de Estrategia de Negocios y Segmentos)</t>
  </si>
  <si>
    <t xml:space="preserve">Acta N° 138-2020-Proc (Gerencia De Experiencia Del Cliente, Estrategia Y Marketing) 
</t>
  </si>
  <si>
    <t xml:space="preserve"> Segmento Personas</t>
  </si>
  <si>
    <t>Otorgamiento de Crédito Prendario</t>
  </si>
  <si>
    <t>IN-7.2-15</t>
  </si>
  <si>
    <t>Acta N�162-2023-PROC (Gerente de Cr�ditos)</t>
  </si>
  <si>
    <t>Acta N�135-2023-PROC (Gerente de Cr�ditos)</t>
  </si>
  <si>
    <t>Acta N° 107/2022 (Gerencia de experiencia cliente estrategia y marketing)</t>
  </si>
  <si>
    <t>Acta N° 052/2022 (Gerencia de experiencia cliente estrategia y marketing)</t>
  </si>
  <si>
    <t>Recuperación de Crédito Prendario</t>
  </si>
  <si>
    <t>IN-8.4-01</t>
  </si>
  <si>
    <t>Medición de Calidad de Servicio</t>
  </si>
  <si>
    <t>IN-10.6-02</t>
  </si>
  <si>
    <t>Supervisión de Experiencia de Servicio</t>
  </si>
  <si>
    <t>IN-10.6-03</t>
  </si>
  <si>
    <t>Acta N� 052-2023-PROC (Gerente de Marketing, Experiencia Cliente y Sostenibilidad)</t>
  </si>
  <si>
    <t>Acta N° 124-2022-PROC (Gerencia de Experiencia del Cliente, Estrategia y Marketing)</t>
  </si>
  <si>
    <t>Gestión del Plan Anual de Marketing</t>
  </si>
  <si>
    <t>IN-15.1-01</t>
  </si>
  <si>
    <t>Seguimiento y Control del Presupuesto para Contratación de Medios</t>
  </si>
  <si>
    <t>IN-15.1-02</t>
  </si>
  <si>
    <t>Elaboración de Diseño Gráfico</t>
  </si>
  <si>
    <t>IN-15.2-02</t>
  </si>
  <si>
    <t>Acta N° 142-2020-PROC (Gerencia de Experiencia del Cliente, Estrategia y Marketing )</t>
  </si>
  <si>
    <t>Recepción y Difusión de Publicidad en Medios</t>
  </si>
  <si>
    <t>IN-15.2-03</t>
  </si>
  <si>
    <t>Generación de Campañas</t>
  </si>
  <si>
    <t>IN-15.2-04</t>
  </si>
  <si>
    <t>Medición de Efectividad Publicitaria de Campañas</t>
  </si>
  <si>
    <t>IN-15.2-05</t>
  </si>
  <si>
    <t>Control de Publicidad Exterior</t>
  </si>
  <si>
    <t>IN-15.2-06</t>
  </si>
  <si>
    <t>Implementación de Publicidad Exterior</t>
  </si>
  <si>
    <t>IN-15.2-07</t>
  </si>
  <si>
    <t>Acta N° 142-2020-Proc (Gerencia De Experiencia Del Cliente, Estrategia Y Marketing )</t>
  </si>
  <si>
    <t>Ejecución de Sorteos por Campañas Publicitarias</t>
  </si>
  <si>
    <t>IN-15.2-08</t>
  </si>
  <si>
    <t>Acta N° 228-2021-PROC (Gerencia de Experiencia del Cliente, Estrategia y Marketing )</t>
  </si>
  <si>
    <t>Logística de Campañas</t>
  </si>
  <si>
    <t>IN-15.2-09</t>
  </si>
  <si>
    <t>Ejecución de Back Up de Información</t>
  </si>
  <si>
    <t>IN-15.2-10</t>
  </si>
  <si>
    <t>Recepción y Publicación de Avisos de Convocatoria del Personal y Otros no Promocionales</t>
  </si>
  <si>
    <t>IN-15.4-04</t>
  </si>
  <si>
    <t>Elaboración de Memoria Institucional</t>
  </si>
  <si>
    <t>IN-15.4-01</t>
  </si>
  <si>
    <t>Gestión de Eventos</t>
  </si>
  <si>
    <t>IN-15.4-02</t>
  </si>
  <si>
    <t>Atención de Auspicios</t>
  </si>
  <si>
    <t>IN-15.4-03</t>
  </si>
  <si>
    <t xml:space="preserve"> Marketing Digital</t>
  </si>
  <si>
    <t>Difusión de Información en Página Web y Redes Sociales</t>
  </si>
  <si>
    <t>IN-15.2-01</t>
  </si>
  <si>
    <t>Acta N� 223-2022-PROC</t>
  </si>
  <si>
    <t>Acta N° 083-2022-PROC (Gerencia de Experiencia del Cliente, Estrategia y Marketing )</t>
  </si>
  <si>
    <t>Acuerdo N°10, Acta N° 04/2021 (Comité De Gerencia)</t>
  </si>
  <si>
    <t xml:space="preserve"> Servicio Al Cliente</t>
  </si>
  <si>
    <t>Atención de Denuncias y Pedidos de Información por Entidades Supervisoras Relacionado a Reclamos</t>
  </si>
  <si>
    <t>IN-10.1-02</t>
  </si>
  <si>
    <t>Acta N° 017–2021-PROC (Gerencia de Experiencia del Cliente, Estrategia y Marketing)</t>
  </si>
  <si>
    <t>Atención de Requerimientos de Usuarios</t>
  </si>
  <si>
    <t>IN-10.1-03</t>
  </si>
  <si>
    <t>Acta N� 261-2023-PROC (Gerencia de Marketing, Experiencia Cliente y Sostenibilidad)</t>
  </si>
  <si>
    <t>Acta° 20142-2023-PROC (Gerencia de Marketing, Experiencia Cliente y Sostenibilidad)</t>
  </si>
  <si>
    <t>Acta° 20117-2023-PROC (Gerencia de Marketing, Experiencia Cliente y Sostenibilidad)</t>
  </si>
  <si>
    <t>Acta° 20041-2023-PROC (Gerencia de Marketing, Experiencia Cliente y Sostenibilidad)</t>
  </si>
  <si>
    <t>Acta N° 079–2021-PROC (Gerencia de Experiencia Cliente, Estrategia y Marketing)</t>
  </si>
  <si>
    <t>Atención de Quejas y Reclamos de Usuarios</t>
  </si>
  <si>
    <t>IN-10.3-01</t>
  </si>
  <si>
    <t>Acta N° 20142-2023-PROC (Gerencia de Marketing, Experiencia Cliente y Sostenibilidad)</t>
  </si>
  <si>
    <t>Acta N° 20084-2023-PROC (Gerencia de Marketing, Experiencia Cliente y Sostenibilidad)</t>
  </si>
  <si>
    <t>Acta N° 20041-2023-PROC (Gerencia de Marketing, Experiencia Cliente y Sostenibilidad)</t>
  </si>
  <si>
    <t>Acta N° 194-2022-PROC (Gerencia de Marketing, Experiencia Cliente y Sostenibilidad)</t>
  </si>
  <si>
    <t>Acta N° 072-2022-Proc (Gerente De Experiencia Cliente, Estrategia Y Marketing)</t>
  </si>
  <si>
    <t>Generación de Constancias de Rechazo para la Disposición de la AFP</t>
  </si>
  <si>
    <t>Acta N° 062-2022-PROC (Gerencia de Experiencia del cliente, estrategia y marketing)</t>
  </si>
  <si>
    <t>Acta N° 161-PROC-2020 (Gerencia de Experiencia del cliente, Estrategia y Marketing)</t>
  </si>
  <si>
    <t>Elaboración del Programa Creciendo</t>
  </si>
  <si>
    <t>IN-10.5-04</t>
  </si>
  <si>
    <t>Acta N° 194-2019-DORG (Gerencia de Desarrollo Comercial)</t>
  </si>
  <si>
    <t>Administración del Buzón de Sugerencias</t>
  </si>
  <si>
    <t>IN-10.5-05</t>
  </si>
  <si>
    <t>Atención de Consultas a Través de Canales no Presenciales</t>
  </si>
  <si>
    <t>IN-10.6-06</t>
  </si>
  <si>
    <t>Acta N� 150-2023-PROC (Gerencia de Marketing, Experiencia Cliente y Sostenibilidad)</t>
  </si>
  <si>
    <t>Acta N� 133-2023-PROC (Gerencia de Marketing, Experiencia Cliente y Sostenibilidad)</t>
  </si>
  <si>
    <t>Acta N° 204–2022-PROC (Gerencia de Marketing, Experiencia Cliente y Sostenibilidad)</t>
  </si>
  <si>
    <t>Acta N° 147–2022-PROC (Gerencia de Experiencia del Cliente, Estrategia y Marketing)</t>
  </si>
  <si>
    <t>Acta N° 017–2021-Proc (Gerencia De Experiencia Del Cliente, Estrategia Y Marketing)</t>
  </si>
  <si>
    <t>Convenios de Cooperacion Interinstitucional</t>
  </si>
  <si>
    <t>IN-17.7.02</t>
  </si>
  <si>
    <t>Acta N� 235-2022-PROC (Gerencia de Marketing, Experiencia Cliente y Sostenibilidad)</t>
  </si>
  <si>
    <t xml:space="preserve"> Inteligencia de Negocios </t>
  </si>
  <si>
    <t xml:space="preserve"> Service And Analytics Development Acoe</t>
  </si>
  <si>
    <t>Administración del proc. automático para la transferencia de info. en infraestructura cloud</t>
  </si>
  <si>
    <t>IN-15-7-01</t>
  </si>
  <si>
    <t>Acta N°020-2022-PROC (Gerencia de Inteligencia de Negocios)</t>
  </si>
  <si>
    <t>Transferencia manual de información hacia repositorios de datos en infraestructura cloud</t>
  </si>
  <si>
    <t>IN-15-7-02</t>
  </si>
  <si>
    <t>MOF</t>
  </si>
  <si>
    <t xml:space="preserve"> Secretaría Y Recepción</t>
  </si>
  <si>
    <t>Secretaría de Gerencia A</t>
  </si>
  <si>
    <t>MO-SGER01</t>
  </si>
  <si>
    <t>Acuerdo N� 109, Acta N� 019/2023 (Directorio)</t>
  </si>
  <si>
    <t>Acuerdo N° 098, Acta N° 34 (Comité De Gerencia)</t>
  </si>
  <si>
    <t>Secretaría de Gerencia B</t>
  </si>
  <si>
    <t>MO-SGER02</t>
  </si>
  <si>
    <t>Auxiliar de Servicios de Secretaria</t>
  </si>
  <si>
    <t>MO-SGER03</t>
  </si>
  <si>
    <t>Acta N�147-2023-PROC (Gerencia de Administraci�n)</t>
  </si>
  <si>
    <t>Acuerdo N° 098, Acta N° 34 (Comité de Gerencia)</t>
  </si>
  <si>
    <t>Asistente de Secretaria</t>
  </si>
  <si>
    <t>MO-SGER04</t>
  </si>
  <si>
    <t>Recepcionista</t>
  </si>
  <si>
    <t>MO-SGER05</t>
  </si>
  <si>
    <t xml:space="preserve"> Auditoría De Procesos Y Agencias</t>
  </si>
  <si>
    <t>Jefe de Auditoría de Procesos y Agencias</t>
  </si>
  <si>
    <t>MO-APAG01</t>
  </si>
  <si>
    <t>Acuerdo N° 263, Acta N° 025/2021 (Directorio)</t>
  </si>
  <si>
    <t>Acuerdo N° 052, Acta N° 005/2021 (Directorio)</t>
  </si>
  <si>
    <t>Coordinador de Agencias</t>
  </si>
  <si>
    <t>MO-APAG03</t>
  </si>
  <si>
    <t>Coordinador de Procesos</t>
  </si>
  <si>
    <t>MO-APAG04</t>
  </si>
  <si>
    <t>Auditor Sénior</t>
  </si>
  <si>
    <t>MO-APAG05</t>
  </si>
  <si>
    <t>Auditor Junior</t>
  </si>
  <si>
    <t>MO-APAG06</t>
  </si>
  <si>
    <t xml:space="preserve"> Auditoría De Ti Y Automatización</t>
  </si>
  <si>
    <t>Jefe de Auditoría de TI y Automatización</t>
  </si>
  <si>
    <t>MO-ATAU01</t>
  </si>
  <si>
    <t>Auditor Sénior de TI</t>
  </si>
  <si>
    <t>MO-ATAU02</t>
  </si>
  <si>
    <t>Auditor de Automatización</t>
  </si>
  <si>
    <t>MO-ATAU03</t>
  </si>
  <si>
    <t>Auditor Junior de TI</t>
  </si>
  <si>
    <t>MO-ATAU04</t>
  </si>
  <si>
    <t>Coordinador De QA y Seguimiento</t>
  </si>
  <si>
    <t>MO-APAG02</t>
  </si>
  <si>
    <t>Gerente de Auditoría Interna</t>
  </si>
  <si>
    <t>MO-GAIN01</t>
  </si>
  <si>
    <t>Gerente de Compliance y Prevención</t>
  </si>
  <si>
    <t>MO-GCPR01</t>
  </si>
  <si>
    <t>Auxiliar de Oficialía de Cumplimiento Normativo</t>
  </si>
  <si>
    <t>MO-OCNO02</t>
  </si>
  <si>
    <t>Oficial de Conducta de Mercado</t>
  </si>
  <si>
    <t>MO-OCME01</t>
  </si>
  <si>
    <t>Acuerdo N° 015, Acta N° 003/2022 (Comité de Gerencia)</t>
  </si>
  <si>
    <t>Asistente de Transparencia de Información</t>
  </si>
  <si>
    <t>MO-OCME02</t>
  </si>
  <si>
    <t>Asistente de Practicas de Negocio</t>
  </si>
  <si>
    <t>MO-OCME03</t>
  </si>
  <si>
    <t>Jefe de Prevención y Control</t>
  </si>
  <si>
    <t>MO-PCON01</t>
  </si>
  <si>
    <t>Acuerdo N° 15, Acta N° 003/2022 (Cómite de Gerencia)</t>
  </si>
  <si>
    <t>Especialista de Control de Fraude</t>
  </si>
  <si>
    <t>MO-PCON02</t>
  </si>
  <si>
    <t>Analista Sénior de Investigaciones</t>
  </si>
  <si>
    <t>MO-PCON03</t>
  </si>
  <si>
    <t>Gerente de Riesgo Corporativo</t>
  </si>
  <si>
    <t>MO-GRCO01</t>
  </si>
  <si>
    <t>Jefe de Riesgos No Financieros</t>
  </si>
  <si>
    <t>MO-RNFI01</t>
  </si>
  <si>
    <t>Acuerdo N° 104, Acta N° 023/2022 (Comité de Gerencia)</t>
  </si>
  <si>
    <t>Acuerdo N° 108, Acta N° 010/2022 (Directorio)</t>
  </si>
  <si>
    <t>Analista Sénior de Riesgo Operacional</t>
  </si>
  <si>
    <t>MO-RNFI02</t>
  </si>
  <si>
    <t>Acta Nº 186-2022-PROC (Gerencia de Riesgo Corporativo)</t>
  </si>
  <si>
    <t>Acta Nº 119-2022-PROC (Gerencia de Riesgo Corporativo)</t>
  </si>
  <si>
    <t>Acta Nº 074-2022-Proc (Gerencia De Riesgo Corporativo)</t>
  </si>
  <si>
    <t>Analista de Riesgo Operacional</t>
  </si>
  <si>
    <t>MO-RNFI03</t>
  </si>
  <si>
    <t>Acta N° 92 – 2021 - Proc (Gerencia De Riesgo Corporativo)</t>
  </si>
  <si>
    <t>Supervisor de Gestión de Riesgo Operacional</t>
  </si>
  <si>
    <t>MO-RNFI04</t>
  </si>
  <si>
    <t>Especialista de Base de Datos y Metodologías de Gestión de Riesgo Operacional</t>
  </si>
  <si>
    <t>MO-RNFI05</t>
  </si>
  <si>
    <t>Analista Sénior de Metodologías de Gestión de Riesgo Operacional</t>
  </si>
  <si>
    <t>MO-RNFI06</t>
  </si>
  <si>
    <t>Acta N° 101-Proc-2021 (Gerencia De Riesgo Corporativo)</t>
  </si>
  <si>
    <t>Analista Sénior de Herramientas de Gestión de Riesgo Operacional</t>
  </si>
  <si>
    <t>MO-RNFI07</t>
  </si>
  <si>
    <t>Supervisor de Continuidad del Negocio</t>
  </si>
  <si>
    <t>MO-RNFI08</t>
  </si>
  <si>
    <t>Acta Nº 61-Proc-2022 (Gerencia De Riesgo Corporativo)</t>
  </si>
  <si>
    <t>Analista Sénior de Continuidad del Negocio</t>
  </si>
  <si>
    <t>MO-RNFI09</t>
  </si>
  <si>
    <t>Analista de Continuidad del Negocio</t>
  </si>
  <si>
    <t>MO-RNFI10</t>
  </si>
  <si>
    <t>Analista Sénior de Gestión Integral de Riesgos</t>
  </si>
  <si>
    <t>MO-RNFI11</t>
  </si>
  <si>
    <t>Acta Nº 070-Proc-2022 (Gerencia De Riesgo Corporativo)</t>
  </si>
  <si>
    <t>Jefe de Seguridad de la Información y PDP</t>
  </si>
  <si>
    <t>MO-SINF01</t>
  </si>
  <si>
    <t>Acuerdo N� 056, Acta N� 18/2023 (Comit� de Gerencia)</t>
  </si>
  <si>
    <t xml:space="preserve">Analista Sénior de Sistema de Gestión de Seguridad de la Información y Ciberseguridad (SGSI-C) </t>
  </si>
  <si>
    <t>MO-SINF02</t>
  </si>
  <si>
    <t>Acuerdo Nº 057, Acta Nº 018/2023 (Comité de Gerencia)</t>
  </si>
  <si>
    <t>Acta Nº 045-PROC-2022 (Gerencia de Riesgo Corporativo)</t>
  </si>
  <si>
    <t>Acta N° 135-Proc-2021 (Gerencia De Riesgo Corporativo)</t>
  </si>
  <si>
    <t>Supervisor de Sistema de Gestión de Seguridad de la Información y Ciberseguridad  (SGSI-C)</t>
  </si>
  <si>
    <t>MO-SINF03</t>
  </si>
  <si>
    <t>Analista de Sistema de Gestión Seguridad de la Información y Ciberseguridad (SGIS-C)</t>
  </si>
  <si>
    <t>MO-SINF04</t>
  </si>
  <si>
    <t>Analista Sénior de PCI</t>
  </si>
  <si>
    <t>MO-SINF05</t>
  </si>
  <si>
    <t>Acta Nº 103-2023-PROC (Gerencia de Riesgo Corporativo)</t>
  </si>
  <si>
    <t>Supervisor de PCI</t>
  </si>
  <si>
    <t>MO-SINF06</t>
  </si>
  <si>
    <t>Analista de Protección de Datos Personales</t>
  </si>
  <si>
    <t>MO-SINF07</t>
  </si>
  <si>
    <t>Acta N� 075-2023-PROC (Gerencia de Riesgo Corporativo)</t>
  </si>
  <si>
    <t>Jefe de Admisión y Seguimiento</t>
  </si>
  <si>
    <t>MO-ASEG01</t>
  </si>
  <si>
    <t>Analista Sénior de Admisión y Seguimiento</t>
  </si>
  <si>
    <t>MO-ASEG02</t>
  </si>
  <si>
    <t>Acta Nº 28-PROC-2022 (Gerencia de Riesgo Corporativo)</t>
  </si>
  <si>
    <t>Supervisor de Seguimiento</t>
  </si>
  <si>
    <t>MO-ASEG03</t>
  </si>
  <si>
    <t>Supervisor de Admisión</t>
  </si>
  <si>
    <t>MO-ASEG04</t>
  </si>
  <si>
    <t>Jefe de Data Science de Riesgo de Crédito</t>
  </si>
  <si>
    <t>MO-DSRC01</t>
  </si>
  <si>
    <t>Acuerdo Nº 040, Acta Nº 09/2022 (Comité de Gerencia)</t>
  </si>
  <si>
    <t>Sénior Data Scientist de Riesgo de Crédito</t>
  </si>
  <si>
    <t>MO-DSRC02</t>
  </si>
  <si>
    <t>Acuerdo Nº 056, Acta Nº 18/2023 (Comité de Gerencia)</t>
  </si>
  <si>
    <t>Acta Nº 37-PROC-2022 (Gerencia de Riesgo Corporativo)</t>
  </si>
  <si>
    <t>Acta N° 093-2021-Proc (Gerencia De Riesgo Corporativo)</t>
  </si>
  <si>
    <t>Junior Data Engineer de Riesgo de Crédito</t>
  </si>
  <si>
    <t>MO-DSRC03</t>
  </si>
  <si>
    <t>Acta N� 79-2023-PROC (Gerencia de Riesgo Corporativo)</t>
  </si>
  <si>
    <t>Analista Sénior de Seguimiento de Portafolio</t>
  </si>
  <si>
    <t>MO-DSRC04</t>
  </si>
  <si>
    <t>Supervisor de Seguimiento de Portafolio</t>
  </si>
  <si>
    <t>MO-DSRC05</t>
  </si>
  <si>
    <t>Supervisor Data Science de Riesgo de Crédito</t>
  </si>
  <si>
    <t>MO-DSRC06</t>
  </si>
  <si>
    <t>Acta N° 157-2021-Proc (Gerencia De Riesgo Corporativo)</t>
  </si>
  <si>
    <t>Analista de Seguimiento de Portafolio</t>
  </si>
  <si>
    <t>MO-DSRC07</t>
  </si>
  <si>
    <t>Sénior Data Processing</t>
  </si>
  <si>
    <t>MO-DSRC08</t>
  </si>
  <si>
    <t>Jefe de Riesgo de Mercado y Liquidez</t>
  </si>
  <si>
    <t>MO-RMLI01</t>
  </si>
  <si>
    <t>Acuerdo N� 026, Acta N� 05/2023 (Comit� de Gerencia)</t>
  </si>
  <si>
    <t>Analista Sénior Riesgo de Mercado y Liquidez</t>
  </si>
  <si>
    <t>MO-RMLI02</t>
  </si>
  <si>
    <t>Analista Riesgo de Mercado y Liquidez</t>
  </si>
  <si>
    <t>MO-RMLI03</t>
  </si>
  <si>
    <t>Analista Sénior de Riesgos Normativo</t>
  </si>
  <si>
    <t>MO-RMLI04</t>
  </si>
  <si>
    <t xml:space="preserve"> Subgerencia De Riesgo Financiero </t>
  </si>
  <si>
    <t xml:space="preserve"> Subgerencia De Riesgo Financiero</t>
  </si>
  <si>
    <t>Subgerente de Riesgos Financieros</t>
  </si>
  <si>
    <t>MO-SRFI01</t>
  </si>
  <si>
    <t>Analista Sénior de Validación y Seguimiento de Modelos</t>
  </si>
  <si>
    <t>MO-SRFI02</t>
  </si>
  <si>
    <t>Oficial de Cumplimiento</t>
  </si>
  <si>
    <t>MO-OCUM01</t>
  </si>
  <si>
    <t>Asistente de Oficialía de Cumplimiento</t>
  </si>
  <si>
    <t>MO-OCUM02</t>
  </si>
  <si>
    <t>Auxiliar de Oficialía de Cumplimiento</t>
  </si>
  <si>
    <t>MO-OCUM03</t>
  </si>
  <si>
    <t xml:space="preserve"> Órgano de Control Institucional </t>
  </si>
  <si>
    <t xml:space="preserve"> Órgano De Control Institucional</t>
  </si>
  <si>
    <t>Jefe de Órgano de Control Institucional</t>
  </si>
  <si>
    <t>MO-OCIN01</t>
  </si>
  <si>
    <t>Acuerdo N° 207, Acta N° 019/2022 (Directorio)</t>
  </si>
  <si>
    <t>Acuerdo N° 98, Acta N° 10/2021 (Directorio)</t>
  </si>
  <si>
    <t>Auditor Junior de Órgano de Control Institucional</t>
  </si>
  <si>
    <t>MO-OCIN02</t>
  </si>
  <si>
    <t>Acuerdo N° 240, Acta N° 037/2019 (Comité de Gerencia)</t>
  </si>
  <si>
    <t>Auditor Sénior de Órgano de Control Institucional</t>
  </si>
  <si>
    <t>MO-OCIN03</t>
  </si>
  <si>
    <t xml:space="preserve"> Gerencia Legal</t>
  </si>
  <si>
    <t>Gerente Legal</t>
  </si>
  <si>
    <t>MO-GLEG01</t>
  </si>
  <si>
    <t>Jefe de Asesoría Legal</t>
  </si>
  <si>
    <t>MO-ALEG01</t>
  </si>
  <si>
    <t>Abogado Sénior de Asesoría Legal</t>
  </si>
  <si>
    <t>MO-ALEG02</t>
  </si>
  <si>
    <t>Abogado de Asesoría Legal</t>
  </si>
  <si>
    <t>MO-ALEG03</t>
  </si>
  <si>
    <t xml:space="preserve"> Asesoría Regulatoria Y Financiera</t>
  </si>
  <si>
    <t>Jefe de Asesoría Regulatoria y Financiera</t>
  </si>
  <si>
    <t>MO-ARFI01</t>
  </si>
  <si>
    <t>Acuerdo N° 127, Acta N° 12/2022 (Directorio) </t>
  </si>
  <si>
    <t>Jefe de Gestión Procesal</t>
  </si>
  <si>
    <t>MO-GPRO01</t>
  </si>
  <si>
    <t>Acuerdo N° 135, Acta N° 028/2022 (Comité de Gerencia)</t>
  </si>
  <si>
    <t>Abogado Sénior de Gestión Procesal</t>
  </si>
  <si>
    <t>MO-GPRO02</t>
  </si>
  <si>
    <t>Abogado de Gestión Procesal</t>
  </si>
  <si>
    <t>MO-GPRO03</t>
  </si>
  <si>
    <t xml:space="preserve"> Subgerencia Legal</t>
  </si>
  <si>
    <t>Subgerente Legal</t>
  </si>
  <si>
    <t>MO-SLEG02</t>
  </si>
  <si>
    <t>Acta Nº 40, Acuerdo N° 125/2020 (Comité de Gerencia)</t>
  </si>
  <si>
    <t>Gerencia Mancomunada</t>
  </si>
  <si>
    <t>Alexis Emanuel Prado Caceres</t>
  </si>
  <si>
    <t>MO-COMI02</t>
  </si>
  <si>
    <t xml:space="preserve"> Gerencia Central de Administración y Operaciones </t>
  </si>
  <si>
    <t xml:space="preserve"> Gerencia Central De Administración Y Operaciones</t>
  </si>
  <si>
    <t>Gerente Central de Administración y Operaciones</t>
  </si>
  <si>
    <t>MO-GCAO01</t>
  </si>
  <si>
    <t xml:space="preserve">Acuerdo N° 051, Acta N° 12/2021 (Comité De Gerencia)
</t>
  </si>
  <si>
    <t>Jefe de Adquisiciones</t>
  </si>
  <si>
    <t>MO-ADQI01</t>
  </si>
  <si>
    <t>Acuerdo N° 267, Acta N° 45/2019 (Comité de Gerencia)</t>
  </si>
  <si>
    <t>Asistente de Adquisiciones</t>
  </si>
  <si>
    <t>MO-ADQI02</t>
  </si>
  <si>
    <t>Acta N° 051-2022-PROC (Gerencia de Administración)</t>
  </si>
  <si>
    <t>Acta N° 073-2020-Proc (Gerencia De Administración)</t>
  </si>
  <si>
    <t>Auxiliar de Adquisiciones</t>
  </si>
  <si>
    <t>MO-ADQI03</t>
  </si>
  <si>
    <t>Jefe de Control Patrimonial</t>
  </si>
  <si>
    <t>MO-CPAT01</t>
  </si>
  <si>
    <t>Acuerdo Nº120, Acta Nº026/2022 (Comité de Gerencia)</t>
  </si>
  <si>
    <t>Asistente de Control Patrimonial</t>
  </si>
  <si>
    <t>MO-CPAT02</t>
  </si>
  <si>
    <t>Asistente de Administración de Activos</t>
  </si>
  <si>
    <t>MO-CPAT03</t>
  </si>
  <si>
    <t>Acuerdo N° 239, Acta N° 037/2019 (Comité De Gerencia)</t>
  </si>
  <si>
    <t>Auxiliar de Administración de Activos</t>
  </si>
  <si>
    <t>MO-CPAT05</t>
  </si>
  <si>
    <t>Auxiliar de Almacen</t>
  </si>
  <si>
    <t>MO-CPAT06</t>
  </si>
  <si>
    <t>Gerente de Administración</t>
  </si>
  <si>
    <t>MO-GADM01</t>
  </si>
  <si>
    <t>Acuerdo N� 060, Acta N� 010/2023 (Comit� de Gerencia)</t>
  </si>
  <si>
    <t>Acuerdo Nº 106, Acta N° 05/2020 (Directorio)</t>
  </si>
  <si>
    <t>Jefe de Infraestructura Locativa</t>
  </si>
  <si>
    <t>MO-ILOC01</t>
  </si>
  <si>
    <t>Acuerdo Nº 073, Acta Nº 20/2022(Comité de Gerencia)</t>
  </si>
  <si>
    <t>Acuerdo N° 267, Acta N° 45/2019 (Comité De Gerencia)</t>
  </si>
  <si>
    <t>Asistente de Diseño de Arquitectura</t>
  </si>
  <si>
    <t>MO-ILOC02</t>
  </si>
  <si>
    <t>Acta Nº 153/2022 (Gerencia de Administración)</t>
  </si>
  <si>
    <t>Asistente de Soporte Tecnico</t>
  </si>
  <si>
    <t>MO-ILOC03</t>
  </si>
  <si>
    <t>Acuerdo N° 239, Acta Nº 37/2019 (Comité De Gerencia)</t>
  </si>
  <si>
    <t>Asistente de Administración de Infraestructura</t>
  </si>
  <si>
    <t>MO-ILOC04</t>
  </si>
  <si>
    <t>Asistente de Diseño de Ingenieria</t>
  </si>
  <si>
    <t>MO-ILOC05</t>
  </si>
  <si>
    <t>Administrador de Proyectos Inmobiliarios</t>
  </si>
  <si>
    <t>MO-ILOC06</t>
  </si>
  <si>
    <t>Acuerdo Nº 109, Acta Nº 026/2021 (Comité de Gerencia)</t>
  </si>
  <si>
    <t>Jefe de Seguridad Institucional</t>
  </si>
  <si>
    <t>MO-SINS01</t>
  </si>
  <si>
    <t>Auxiliar de Seguridad Institucional</t>
  </si>
  <si>
    <t>MO-SINS03</t>
  </si>
  <si>
    <t>Acta N° 171-2021-PROC (Gerencia de Administración)</t>
  </si>
  <si>
    <t>Auxiliar de Seguridad - Centro De Control</t>
  </si>
  <si>
    <t>MO-SINS04</t>
  </si>
  <si>
    <t>Jefe de Servicios Internos</t>
  </si>
  <si>
    <t>MO-SINT01</t>
  </si>
  <si>
    <t>Asistente de Servicios Internos</t>
  </si>
  <si>
    <t>MO-SINT02</t>
  </si>
  <si>
    <t>Acuerdo N° 239, Acta Nº 37/2019 (Comité de Gerencia)</t>
  </si>
  <si>
    <t>Auxiliar de Servicios Internos</t>
  </si>
  <si>
    <t>MO-SINT03</t>
  </si>
  <si>
    <t>Acta N° 043-2022-PROC (Gerencia de Administración)</t>
  </si>
  <si>
    <t>Analista Especialista Electrónico</t>
  </si>
  <si>
    <t>MO-SINT04</t>
  </si>
  <si>
    <t>Jefe de Administración de Personal</t>
  </si>
  <si>
    <t>MO-APER01</t>
  </si>
  <si>
    <t>Supervisor de Gestión de Personal</t>
  </si>
  <si>
    <t>MO-APER02</t>
  </si>
  <si>
    <t>Coordinador de Remuneraciones y Compensaciones</t>
  </si>
  <si>
    <t>MO-APER03</t>
  </si>
  <si>
    <t>Coordinador de Administración de Personal</t>
  </si>
  <si>
    <t>MO-APER04</t>
  </si>
  <si>
    <t>Asistente de Remuneraciones y Compensaciones</t>
  </si>
  <si>
    <t>MO-APER05</t>
  </si>
  <si>
    <t>Asistente de Administración de Personal</t>
  </si>
  <si>
    <t>MO-APER06</t>
  </si>
  <si>
    <t>Abogado Laboralista</t>
  </si>
  <si>
    <t>MO-APER07</t>
  </si>
  <si>
    <t>Asistente Laboralista</t>
  </si>
  <si>
    <t>MO-APER08</t>
  </si>
  <si>
    <t>Gerente de Personas y Desarrollo Organizacional</t>
  </si>
  <si>
    <t>MO-GPDO01</t>
  </si>
  <si>
    <t>Acuerdo N° 012, Acta N° 127/2022 (Directorio)</t>
  </si>
  <si>
    <t>Practicante Profesional (Aprendiz)</t>
  </si>
  <si>
    <t>MO-GPDO02</t>
  </si>
  <si>
    <t xml:space="preserve"> Personas Y Desarrollo Organizacional</t>
  </si>
  <si>
    <t>Analista Sénior Administrativo</t>
  </si>
  <si>
    <t>MO-GPDO03</t>
  </si>
  <si>
    <t>Acta Nº 029-2022- PROC (Gerente de Personas y Desarrollo Organizacional)</t>
  </si>
  <si>
    <t>Analista Sénior de Desarrollo Organizacional</t>
  </si>
  <si>
    <t>MO-GPDO04</t>
  </si>
  <si>
    <t>Analista Administrativo</t>
  </si>
  <si>
    <t>MO-GPDO05</t>
  </si>
  <si>
    <t>Analista Sénior de Comunicación Interna</t>
  </si>
  <si>
    <t>MO-GPDO06</t>
  </si>
  <si>
    <t>Gerente de Innovation Lab</t>
  </si>
  <si>
    <t>MO-GILA01</t>
  </si>
  <si>
    <t xml:space="preserve"> Proyectos Agiles</t>
  </si>
  <si>
    <t>Scrum Master</t>
  </si>
  <si>
    <t>MO-PAGI02</t>
  </si>
  <si>
    <t>Diseñador User Interface</t>
  </si>
  <si>
    <t>MO-GILA03</t>
  </si>
  <si>
    <t>Jefe de Proyectos Ágiles</t>
  </si>
  <si>
    <t>MO-PAGI01</t>
  </si>
  <si>
    <t>Jefe de Garantías</t>
  </si>
  <si>
    <t>MO-GARA01</t>
  </si>
  <si>
    <t>Acuerdo Nº083-2022, Acta N°021/2022 (Comité de Gerencia)</t>
  </si>
  <si>
    <t>Asistente de Garantías</t>
  </si>
  <si>
    <t>MO-GARA02</t>
  </si>
  <si>
    <t>Auxiliar de Garantías</t>
  </si>
  <si>
    <t>MO-GARA03</t>
  </si>
  <si>
    <t xml:space="preserve"> Operaciones</t>
  </si>
  <si>
    <t>Gerente de Operaciones</t>
  </si>
  <si>
    <t>MO-GOPE01</t>
  </si>
  <si>
    <t>Jefe de Operaciones y Red de Agencias</t>
  </si>
  <si>
    <t>MO-ORAG01</t>
  </si>
  <si>
    <t>Acuerdo N�057, Acta N�018/2023 (Comit� de Gerencia)</t>
  </si>
  <si>
    <t>Auxiliar de Red de Agencias</t>
  </si>
  <si>
    <t>MO-ORAG02</t>
  </si>
  <si>
    <t>Jefe de Plataforma de Servicio</t>
  </si>
  <si>
    <t>MO-ORAG03</t>
  </si>
  <si>
    <t>Acta N° 183–Proc–2021 (Gerencia De Operaciones)</t>
  </si>
  <si>
    <t>Supervisor Regional de Operaciones</t>
  </si>
  <si>
    <t>MO-ORAG04</t>
  </si>
  <si>
    <t>Asesor de Plataforma De Atencion</t>
  </si>
  <si>
    <t>MO-ORAG05</t>
  </si>
  <si>
    <t>Acuerdo N°157, Acta N° 033/2021 (Comité De Gerencia)</t>
  </si>
  <si>
    <t>Representante de Servicio</t>
  </si>
  <si>
    <t>MO-ORAG07</t>
  </si>
  <si>
    <t>Asistente de Operaciones</t>
  </si>
  <si>
    <t>MO-ORAG08</t>
  </si>
  <si>
    <t>Asistente de Red de Agencias</t>
  </si>
  <si>
    <t>MO-ORAG09</t>
  </si>
  <si>
    <t>Jefe de Procesos Centrales y Servicios</t>
  </si>
  <si>
    <t>MO-PCSE01</t>
  </si>
  <si>
    <t>Asistente de Pagaduria</t>
  </si>
  <si>
    <t>MO-PCSE03</t>
  </si>
  <si>
    <t>Asistente de Cámara de Compensaciones</t>
  </si>
  <si>
    <t>MO-PCSE05</t>
  </si>
  <si>
    <t>Acta N°134–2022-PROC (Gerencia de Operaciones)</t>
  </si>
  <si>
    <t>Asistente de Efectivo y Bancos</t>
  </si>
  <si>
    <t>MO-PCSE08</t>
  </si>
  <si>
    <t>Acta N�262-2023-PROC (Gerencia de Operaciones)</t>
  </si>
  <si>
    <t>Auxiliar de Efectivo y Bancos</t>
  </si>
  <si>
    <t>MO-PCSE15</t>
  </si>
  <si>
    <t>Auxiliar de Pagaduria</t>
  </si>
  <si>
    <t>MO-PCSE16</t>
  </si>
  <si>
    <t>Auxiliar de Procesos Masivos y Conciliaciones</t>
  </si>
  <si>
    <t>MO-PCSE18</t>
  </si>
  <si>
    <t>Acta N�187 – 2023 - PROC (Gerencia de Operaciones)</t>
  </si>
  <si>
    <t>Asistente de Medios de Pago</t>
  </si>
  <si>
    <t>MO-PCSE21</t>
  </si>
  <si>
    <t>Auxiliar de Medios de Pago</t>
  </si>
  <si>
    <t>MO-PCSE22</t>
  </si>
  <si>
    <t xml:space="preserve">Acta N°207 – 2022 - Proc (Gerencia De Operaciones)
</t>
  </si>
  <si>
    <t>Asistente de Procesos Masivos y Conciliaciones</t>
  </si>
  <si>
    <t>MO-PCSE23</t>
  </si>
  <si>
    <t>Auxiliar de Embargos</t>
  </si>
  <si>
    <t>MO-PCSE24</t>
  </si>
  <si>
    <t>Auxiliar de Cámara de Compensaciones</t>
  </si>
  <si>
    <t>MO–PCSE25</t>
  </si>
  <si>
    <t>Jefe de Soporte Financiero</t>
  </si>
  <si>
    <t>MO-SFIN01</t>
  </si>
  <si>
    <t>Asistente de Soporte Financiero</t>
  </si>
  <si>
    <t>MO-SFIN02</t>
  </si>
  <si>
    <t>Auxiliar de Soporte Financiero</t>
  </si>
  <si>
    <t>MO-SFIN03</t>
  </si>
  <si>
    <t>Jefe de Bienestar y Clima Laboral</t>
  </si>
  <si>
    <t>MO-BCLA01</t>
  </si>
  <si>
    <t>Coordinador de Bienestar y Clima Laboral</t>
  </si>
  <si>
    <t>MO-BCLA02</t>
  </si>
  <si>
    <t>Asistente de Bienestar</t>
  </si>
  <si>
    <t>MO-BCLA03</t>
  </si>
  <si>
    <t>Especialista en Seguridad y Salud en el Trabajo</t>
  </si>
  <si>
    <t>MO-BCLA04</t>
  </si>
  <si>
    <t>Acta N° 132-PROC-2021 (Gerencia de Personas y Desarrollo Organizacional)</t>
  </si>
  <si>
    <t xml:space="preserve"> Business Partner</t>
  </si>
  <si>
    <t>Business Partners</t>
  </si>
  <si>
    <t>MO-BPAR01</t>
  </si>
  <si>
    <t>Subgerente de Cultura y Gestión del Cambio</t>
  </si>
  <si>
    <t>MO-SCGC01</t>
  </si>
  <si>
    <t>Jefe de Aprendizaje</t>
  </si>
  <si>
    <t>MO-APRE01</t>
  </si>
  <si>
    <t>Asistente de Desarrollo y Capacitación</t>
  </si>
  <si>
    <t>MO-APRE02</t>
  </si>
  <si>
    <t>Asistente de Escuelas de Analistas de Créditos</t>
  </si>
  <si>
    <t>MO-APRE03</t>
  </si>
  <si>
    <t>Asistente de Capacitación</t>
  </si>
  <si>
    <t>MO-APRE04</t>
  </si>
  <si>
    <t>Asistente de Escuelas de Formación</t>
  </si>
  <si>
    <t>MO-APRE05</t>
  </si>
  <si>
    <t>Asistente de Competencias</t>
  </si>
  <si>
    <t>MO-APRE06</t>
  </si>
  <si>
    <t>Asistente de Escuelas de Representantes de Servicio</t>
  </si>
  <si>
    <t>MO-APRE07</t>
  </si>
  <si>
    <t>Coordinador de Reclutamiento y Selección</t>
  </si>
  <si>
    <t>MO-RSEL01</t>
  </si>
  <si>
    <t>Analista de Reclutamiento y Selección</t>
  </si>
  <si>
    <t>MO-RSEL02</t>
  </si>
  <si>
    <t>Acta N° 149-2022-PROC (Gerencia de Personas y Desarrollo Organizacional)</t>
  </si>
  <si>
    <t>Acta N° 146-2021-Proc (Gerencia De Personas Y Desarrollo Organizacional)</t>
  </si>
  <si>
    <t>Jefe de Reclutamiento y Selección</t>
  </si>
  <si>
    <t>MO-RSEL03</t>
  </si>
  <si>
    <t xml:space="preserve"> Subgerencia De Gestión De Talento Y Aprendizaje</t>
  </si>
  <si>
    <t>Subgerente de Gestión de Talento y Aprendizaje</t>
  </si>
  <si>
    <t>MO-SGTA01</t>
  </si>
  <si>
    <t>Jefe de Procesos</t>
  </si>
  <si>
    <t>MO-PROC01</t>
  </si>
  <si>
    <t>Acuerdo N° 056, Acta N° 009/2020 (Comité de Gerencia)</t>
  </si>
  <si>
    <t>Analista Sénior de Procesos</t>
  </si>
  <si>
    <t>MO-PROC02</t>
  </si>
  <si>
    <t>Acta N° 251-2020-PROC (Gerencia Central de Administración y Operaciones)</t>
  </si>
  <si>
    <t>Analista de Procesos</t>
  </si>
  <si>
    <t>MO-PROC03</t>
  </si>
  <si>
    <t>Manual de Funciones de la Caja</t>
  </si>
  <si>
    <t>MO-PROC04</t>
  </si>
  <si>
    <t>Acuerdo N° 127, Acta N° 12/2021 (Directorio)</t>
  </si>
  <si>
    <t xml:space="preserve"> Procesos Y Calidad De Servicios Operacionales</t>
  </si>
  <si>
    <t>Gerencia de Procesos y Calidad de Servicios Operacionales</t>
  </si>
  <si>
    <t>MO-GPCS01</t>
  </si>
  <si>
    <t xml:space="preserve"> Arquitectura De Ti</t>
  </si>
  <si>
    <t>Jefe de Arquitectura de TI</t>
  </si>
  <si>
    <t>MO-ATIN01</t>
  </si>
  <si>
    <t>Acuerdo Nº 044, Acta Nº 11/2022 (Comité de Gerencia)</t>
  </si>
  <si>
    <t>Analista Sénior de Arquitectura de TI</t>
  </si>
  <si>
    <t>MO-ATIN02</t>
  </si>
  <si>
    <t>Acta Nº 123-2022-PROC (Gerencia de TI)</t>
  </si>
  <si>
    <t>Acta Nº 025-PROC-2022 (Gerencia de TI)</t>
  </si>
  <si>
    <t>Analista de Arquitectura de TI</t>
  </si>
  <si>
    <t>MO-ATIN03</t>
  </si>
  <si>
    <t>Jefe de Ciberseguridad y Continuidad Operacional</t>
  </si>
  <si>
    <t>MO-CCOP01</t>
  </si>
  <si>
    <t>Acuerdo Nº 083, Acta Nº 021/2022 (Comité de Gerencia)</t>
  </si>
  <si>
    <t>Auxiliar de Ciberseguridad</t>
  </si>
  <si>
    <t>MO-CCOP02</t>
  </si>
  <si>
    <t>Acta Nº 139-2022-PROC (Gerencia de TI)</t>
  </si>
  <si>
    <t>Acta N° 138-Proc-2021 (Gerencia De Ti)</t>
  </si>
  <si>
    <t>Analista Sénior de Ciberseguridad</t>
  </si>
  <si>
    <t>MO-CCOP03</t>
  </si>
  <si>
    <t>Sénior de Control Operacional</t>
  </si>
  <si>
    <t>MO-CCOP04</t>
  </si>
  <si>
    <t>Acta N� 139-2023-PROC (Gerencia de TI)</t>
  </si>
  <si>
    <t>Sénior Gestión de Riesgos de Ciberseguridad</t>
  </si>
  <si>
    <t>MO-CCOP05</t>
  </si>
  <si>
    <t>Sénior de Arquitectura de Ciberseguridad</t>
  </si>
  <si>
    <t>MO-CCOP06</t>
  </si>
  <si>
    <t>Sénior de Respuesta a Incidentes</t>
  </si>
  <si>
    <t>MO-CCOP07</t>
  </si>
  <si>
    <t>Sénior de Recuperación de Servicios de TI</t>
  </si>
  <si>
    <t>MO-CCOP08</t>
  </si>
  <si>
    <t>Analista de Riesgos de Ciberseguridad</t>
  </si>
  <si>
    <t>MO-CCOP10</t>
  </si>
  <si>
    <t>Analista de Detección y Respuesta a Incidentes</t>
  </si>
  <si>
    <t>MO-CCOP11</t>
  </si>
  <si>
    <t>Analista de Recuperación de Servicios de TI</t>
  </si>
  <si>
    <t>MO-CCOP12</t>
  </si>
  <si>
    <t>Asistente de Gestión de Accesos</t>
  </si>
  <si>
    <t>MO-CCOP13</t>
  </si>
  <si>
    <t>Analista de Ciberseguridad</t>
  </si>
  <si>
    <t>MO-CCOP14</t>
  </si>
  <si>
    <t>Jefe de Infraestructura y Tecnología</t>
  </si>
  <si>
    <t>MO-ITEC04</t>
  </si>
  <si>
    <t>Acuerdo N° 013, Acta N° 004/2023 (Comité de Gerencia)</t>
  </si>
  <si>
    <t>Administrador Sénior de Base de Datos</t>
  </si>
  <si>
    <t>MO-ITEC05</t>
  </si>
  <si>
    <t>Acta Nº 166-2022-PROC (Gerencia de TI)</t>
  </si>
  <si>
    <t>Acta Nº 38-Proc-2022 (Gerencia De Ti)</t>
  </si>
  <si>
    <t>Administrador Junior de Base de Datos</t>
  </si>
  <si>
    <t>MO-ITEC06</t>
  </si>
  <si>
    <t>Acta Nº 38-PROC-2022 (Gerencia de TI)</t>
  </si>
  <si>
    <t>Analista Sénior de Produccion</t>
  </si>
  <si>
    <t>MO-ITEC07</t>
  </si>
  <si>
    <t>Analista de Produccion</t>
  </si>
  <si>
    <t>MO-ITEC08</t>
  </si>
  <si>
    <t>Asistente de Producción</t>
  </si>
  <si>
    <t>MO-ITEC09</t>
  </si>
  <si>
    <t>Operador de Cierre</t>
  </si>
  <si>
    <t>MO-ITEC10</t>
  </si>
  <si>
    <t>Analista Sénior de Control de Calidad</t>
  </si>
  <si>
    <t>MO-ITEC11</t>
  </si>
  <si>
    <t>Analista de Control de Calidad</t>
  </si>
  <si>
    <t>MO-ITEC12</t>
  </si>
  <si>
    <t>Analista Sénior de Infraestructura de TI</t>
  </si>
  <si>
    <t>MO-ITEC13</t>
  </si>
  <si>
    <t>Analista de Infraestructura de TI</t>
  </si>
  <si>
    <t>MO-ITEC14</t>
  </si>
  <si>
    <t>Analista de Redes</t>
  </si>
  <si>
    <t>MO-ITEC15</t>
  </si>
  <si>
    <t>Acta N° 169 - Proc - 2021 (Gerencia De Ti)</t>
  </si>
  <si>
    <t>Asistente de Canales</t>
  </si>
  <si>
    <t>MO-ITEC16</t>
  </si>
  <si>
    <t>Asistente de Soporte TI</t>
  </si>
  <si>
    <t>MO-ITEC18</t>
  </si>
  <si>
    <t>Analista Sénior de Inteligencia de Negocios de TI</t>
  </si>
  <si>
    <t>MO-ITEC19</t>
  </si>
  <si>
    <t>Supervisor de Funcionales</t>
  </si>
  <si>
    <t>MO-ITEC20</t>
  </si>
  <si>
    <t xml:space="preserve">Funcional </t>
  </si>
  <si>
    <t>MO-ITEC21</t>
  </si>
  <si>
    <t>Jefe de Mantención y Desarrollo de Sistemas</t>
  </si>
  <si>
    <t>MO-MDSI01</t>
  </si>
  <si>
    <t>Analista Sénior de Mantención y Desarrollo de Sistemas</t>
  </si>
  <si>
    <t>MO-MDSI02</t>
  </si>
  <si>
    <t>Acta N° 056-Proc-2021 (Gerencia Central De Administración Y Operaciones)</t>
  </si>
  <si>
    <t>Analista de Mantención y Desarrollo de Sistemas</t>
  </si>
  <si>
    <t>MO-MDSI03</t>
  </si>
  <si>
    <t>Supervisor de Parametrización</t>
  </si>
  <si>
    <t>MO-PARA01</t>
  </si>
  <si>
    <t>Analista Sénior de Parametrización</t>
  </si>
  <si>
    <t>MO-PARA02</t>
  </si>
  <si>
    <t xml:space="preserve"> Ti</t>
  </si>
  <si>
    <t>Gerente de TI</t>
  </si>
  <si>
    <t>MO-GTIN01</t>
  </si>
  <si>
    <t xml:space="preserve"> Gerencia Central De Finanzas Y Control De Gestión</t>
  </si>
  <si>
    <t>Gerente Central de Finanzas y Control de Gestión</t>
  </si>
  <si>
    <t>MO - GCFG03</t>
  </si>
  <si>
    <t>Jefe de Contabilidad</t>
  </si>
  <si>
    <t>MO-CONT01</t>
  </si>
  <si>
    <t>Acta N° 24, Acuerdo N° 078/2020 (Comité de Gerencia)</t>
  </si>
  <si>
    <t>Especialista Contable</t>
  </si>
  <si>
    <t>MO-CONT03</t>
  </si>
  <si>
    <t>Acta N° 171-2019-DORG (Gerencia de Contabilidad y Tributaria)</t>
  </si>
  <si>
    <t>Asistente Contable</t>
  </si>
  <si>
    <t>MO-CONT06</t>
  </si>
  <si>
    <t xml:space="preserve"> Gerencia de Contabilidad Y Tributaria</t>
  </si>
  <si>
    <t>Gerente de Contabilidad y Tributaria</t>
  </si>
  <si>
    <t>MO-GCTR01</t>
  </si>
  <si>
    <t>Jefe de Tributaria</t>
  </si>
  <si>
    <t>MO-TRIB01</t>
  </si>
  <si>
    <t>Especialista de Tributaria</t>
  </si>
  <si>
    <t>MO-TRIB02</t>
  </si>
  <si>
    <t>Asistente de Tributaria</t>
  </si>
  <si>
    <t>MO-TRIB03</t>
  </si>
  <si>
    <t>Jefe de Aseguramiento de Ingresos y Excelencia Operacional</t>
  </si>
  <si>
    <t>MO-AIEO01</t>
  </si>
  <si>
    <t>Analista Sénior de Rentabilidad</t>
  </si>
  <si>
    <t>MO-AIEO02</t>
  </si>
  <si>
    <t>Acta N° 064-20212PROC (Gerencia de Control de Gestión y Excelencia Operacional)</t>
  </si>
  <si>
    <t>Acuerdo N° 043, Acta N° 011/2021 (Comité De Gerencia)</t>
  </si>
  <si>
    <t>Asistente de Aseguramiento de Ingresos</t>
  </si>
  <si>
    <t>MO-AIEO03</t>
  </si>
  <si>
    <t>Jefe de Eficiencia</t>
  </si>
  <si>
    <t>MO-EFIC01</t>
  </si>
  <si>
    <t>Acuerdo N°122, Acta N° 29/2021 (Comité De Gerencia)</t>
  </si>
  <si>
    <t>Analista Sénior de Eficiencia</t>
  </si>
  <si>
    <t>MO-EFIC04</t>
  </si>
  <si>
    <t xml:space="preserve"> Gerencia de Control de Gestión y Planificación Estratégica</t>
  </si>
  <si>
    <t>Gerente de Control de Gestión y Planificación Estratégica</t>
  </si>
  <si>
    <t>MO-GPCO01</t>
  </si>
  <si>
    <t xml:space="preserve"> Modelos Pricing</t>
  </si>
  <si>
    <t>Jefe de Modelos Pricing</t>
  </si>
  <si>
    <t>MO-MPRI01</t>
  </si>
  <si>
    <t>Acuerdo N° 114 Acta N° 26/2022 (Comite de Gerencia)</t>
  </si>
  <si>
    <t>Acuerdo N°143, Acta N° 31/2021 (Comité De Gerencia)</t>
  </si>
  <si>
    <t>Jefe de Planificación Estratégica y BSC</t>
  </si>
  <si>
    <t>MO-PEBS01</t>
  </si>
  <si>
    <t>Analista Sénior de Planeamiento Estratégico</t>
  </si>
  <si>
    <t>MO-PEBS02</t>
  </si>
  <si>
    <t>Analista de Gestión de Proyectos</t>
  </si>
  <si>
    <t>MO-PEBS03</t>
  </si>
  <si>
    <t xml:space="preserve"> Gerencia de Finanzas</t>
  </si>
  <si>
    <t>Gerente de Finanzas</t>
  </si>
  <si>
    <t>MO-GFIN01</t>
  </si>
  <si>
    <t>Jefe de Gestión Financiera</t>
  </si>
  <si>
    <t>MO-FINA01</t>
  </si>
  <si>
    <t>Analista Sénior de Finanzas</t>
  </si>
  <si>
    <t>MO-FINA02</t>
  </si>
  <si>
    <t>Acta N� 155-2023-PROC (Gerencia de Finanzas)</t>
  </si>
  <si>
    <t>Asistente de Business Plan</t>
  </si>
  <si>
    <t>MO – PBPL05</t>
  </si>
  <si>
    <t>Jefe de Presupuesto y Business Plan</t>
  </si>
  <si>
    <t>MO-PBPL01</t>
  </si>
  <si>
    <t>Analista Sénior de Presupuesto y Business Plan</t>
  </si>
  <si>
    <t>MO-PBPL02</t>
  </si>
  <si>
    <t>Analista Sénior de Estadistica</t>
  </si>
  <si>
    <t>MO-PBPL03</t>
  </si>
  <si>
    <t>Analista de Business Plan</t>
  </si>
  <si>
    <t>MO-PBPL04</t>
  </si>
  <si>
    <t xml:space="preserve"> Head of Treasury </t>
  </si>
  <si>
    <t xml:space="preserve"> Head of Treasury</t>
  </si>
  <si>
    <t>Head of Treasury</t>
  </si>
  <si>
    <t>MO-HTRE01</t>
  </si>
  <si>
    <t>Acuerdo N� 045, Acta N� 007/2023 (Comit� de Gerencia) </t>
  </si>
  <si>
    <t xml:space="preserve"> Sales Desk</t>
  </si>
  <si>
    <t>FX Sales Trader</t>
  </si>
  <si>
    <t>MO-SDES02</t>
  </si>
  <si>
    <t>Senior Investor Sales</t>
  </si>
  <si>
    <t>MO-SDES03</t>
  </si>
  <si>
    <t xml:space="preserve"> Trading Desk</t>
  </si>
  <si>
    <t>FX Trader</t>
  </si>
  <si>
    <t>MO-TDES03</t>
  </si>
  <si>
    <t>Trader de Mesa de Distribución</t>
  </si>
  <si>
    <t>MO-STMD05</t>
  </si>
  <si>
    <t xml:space="preserve"> Banca Premium</t>
  </si>
  <si>
    <t>Jefe de Banca Premium</t>
  </si>
  <si>
    <t>MO-BPRE01</t>
  </si>
  <si>
    <t xml:space="preserve"> Gerencia de Productos Pasivos</t>
  </si>
  <si>
    <t>Gerente de Productos Pasivos</t>
  </si>
  <si>
    <t>MO-GPPA01</t>
  </si>
  <si>
    <t>Acuerdo N° 088, Acta N° 022/2021 (Comité de Gerencia)</t>
  </si>
  <si>
    <t>Jefe de Productos Pasivos</t>
  </si>
  <si>
    <t>MO-PPAS01</t>
  </si>
  <si>
    <t>Acuerdo N° 051, Acta N° 12/2021 (Comité De Gerencia)</t>
  </si>
  <si>
    <t>Analista Sénior de Productos Pasivos</t>
  </si>
  <si>
    <t>MO-PPAS02</t>
  </si>
  <si>
    <t>Auxiliar de Productos Pasivos</t>
  </si>
  <si>
    <t>MO-PPAS03</t>
  </si>
  <si>
    <t>Ejecutivo de Productos Financieros</t>
  </si>
  <si>
    <t>MO-PPAS04</t>
  </si>
  <si>
    <t>Supervisor de Productos Financieros</t>
  </si>
  <si>
    <t>MO-PPAS07</t>
  </si>
  <si>
    <t>Jefe de Calidad y Tecnología Crediticia</t>
  </si>
  <si>
    <t>MO-CTCR01</t>
  </si>
  <si>
    <t>Acuerdo N� 111, Acta 021 /2023 (Comit� de Gerencia)</t>
  </si>
  <si>
    <t>Acuerdo N� 089, Acta 017/2023 (Comit� de Gerencia)</t>
  </si>
  <si>
    <t>Analista Sénior de Calidad y Tecnología Crediticia</t>
  </si>
  <si>
    <t>MO-CTCR02</t>
  </si>
  <si>
    <t>Analista de Calidad y Tecnología Crediticia</t>
  </si>
  <si>
    <t>MO-CTCR03</t>
  </si>
  <si>
    <t>Jefe de Recuperaciones</t>
  </si>
  <si>
    <t>MO-RECU01</t>
  </si>
  <si>
    <t>Analista Sénior de Cobranza</t>
  </si>
  <si>
    <t>MO-RECU02</t>
  </si>
  <si>
    <t>Analista de Cobranza</t>
  </si>
  <si>
    <t>MO-RECU03</t>
  </si>
  <si>
    <t>Especialista de Recuperaciones</t>
  </si>
  <si>
    <t>MO-RECU04</t>
  </si>
  <si>
    <t>Analista Sénior de Recuperaciones</t>
  </si>
  <si>
    <t>MO-RECU05</t>
  </si>
  <si>
    <t>Asistente de Recuperaciones</t>
  </si>
  <si>
    <t>MO-RECU06</t>
  </si>
  <si>
    <t>Gestor De Cobranza</t>
  </si>
  <si>
    <t>MO-RECU07</t>
  </si>
  <si>
    <t>Analista Sénior de Inteligencia de Cobranza</t>
  </si>
  <si>
    <t>MO-RECU08</t>
  </si>
  <si>
    <t>Acta N° 075/2021 (Subgerencia de Cobranza)</t>
  </si>
  <si>
    <t>Supervisor Judicial de Recuperaciones</t>
  </si>
  <si>
    <t>MO-RECU10</t>
  </si>
  <si>
    <t>Supervisor Regional de Recuperaciones</t>
  </si>
  <si>
    <t>MO-RECU11</t>
  </si>
  <si>
    <t>Asistente de Inteligencia de Cobranza</t>
  </si>
  <si>
    <t>MO-RECU12</t>
  </si>
  <si>
    <t>Acta N° 204-2021-PROC (Subgerente de Cobranza)</t>
  </si>
  <si>
    <t xml:space="preserve"> Subgerencia De Cobranza</t>
  </si>
  <si>
    <t>Subgerente de Cobranza</t>
  </si>
  <si>
    <t>MO-RECU13</t>
  </si>
  <si>
    <t xml:space="preserve"> Gerencia Central de Negocios </t>
  </si>
  <si>
    <t xml:space="preserve"> Gerencia Central De Negocios</t>
  </si>
  <si>
    <t>Gerente Central de Negocios</t>
  </si>
  <si>
    <t>MO-GCNE02</t>
  </si>
  <si>
    <t xml:space="preserve"> Gerencia De Canales Alternativos</t>
  </si>
  <si>
    <t>Gerente de Canales Alternativos</t>
  </si>
  <si>
    <t>MO-GCAL01</t>
  </si>
  <si>
    <t>Acuerdo N� 012, Acta N� 004/2023 (Comit� de Gerencia)</t>
  </si>
  <si>
    <t>Jefe de Negocios en Canales Alternativos</t>
  </si>
  <si>
    <t>MO-NECA01</t>
  </si>
  <si>
    <t>Acuerdo N� 087, Acta N� 016/2023 (Comit� de Gerencia)</t>
  </si>
  <si>
    <t>Acuerdo Nº 108, Acta N° 024/2022 (Comité De Gerencia)</t>
  </si>
  <si>
    <t>Acuerdo N° 042, Acta N° 011/2021 (Comité de Gerencia)</t>
  </si>
  <si>
    <t>Analista Sénior de Servicios Empresariales</t>
  </si>
  <si>
    <t>MO-NECA02</t>
  </si>
  <si>
    <t>Analista Senior de Canales Alternativos</t>
  </si>
  <si>
    <t>MO-NECA03</t>
  </si>
  <si>
    <t>Coordinador de Cajeros Corresponsales</t>
  </si>
  <si>
    <t>MO-NECA04</t>
  </si>
  <si>
    <t>Auxiliar de Cajeros Corresponsales</t>
  </si>
  <si>
    <t>MO-NECA05</t>
  </si>
  <si>
    <t>Auxiliar de Servicios Empresariales</t>
  </si>
  <si>
    <t>MO-NECA06</t>
  </si>
  <si>
    <t>Auxiliar de Representación Comercial</t>
  </si>
  <si>
    <t>MO-NECA07</t>
  </si>
  <si>
    <t xml:space="preserve"> Nuevos Negocios Digitales</t>
  </si>
  <si>
    <t>Product Owner de Proyectos Digitales</t>
  </si>
  <si>
    <t>MO-NNDI01</t>
  </si>
  <si>
    <t>Acta Nº 125-2022-PROC (Gerencia de Canales Alternativos)</t>
  </si>
  <si>
    <t>Gerente de Créditos</t>
  </si>
  <si>
    <t>MO-GCRE01</t>
  </si>
  <si>
    <t>Acuerdo N° 157, Acta N° 33/2021 (Comité De Gerencia)</t>
  </si>
  <si>
    <t>Coordinador Comercial</t>
  </si>
  <si>
    <t>MO-PVEN03</t>
  </si>
  <si>
    <t>Acta Nº 142/2022 (Gerente de Créditos)</t>
  </si>
  <si>
    <t>Asesor Comercial de Campo</t>
  </si>
  <si>
    <t>MO-PVEN04</t>
  </si>
  <si>
    <t>Coordinador de Soporte Operativo</t>
  </si>
  <si>
    <t>MO-PVEN05</t>
  </si>
  <si>
    <t>Jefe de Promoción y Ventas</t>
  </si>
  <si>
    <t>MO-PVEN06</t>
  </si>
  <si>
    <t>Acuerdo N° 082, Acta N° 26/2020 (Comité de Gerencia)</t>
  </si>
  <si>
    <t>Asesor Comercial de Call Center</t>
  </si>
  <si>
    <t>MO-PVEN07</t>
  </si>
  <si>
    <t>Acta N° 048/2020 (Gerencia de Créditos)</t>
  </si>
  <si>
    <t xml:space="preserve"> Regional, Zonal, Agencia</t>
  </si>
  <si>
    <t>Gerente de Agencia</t>
  </si>
  <si>
    <t>MO-AGEN02</t>
  </si>
  <si>
    <t xml:space="preserve">Acta N° 028, acuerdo 135 / 2022  (Comité de Gerencia) </t>
  </si>
  <si>
    <t>Analista de Crédito Prendario</t>
  </si>
  <si>
    <t>MO-AGEN03</t>
  </si>
  <si>
    <t>Acta Nº 66/2022 (Gerencia de Créditos)</t>
  </si>
  <si>
    <t>Analista de Créditos</t>
  </si>
  <si>
    <t>MO-AGEN04</t>
  </si>
  <si>
    <t>Acta N° 117 /2022 (Gerencia de Créditos)</t>
  </si>
  <si>
    <t>Analista Sénior de Créditos</t>
  </si>
  <si>
    <t>MO-AGEN05</t>
  </si>
  <si>
    <t>Acta Nº 142/2022 (Gerencia de Créditos)</t>
  </si>
  <si>
    <t>Gerente Regional</t>
  </si>
  <si>
    <t>MO-REGI01</t>
  </si>
  <si>
    <t>Acuerdo Nº 83,  Acta Nº 21/2022 (GMAN)</t>
  </si>
  <si>
    <t>Asistente Administrativo Regional</t>
  </si>
  <si>
    <t>MO-REGI02</t>
  </si>
  <si>
    <t>Acta N° 117/2022 (Gerencia de créditos)</t>
  </si>
  <si>
    <t>Gerente Regional Zonal</t>
  </si>
  <si>
    <t>MO-REGI04</t>
  </si>
  <si>
    <t>Administrador de Convenios de Consumo</t>
  </si>
  <si>
    <t>MO-REGI06</t>
  </si>
  <si>
    <t>Acta N° 142/2022 (Gerencia de créditos)</t>
  </si>
  <si>
    <t>Acta N° 046/2021 (Gerencia De Créditos)</t>
  </si>
  <si>
    <t>Asistente de Convenios de Consumo</t>
  </si>
  <si>
    <t>MO-REGI07</t>
  </si>
  <si>
    <t>Analista Supervisor de Crédito Rural</t>
  </si>
  <si>
    <t>MO-REGI08</t>
  </si>
  <si>
    <t>Acta 01- PROC</t>
  </si>
  <si>
    <t>Analista Sénior de Estrategia de Negocios</t>
  </si>
  <si>
    <t>MO-GENE02</t>
  </si>
  <si>
    <t xml:space="preserve">Acuerdo N� 014, Acta N� 004-2023 </t>
  </si>
  <si>
    <t>Jefe de Producto Hipotecario</t>
  </si>
  <si>
    <t>MO-PIHI01</t>
  </si>
  <si>
    <t>Supervisor de Producto Hipotecario</t>
  </si>
  <si>
    <t>MO-PIHI02</t>
  </si>
  <si>
    <t>Acta N� 111-2023-PROC (Gerente de Estrategia de Negocios y Segmentos)</t>
  </si>
  <si>
    <t>Supervisor de Producto Inmobiliario</t>
  </si>
  <si>
    <t>MO-PIHI03</t>
  </si>
  <si>
    <t>Acta N� 158-2023-PROC (Gerente de Estrategia de Negocios y Segmentos)</t>
  </si>
  <si>
    <t>Acta N° 090/2021 (Gerente de experiencia cliente, estrategia y marketing)</t>
  </si>
  <si>
    <t>Jefe de Producto Seguros</t>
  </si>
  <si>
    <t>MO-PSEG01</t>
  </si>
  <si>
    <t>Analista Senior de Seguros</t>
  </si>
  <si>
    <t>MO-PSEG02</t>
  </si>
  <si>
    <t>Auxiliar de Seguros</t>
  </si>
  <si>
    <t>MO-PSEG03</t>
  </si>
  <si>
    <t xml:space="preserve"> Segmento Empresas</t>
  </si>
  <si>
    <t>Jefe de Segmento Empresas</t>
  </si>
  <si>
    <t>MO-SEPR01</t>
  </si>
  <si>
    <t>Analista Sénior de Segmento Empresas</t>
  </si>
  <si>
    <t>MO-SEMP02</t>
  </si>
  <si>
    <t>Acta N� 112/2023 (Gerencia de Estrategia de Negocios y Segmentos)</t>
  </si>
  <si>
    <t xml:space="preserve"> Segmento Mype</t>
  </si>
  <si>
    <t>Jefe de Segmento Mype</t>
  </si>
  <si>
    <t>MO-SMYP01</t>
  </si>
  <si>
    <t>Analista Sénior de Segmento Mype</t>
  </si>
  <si>
    <t>MO-SMYP02</t>
  </si>
  <si>
    <t>Acta N° 52/2022 (gerente experiencia clientes estrategia y marketing)</t>
  </si>
  <si>
    <t>Jefe de Segmento Personas</t>
  </si>
  <si>
    <t>MO-SPER01</t>
  </si>
  <si>
    <t>Analista Sénior de Segmento Personas</t>
  </si>
  <si>
    <t>MO-SPER04</t>
  </si>
  <si>
    <t>Acta N° 198-2022-PROC (Gerente de Estrategia de Negocios y Segmentos)</t>
  </si>
  <si>
    <t>Analista Coordinador de Crédito Prendario</t>
  </si>
  <si>
    <t>MO-SPER05</t>
  </si>
  <si>
    <t>Asistente del Conocimiento del Cliente Get-Back Team</t>
  </si>
  <si>
    <t>MO-ECLI02</t>
  </si>
  <si>
    <t>Acta N° 030-2022-PROC (Gerencia de Experiencia del Cliente, Estrategia y Marketing) </t>
  </si>
  <si>
    <t>Jefe de Experiencia al Cliente</t>
  </si>
  <si>
    <t>MO-ECLI05</t>
  </si>
  <si>
    <t>Analista Sénior de Gestión de Voz del Cliente</t>
  </si>
  <si>
    <t>MO-ECLI09</t>
  </si>
  <si>
    <t>Acta N� 218-2023-PROC (Gerencia de Marketing, Experiencia Cliente y Sostenibilidad)</t>
  </si>
  <si>
    <t>Acta N° 226-2021-PROC (Gerencia de Experiencia del Cliente, Estrategia y Marketing)</t>
  </si>
  <si>
    <t>Analista Sénior de Momento de Verdad del Cliente</t>
  </si>
  <si>
    <t>MO-ECLI10</t>
  </si>
  <si>
    <t xml:space="preserve"> Gerencia de Marketing, Experiencia Cliente y Sostenibilidad</t>
  </si>
  <si>
    <t>Gerente de Marketing, Experiencia Cliente y Sostenibilidad</t>
  </si>
  <si>
    <t>MO-GEEM01</t>
  </si>
  <si>
    <t>Acuerdo N° 105, Acta N° 023/2022 (Comité De Gerencia)</t>
  </si>
  <si>
    <t>Sénior en Imagen, RRPP y Comunicacion Institucional</t>
  </si>
  <si>
    <t>MO-MARK02</t>
  </si>
  <si>
    <t>Sénior de Medios y Presupuestos</t>
  </si>
  <si>
    <t>MO-MARK03</t>
  </si>
  <si>
    <t>Sénior de Relacionamientos con Skateholders</t>
  </si>
  <si>
    <t>MO-MARK04</t>
  </si>
  <si>
    <t>Sénior de Creatividad y Diseño</t>
  </si>
  <si>
    <t>MO-MARK05</t>
  </si>
  <si>
    <t>Analista Planner de Publicidad Outdoor</t>
  </si>
  <si>
    <t>MO-MARK06</t>
  </si>
  <si>
    <t>Analista de Marketing e Implementacion</t>
  </si>
  <si>
    <t>MO-MARK07</t>
  </si>
  <si>
    <t>Sénior Planner Marketing</t>
  </si>
  <si>
    <t>MO-MARK08</t>
  </si>
  <si>
    <t>Jefe De Marketing</t>
  </si>
  <si>
    <t>MO-MEST01</t>
  </si>
  <si>
    <t>Jefe de Marketing Digital</t>
  </si>
  <si>
    <t>MO-MDIG01</t>
  </si>
  <si>
    <t>Acuerdo N� 057, Acta N� 018/2023 (Comit� de Gerencia)</t>
  </si>
  <si>
    <t>Analista Sénior de Proyectos Digitales</t>
  </si>
  <si>
    <t>MO-MDIG02</t>
  </si>
  <si>
    <t>Acta N� 087-2023-PROC (Gerencia de Marketing, Experiencia Cliente y Sostenibilidad)</t>
  </si>
  <si>
    <t>Acta Nº 205-2021-PROC (Gerencia de de Experiencia del Cliente, Estrategia y Marketing)</t>
  </si>
  <si>
    <t xml:space="preserve">Analista Sénior de Performance Digital </t>
  </si>
  <si>
    <t>MO-MDIG03</t>
  </si>
  <si>
    <t>Analista Sénior de Marketing Digital y Contenido</t>
  </si>
  <si>
    <t>MO-MDIG04</t>
  </si>
  <si>
    <t>Jefe de Servicio al Cliente</t>
  </si>
  <si>
    <t>MO-SCLI01</t>
  </si>
  <si>
    <t>Supervisor de Servicio al Cliente</t>
  </si>
  <si>
    <t>MO-SCLI03</t>
  </si>
  <si>
    <t>Asesor de Servicios en Linea - Banca Telefonica</t>
  </si>
  <si>
    <t>MO-SCLI06</t>
  </si>
  <si>
    <t>Gestor de Reclamos</t>
  </si>
  <si>
    <t>MO-SCLI07</t>
  </si>
  <si>
    <t>Acta N� 045-2023-PROC (Gerencia de Marketing, Experiencia Cliente y Sostenibilidad)</t>
  </si>
  <si>
    <t>Supervisor de Reclamos</t>
  </si>
  <si>
    <t>MO-SCLI08</t>
  </si>
  <si>
    <t>Coordinador de Responsabilidad Social Empresarial</t>
  </si>
  <si>
    <t>MO-RSEM02</t>
  </si>
  <si>
    <t>Acta N° 158-2022-PROC (Gerencia de Marketing, Experiencia Cliente y Sostenibilidad)</t>
  </si>
  <si>
    <t>Jefe de Responsabilidad Social Empresarial</t>
  </si>
  <si>
    <t>MO-RSEM01</t>
  </si>
  <si>
    <t>Asistente de Responsabilidad Social Empresarial</t>
  </si>
  <si>
    <t>MO-RSEM03</t>
  </si>
  <si>
    <t>Analista Sénior de Rentabilidad Ambiental y Social</t>
  </si>
  <si>
    <t>MO-RSEM04</t>
  </si>
  <si>
    <t>Acuerdo N° 025, Acta N° 006/2022 (Comité de Gerencia)</t>
  </si>
  <si>
    <t>Analista Sénior de Rentabilidad Financiera y Voluntariado</t>
  </si>
  <si>
    <t>MO-RSEM05</t>
  </si>
  <si>
    <t xml:space="preserve"> Advanced Analytics Acoe</t>
  </si>
  <si>
    <t>Jefe de Advanced Analytics Acoe</t>
  </si>
  <si>
    <t>MO-AANA01</t>
  </si>
  <si>
    <t>Acta N° 129/2022 (Gerencia de Inteligencia de Negocios)</t>
  </si>
  <si>
    <t>Sénior Data Scientist Acoe</t>
  </si>
  <si>
    <t>MO-AANA02</t>
  </si>
  <si>
    <t>Acta N° 129-2022 (Gerencia de Inteligencia de Negocios</t>
  </si>
  <si>
    <t>Junior Data Scientist Acoe</t>
  </si>
  <si>
    <t>MO-AANA03</t>
  </si>
  <si>
    <t xml:space="preserve">Acta N° 129/2021 (Gerencia de Inteligencia de Negocios) </t>
  </si>
  <si>
    <t>Sénior Business Analytics Acoe</t>
  </si>
  <si>
    <t>MO-AANA04</t>
  </si>
  <si>
    <t>Junior Business Analytics Acoe</t>
  </si>
  <si>
    <t>MO-AANA05</t>
  </si>
  <si>
    <t xml:space="preserve"> Inteligencia De Negocios</t>
  </si>
  <si>
    <t>Gerente de Inteligencia de Negocios</t>
  </si>
  <si>
    <t>MO-GINE01</t>
  </si>
  <si>
    <t>Jefe de Service And Analytics Development Acoe</t>
  </si>
  <si>
    <t>MO-SADA01</t>
  </si>
  <si>
    <t>Senior Campaigns Acoe</t>
  </si>
  <si>
    <t>MO-SADA02</t>
  </si>
  <si>
    <t>Sénior Business Intelligence Tools Acoe</t>
  </si>
  <si>
    <t>MO-SADA03</t>
  </si>
  <si>
    <t>Business Intelligence Tools Analyts Acoe</t>
  </si>
  <si>
    <t>MO-SADA04</t>
  </si>
  <si>
    <t>Acta N° 129-2022 (Gerencia de Inteligencia de Negocios)</t>
  </si>
  <si>
    <t>Junior Data Governance Acoe</t>
  </si>
  <si>
    <t>MO-SADA05</t>
  </si>
  <si>
    <t>Senior Data Engineer Acoe</t>
  </si>
  <si>
    <t>MO-SADA06</t>
  </si>
  <si>
    <t>Supervisor del Órgano de Control Institucional</t>
  </si>
  <si>
    <t>MO–OCIN04</t>
  </si>
  <si>
    <t>Acuerdo N°64, Acta N° 019/2022 (Comité de Gerencia)</t>
  </si>
  <si>
    <t>Especialista del Órgano de Control Institucional</t>
  </si>
  <si>
    <t>MO–OCIN05</t>
  </si>
  <si>
    <t>Analista del Órgano de Control Institucional</t>
  </si>
  <si>
    <t>MO–OCIN06</t>
  </si>
  <si>
    <t>Jefe de Estrategia de Clientes</t>
  </si>
  <si>
    <t>MO-ESCL01</t>
  </si>
  <si>
    <t>Acuerdo N� 014, Acta N� 004-2023</t>
  </si>
  <si>
    <t>Acuerdo N� 002, Acta N� 001/2023(Comit� de Gerencia)</t>
  </si>
  <si>
    <t>Gerente de Estrategia de Negocios y Segmentos</t>
  </si>
  <si>
    <t>MO-GENS01</t>
  </si>
  <si>
    <t xml:space="preserve"> Gerencia de Planificación Estratégica </t>
  </si>
  <si>
    <t xml:space="preserve"> Planificación Estratégica</t>
  </si>
  <si>
    <t>Subgerente de Planificación Estratégica</t>
  </si>
  <si>
    <t>MO-SPES01</t>
  </si>
  <si>
    <t xml:space="preserve">Acuerdo N° 052, Acta N° 005/2021 (Directorio)
</t>
  </si>
  <si>
    <t xml:space="preserve"> Proyectos De Transformación</t>
  </si>
  <si>
    <t>Jefe de Proyectos de Transformación</t>
  </si>
  <si>
    <t>MO-PTRA01</t>
  </si>
  <si>
    <t xml:space="preserve"> Gerencia de Experiencia Cliente, Estratégica y Marketing </t>
  </si>
  <si>
    <t xml:space="preserve"> Subgerente De Segmentos</t>
  </si>
  <si>
    <t>Subgerente de Segmentos</t>
  </si>
  <si>
    <t>MO-SSEG01</t>
  </si>
  <si>
    <t>Acuerdo N° 15, Acta N° 03/2021 (Directorio)</t>
  </si>
  <si>
    <t xml:space="preserve">Gerencia Central de Negocios </t>
  </si>
  <si>
    <t xml:space="preserve"> Gerencia de Experiencia Cliente, Estrategia y Marketing </t>
  </si>
  <si>
    <t xml:space="preserve"> Subgerencia de Marketing y Experiencia del Cliente </t>
  </si>
  <si>
    <t xml:space="preserve"> Subgerencia de Marketing y Experiencia Del Cliente</t>
  </si>
  <si>
    <t>Subgerente de Marketing y Experiencia del Cliente</t>
  </si>
  <si>
    <t>MO-SMEC01</t>
  </si>
  <si>
    <t>Administración de Base de Datos de Fraudes</t>
  </si>
  <si>
    <t>IN-23.2-06</t>
  </si>
  <si>
    <t>Acuerdo N 206 Acta N 192022 Directorio</t>
  </si>
  <si>
    <t>Registro de Control de Contratos de Consultoría del Estado</t>
  </si>
  <si>
    <t>IN-12.1-16</t>
  </si>
  <si>
    <t>Acta N� 207-2023/PROC (Gerencia de Administraci�n)</t>
  </si>
  <si>
    <t>Control de gastos e inversiones</t>
  </si>
  <si>
    <t>IN-1.3-02</t>
  </si>
  <si>
    <t>Acta° 20169-2022-PROC (Gerencia de Contabilidad y Tributaria)</t>
  </si>
  <si>
    <t>Atención de Fiscalizaciones de Municipalidades</t>
  </si>
  <si>
    <t>IN-18.1-10</t>
  </si>
  <si>
    <t>Acta N° 229-2022-PROC (Gerente Legal)</t>
  </si>
  <si>
    <t>Administración de Límites de Tasas BCRP</t>
  </si>
  <si>
    <t>IN-2.3-02</t>
  </si>
  <si>
    <t xml:space="preserve">Acuerdo N° 114, Acta N° 26/2022 (Comité de Gerencia) </t>
  </si>
  <si>
    <t>Gestión de Riesgos en Bienes o Servicios Provistos por Terceros</t>
  </si>
  <si>
    <t>IN-22.6-07</t>
  </si>
  <si>
    <t>Acta N° 245-2022-PROC (Gerencia de Riesgo Corporativo)</t>
  </si>
  <si>
    <t>Conformación y Reuniones del Consejo de TI</t>
  </si>
  <si>
    <t>IN-16.2-29</t>
  </si>
  <si>
    <t>Acta N 255-2022-PROC Gerencia de TI</t>
  </si>
  <si>
    <t>Supervisor Comercial de Seguros</t>
  </si>
  <si>
    <t>MO-PSEG04</t>
  </si>
  <si>
    <t>Supervisor de Operaciones de Seguros</t>
  </si>
  <si>
    <t>MO-PSEG05</t>
  </si>
  <si>
    <t>Analista de Negocio Producto Seguros</t>
  </si>
  <si>
    <t>MO-PSEG06</t>
  </si>
  <si>
    <t>Analista de Canal Digital de Seguros</t>
  </si>
  <si>
    <t>MO-PSEG07</t>
  </si>
  <si>
    <t>Analista de Gestión de Siniestros y Colocaciones</t>
  </si>
  <si>
    <t>MO-PSEG08</t>
  </si>
  <si>
    <t>Analista de Gestión de Primas y Comisiones</t>
  </si>
  <si>
    <t>MO-PSEG09</t>
  </si>
  <si>
    <t>Jefe de Medios de Pago</t>
  </si>
  <si>
    <t>NECA4</t>
  </si>
  <si>
    <t>Administración de Transacciones y Tablas Críticas en el Sistema Bantotal</t>
  </si>
  <si>
    <t>IN-22.3-11</t>
  </si>
  <si>
    <t>Acta N� 007-PROC-2023 (Gerencia de Riesgo Corporativo)</t>
  </si>
  <si>
    <t>Analista de Estrategia de Clientes</t>
  </si>
  <si>
    <t>MO-ESCL03</t>
  </si>
  <si>
    <t xml:space="preserve">Subgerente de Segmentos </t>
  </si>
  <si>
    <t>MO- SSEG02</t>
  </si>
  <si>
    <t xml:space="preserve"> Procesos de Innovacion</t>
  </si>
  <si>
    <t>Jefe de Procesos de Innovación</t>
  </si>
  <si>
    <t>MO-PINN01</t>
  </si>
  <si>
    <t>Requerimientos de Información de Inteligencia de Negocios</t>
  </si>
  <si>
    <t>IN-15.5-01</t>
  </si>
  <si>
    <t>Acta N� 006-2023-PROC (Gerencia de Inteligencia de Negocios)</t>
  </si>
  <si>
    <t>Elegibilidad Asignación y Otorgamiento de Fondo FAE TEXCO</t>
  </si>
  <si>
    <t>IN-6.4-01</t>
  </si>
  <si>
    <t>Acta N� 088-2023/PROC (Gerencia de Estrategia de Negocios y Segmentos)</t>
  </si>
  <si>
    <t>Definicion de Metas Productos Pasivos</t>
  </si>
  <si>
    <t>IN-9.1-07</t>
  </si>
  <si>
    <t>Analista Sénior de Soporte TI</t>
  </si>
  <si>
    <t>MO-ITEC22</t>
  </si>
  <si>
    <t>Analista Sénior de Redes y Canales</t>
  </si>
  <si>
    <t>MO-ITEC23</t>
  </si>
  <si>
    <t>Asistente de Prevención de Fraudes Especializado en ONR</t>
  </si>
  <si>
    <t>MO - PCON05</t>
  </si>
  <si>
    <t>Analista Senior de Riesgo de Fraude</t>
  </si>
  <si>
    <t>MO-PCON04</t>
  </si>
  <si>
    <t>Renovación de Licencia de INDECI y Funcionamiento</t>
  </si>
  <si>
    <t>IN-12.3-02</t>
  </si>
  <si>
    <t>Acta N�061-2023-PROC (Gerencia de Administraci�n)</t>
  </si>
  <si>
    <t>Ejecutivo de Cuentas Clave</t>
  </si>
  <si>
    <t>MO-BPRE02</t>
  </si>
  <si>
    <t>Sales Desk Manager</t>
  </si>
  <si>
    <t>MO-SDES01</t>
  </si>
  <si>
    <t>Trading Desk Manager</t>
  </si>
  <si>
    <t>MO-TDES01</t>
  </si>
  <si>
    <t>ALM Analyst</t>
  </si>
  <si>
    <t>MO-HTRE02</t>
  </si>
  <si>
    <t>Portfolio Manager</t>
  </si>
  <si>
    <t>MO-TDES02</t>
  </si>
  <si>
    <t>Funcionalidad del Lactario</t>
  </si>
  <si>
    <t>IN-17.4-14</t>
  </si>
  <si>
    <t>Acta N� 029-2023-PROC (Gerencia de Personas y Desarrollo Organizacional)</t>
  </si>
  <si>
    <t>Gestión de Reglas DLP (Data Loss Prevention)</t>
  </si>
  <si>
    <t>IN-22.3-12</t>
  </si>
  <si>
    <t>Acta N� 192-2023-PROC (Gerencia de Riesgo Corporativo)</t>
  </si>
  <si>
    <t>Acciones de Prevencion de  fraudes</t>
  </si>
  <si>
    <t>IN-23.2-07</t>
  </si>
  <si>
    <t>Seguridad de la Información para Páginas Webs</t>
  </si>
  <si>
    <t>PO-SINF03</t>
  </si>
  <si>
    <t>Acuerdo Nº 110, Acta N° 10/2023 (Directorio)</t>
  </si>
  <si>
    <t>Atención de Tarjetas en Agencia</t>
  </si>
  <si>
    <t>IN-10.4-17</t>
  </si>
  <si>
    <t>Clasificación y Disposición de Residuos Sólidos</t>
  </si>
  <si>
    <t>IN-12.4-03</t>
  </si>
  <si>
    <t>Acta N� 179-2023-PROC (Gerencia de Administraci�n)</t>
  </si>
  <si>
    <t>Reuniones de Prevencion de Fraude</t>
  </si>
  <si>
    <t>IN-23.2-08</t>
  </si>
  <si>
    <t>Configuración de RPA o Programación de Tareas</t>
  </si>
  <si>
    <t>IN-16.1-11</t>
  </si>
  <si>
    <t>Elegibilidad asignación y otorgamiento de fondo IMPULSO MYPERU</t>
  </si>
  <si>
    <t>IN-6.4-09</t>
  </si>
  <si>
    <t xml:space="preserve">N� 195 -2023-PROC </t>
  </si>
  <si>
    <t>Supervisor Regional de Calidad y Tecnología Crediticia</t>
  </si>
  <si>
    <t>MO-CTCR04</t>
  </si>
  <si>
    <t>Seguimiento a las recomendaciones de servicio al cliente originados por reclamos</t>
  </si>
  <si>
    <t>IN-10.3-02</t>
  </si>
  <si>
    <t>Administración de indicadores y envío de información a la SBS</t>
  </si>
  <si>
    <t>IN-10.3-03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</si>
</sst>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name val="Calibri"/>
    </font>
    <font>
      <b/>
      <sz val="26"/>
      <color rgb="FF002852"/>
      <name val="Arial"/>
    </font>
    <font>
      <b/>
      <sz val="11"/>
      <color rgb="FFFFFFFF"/>
      <name val="Arial"/>
    </font>
    <font>
      <sz val="10"/>
      <name val="Arial"/>
    </font>
    <font>
      <sz val="13"/>
      <name val="Calibri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285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0" fillId="2" borderId="0" xfId="0" applyNumberFormat="1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0" fontId="0" fillId="2" borderId="0" xfId="0" applyNumberFormat="1" applyFont="1" applyFill="1" applyAlignment="1">
      <alignment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1238250</xdr:colOff>
      <xdr:row>2</xdr:row>
      <xdr:rowOff>180975</xdr:rowOff>
    </xdr:to>
    <xdr:pic>
      <xdr:nvPicPr>
        <xdr:cNvPr id="2" name="CompH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</xdr:row>
      <xdr:rowOff>0</xdr:rowOff>
    </xdr:from>
    <xdr:to>
      <xdr:col>2</xdr:col>
      <xdr:colOff>152400</xdr:colOff>
      <xdr:row>2</xdr:row>
      <xdr:rowOff>180975</xdr:rowOff>
    </xdr:to>
    <xdr:pic>
      <xdr:nvPicPr>
        <xdr:cNvPr id="3" name="CompHd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861060</xdr:colOff>
      <xdr:row>0</xdr:row>
      <xdr:rowOff>160020</xdr:rowOff>
    </xdr:from>
    <xdr:to>
      <xdr:col>8</xdr:col>
      <xdr:colOff>91440</xdr:colOff>
      <xdr:row>2</xdr:row>
      <xdr:rowOff>7620</xdr:rowOff>
    </xdr:to>
    <xdr:sp macro="" textlink="">
      <xdr:nvSpPr>
        <xdr:cNvPr id="4" name="Rectángulo 3"/>
        <xdr:cNvSpPr/>
      </xdr:nvSpPr>
      <xdr:spPr>
        <a:xfrm>
          <a:off x="8542020" y="160020"/>
          <a:ext cx="1424940" cy="4343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Filtrar</a:t>
          </a:r>
          <a:r>
            <a:rPr lang="es-PE" sz="1100" baseline="0"/>
            <a:t> los eliminados (es decir quitarlos)</a:t>
          </a:r>
          <a:endParaRPr lang="es-PE" sz="1100"/>
        </a:p>
      </xdr:txBody>
    </xdr:sp>
    <xdr:clientData/>
  </xdr:twoCellAnchor>
  <xdr:twoCellAnchor>
    <xdr:from>
      <xdr:col>7</xdr:col>
      <xdr:colOff>281940</xdr:colOff>
      <xdr:row>2</xdr:row>
      <xdr:rowOff>91440</xdr:rowOff>
    </xdr:from>
    <xdr:to>
      <xdr:col>7</xdr:col>
      <xdr:colOff>746760</xdr:colOff>
      <xdr:row>4</xdr:row>
      <xdr:rowOff>91440</xdr:rowOff>
    </xdr:to>
    <xdr:sp macro="" textlink="">
      <xdr:nvSpPr>
        <xdr:cNvPr id="5" name="Flecha abajo 4"/>
        <xdr:cNvSpPr/>
      </xdr:nvSpPr>
      <xdr:spPr>
        <a:xfrm>
          <a:off x="9060180" y="678180"/>
          <a:ext cx="464820" cy="365760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381000</xdr:colOff>
      <xdr:row>2</xdr:row>
      <xdr:rowOff>83820</xdr:rowOff>
    </xdr:from>
    <xdr:to>
      <xdr:col>8</xdr:col>
      <xdr:colOff>845820</xdr:colOff>
      <xdr:row>4</xdr:row>
      <xdr:rowOff>83820</xdr:rowOff>
    </xdr:to>
    <xdr:sp macro="" textlink="">
      <xdr:nvSpPr>
        <xdr:cNvPr id="6" name="Flecha abajo 5"/>
        <xdr:cNvSpPr/>
      </xdr:nvSpPr>
      <xdr:spPr>
        <a:xfrm>
          <a:off x="10256520" y="67056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152400</xdr:colOff>
      <xdr:row>0</xdr:row>
      <xdr:rowOff>152400</xdr:rowOff>
    </xdr:from>
    <xdr:to>
      <xdr:col>8</xdr:col>
      <xdr:colOff>1013460</xdr:colOff>
      <xdr:row>2</xdr:row>
      <xdr:rowOff>0</xdr:rowOff>
    </xdr:to>
    <xdr:sp macro="" textlink="">
      <xdr:nvSpPr>
        <xdr:cNvPr id="7" name="Rectángulo 6"/>
        <xdr:cNvSpPr/>
      </xdr:nvSpPr>
      <xdr:spPr>
        <a:xfrm>
          <a:off x="10027920" y="152400"/>
          <a:ext cx="8610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</a:t>
          </a:r>
        </a:p>
      </xdr:txBody>
    </xdr:sp>
    <xdr:clientData/>
  </xdr:twoCellAnchor>
  <xdr:twoCellAnchor>
    <xdr:from>
      <xdr:col>9</xdr:col>
      <xdr:colOff>342900</xdr:colOff>
      <xdr:row>2</xdr:row>
      <xdr:rowOff>106680</xdr:rowOff>
    </xdr:from>
    <xdr:to>
      <xdr:col>9</xdr:col>
      <xdr:colOff>807720</xdr:colOff>
      <xdr:row>4</xdr:row>
      <xdr:rowOff>106680</xdr:rowOff>
    </xdr:to>
    <xdr:sp macro="" textlink="">
      <xdr:nvSpPr>
        <xdr:cNvPr id="8" name="Flecha abajo 7"/>
        <xdr:cNvSpPr/>
      </xdr:nvSpPr>
      <xdr:spPr>
        <a:xfrm>
          <a:off x="11452860" y="69342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114300</xdr:colOff>
      <xdr:row>0</xdr:row>
      <xdr:rowOff>175260</xdr:rowOff>
    </xdr:from>
    <xdr:to>
      <xdr:col>9</xdr:col>
      <xdr:colOff>975360</xdr:colOff>
      <xdr:row>2</xdr:row>
      <xdr:rowOff>22860</xdr:rowOff>
    </xdr:to>
    <xdr:sp macro="" textlink="">
      <xdr:nvSpPr>
        <xdr:cNvPr id="9" name="Rectángulo 8"/>
        <xdr:cNvSpPr/>
      </xdr:nvSpPr>
      <xdr:spPr>
        <a:xfrm>
          <a:off x="11224260" y="175260"/>
          <a:ext cx="8610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</a:t>
          </a:r>
        </a:p>
      </xdr:txBody>
    </xdr:sp>
    <xdr:clientData/>
  </xdr:twoCellAnchor>
  <xdr:twoCellAnchor>
    <xdr:from>
      <xdr:col>12</xdr:col>
      <xdr:colOff>594360</xdr:colOff>
      <xdr:row>2</xdr:row>
      <xdr:rowOff>129540</xdr:rowOff>
    </xdr:from>
    <xdr:to>
      <xdr:col>12</xdr:col>
      <xdr:colOff>1059180</xdr:colOff>
      <xdr:row>4</xdr:row>
      <xdr:rowOff>129540</xdr:rowOff>
    </xdr:to>
    <xdr:sp macro="" textlink="">
      <xdr:nvSpPr>
        <xdr:cNvPr id="10" name="Flecha abajo 9"/>
        <xdr:cNvSpPr/>
      </xdr:nvSpPr>
      <xdr:spPr>
        <a:xfrm>
          <a:off x="16984980" y="71628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365760</xdr:colOff>
      <xdr:row>1</xdr:row>
      <xdr:rowOff>15240</xdr:rowOff>
    </xdr:from>
    <xdr:to>
      <xdr:col>12</xdr:col>
      <xdr:colOff>1226820</xdr:colOff>
      <xdr:row>2</xdr:row>
      <xdr:rowOff>45720</xdr:rowOff>
    </xdr:to>
    <xdr:sp macro="" textlink="">
      <xdr:nvSpPr>
        <xdr:cNvPr id="11" name="Rectángulo 10"/>
        <xdr:cNvSpPr/>
      </xdr:nvSpPr>
      <xdr:spPr>
        <a:xfrm>
          <a:off x="16756380" y="198120"/>
          <a:ext cx="8610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</a:t>
          </a:r>
        </a:p>
      </xdr:txBody>
    </xdr:sp>
    <xdr:clientData/>
  </xdr:twoCellAnchor>
  <xdr:twoCellAnchor>
    <xdr:from>
      <xdr:col>13</xdr:col>
      <xdr:colOff>358140</xdr:colOff>
      <xdr:row>2</xdr:row>
      <xdr:rowOff>114300</xdr:rowOff>
    </xdr:from>
    <xdr:to>
      <xdr:col>13</xdr:col>
      <xdr:colOff>822960</xdr:colOff>
      <xdr:row>4</xdr:row>
      <xdr:rowOff>114300</xdr:rowOff>
    </xdr:to>
    <xdr:sp macro="" textlink="">
      <xdr:nvSpPr>
        <xdr:cNvPr id="12" name="Flecha abajo 11"/>
        <xdr:cNvSpPr/>
      </xdr:nvSpPr>
      <xdr:spPr>
        <a:xfrm>
          <a:off x="18463260" y="70104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129540</xdr:colOff>
      <xdr:row>1</xdr:row>
      <xdr:rowOff>0</xdr:rowOff>
    </xdr:from>
    <xdr:to>
      <xdr:col>13</xdr:col>
      <xdr:colOff>990600</xdr:colOff>
      <xdr:row>2</xdr:row>
      <xdr:rowOff>30480</xdr:rowOff>
    </xdr:to>
    <xdr:sp macro="" textlink="">
      <xdr:nvSpPr>
        <xdr:cNvPr id="13" name="Rectángulo 12"/>
        <xdr:cNvSpPr/>
      </xdr:nvSpPr>
      <xdr:spPr>
        <a:xfrm>
          <a:off x="18234660" y="182880"/>
          <a:ext cx="8610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</a:t>
          </a:r>
        </a:p>
      </xdr:txBody>
    </xdr:sp>
    <xdr:clientData/>
  </xdr:twoCellAnchor>
  <xdr:twoCellAnchor>
    <xdr:from>
      <xdr:col>16</xdr:col>
      <xdr:colOff>601980</xdr:colOff>
      <xdr:row>2</xdr:row>
      <xdr:rowOff>106680</xdr:rowOff>
    </xdr:from>
    <xdr:to>
      <xdr:col>16</xdr:col>
      <xdr:colOff>1066800</xdr:colOff>
      <xdr:row>4</xdr:row>
      <xdr:rowOff>106680</xdr:rowOff>
    </xdr:to>
    <xdr:sp macro="" textlink="">
      <xdr:nvSpPr>
        <xdr:cNvPr id="14" name="Flecha abajo 13"/>
        <xdr:cNvSpPr/>
      </xdr:nvSpPr>
      <xdr:spPr>
        <a:xfrm>
          <a:off x="22616160" y="69342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45720</xdr:colOff>
      <xdr:row>0</xdr:row>
      <xdr:rowOff>160020</xdr:rowOff>
    </xdr:from>
    <xdr:to>
      <xdr:col>16</xdr:col>
      <xdr:colOff>1592580</xdr:colOff>
      <xdr:row>2</xdr:row>
      <xdr:rowOff>7620</xdr:rowOff>
    </xdr:to>
    <xdr:sp macro="" textlink="">
      <xdr:nvSpPr>
        <xdr:cNvPr id="15" name="Rectángulo 14"/>
        <xdr:cNvSpPr/>
      </xdr:nvSpPr>
      <xdr:spPr>
        <a:xfrm>
          <a:off x="22059900" y="160020"/>
          <a:ext cx="15468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 y dejar solo la ultima actualizacion</a:t>
          </a:r>
        </a:p>
      </xdr:txBody>
    </xdr:sp>
    <xdr:clientData/>
  </xdr:twoCellAnchor>
  <xdr:twoCellAnchor>
    <xdr:from>
      <xdr:col>17</xdr:col>
      <xdr:colOff>175260</xdr:colOff>
      <xdr:row>0</xdr:row>
      <xdr:rowOff>167640</xdr:rowOff>
    </xdr:from>
    <xdr:to>
      <xdr:col>18</xdr:col>
      <xdr:colOff>624840</xdr:colOff>
      <xdr:row>3</xdr:row>
      <xdr:rowOff>76200</xdr:rowOff>
    </xdr:to>
    <xdr:sp macro="" textlink="">
      <xdr:nvSpPr>
        <xdr:cNvPr id="16" name="Rectángulo 15"/>
        <xdr:cNvSpPr/>
      </xdr:nvSpPr>
      <xdr:spPr>
        <a:xfrm>
          <a:off x="23903940" y="167640"/>
          <a:ext cx="1546860" cy="67818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/>
            <a:t>Arreglar  este caracter � </a:t>
          </a:r>
        </a:p>
      </xdr:txBody>
    </xdr:sp>
    <xdr:clientData/>
  </xdr:twoCellAnchor>
  <xdr:twoCellAnchor>
    <xdr:from>
      <xdr:col>5</xdr:col>
      <xdr:colOff>358140</xdr:colOff>
      <xdr:row>2</xdr:row>
      <xdr:rowOff>99060</xdr:rowOff>
    </xdr:from>
    <xdr:to>
      <xdr:col>5</xdr:col>
      <xdr:colOff>822960</xdr:colOff>
      <xdr:row>4</xdr:row>
      <xdr:rowOff>99060</xdr:rowOff>
    </xdr:to>
    <xdr:sp macro="" textlink="">
      <xdr:nvSpPr>
        <xdr:cNvPr id="17" name="Flecha abajo 16"/>
        <xdr:cNvSpPr/>
      </xdr:nvSpPr>
      <xdr:spPr>
        <a:xfrm>
          <a:off x="6941820" y="685800"/>
          <a:ext cx="464820" cy="3657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129540</xdr:colOff>
      <xdr:row>0</xdr:row>
      <xdr:rowOff>167640</xdr:rowOff>
    </xdr:from>
    <xdr:to>
      <xdr:col>5</xdr:col>
      <xdr:colOff>990600</xdr:colOff>
      <xdr:row>2</xdr:row>
      <xdr:rowOff>15240</xdr:rowOff>
    </xdr:to>
    <xdr:sp macro="" textlink="">
      <xdr:nvSpPr>
        <xdr:cNvPr id="18" name="Rectángulo 17"/>
        <xdr:cNvSpPr/>
      </xdr:nvSpPr>
      <xdr:spPr>
        <a:xfrm>
          <a:off x="6713220" y="167640"/>
          <a:ext cx="861060" cy="43434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</a:t>
          </a:r>
        </a:p>
      </xdr:txBody>
    </xdr:sp>
    <xdr:clientData/>
  </xdr:twoCellAnchor>
  <xdr:twoCellAnchor>
    <xdr:from>
      <xdr:col>2</xdr:col>
      <xdr:colOff>240030</xdr:colOff>
      <xdr:row>0</xdr:row>
      <xdr:rowOff>171450</xdr:rowOff>
    </xdr:from>
    <xdr:to>
      <xdr:col>2</xdr:col>
      <xdr:colOff>605790</xdr:colOff>
      <xdr:row>2</xdr:row>
      <xdr:rowOff>49530</xdr:rowOff>
    </xdr:to>
    <xdr:sp macro="" textlink="">
      <xdr:nvSpPr>
        <xdr:cNvPr id="19" name="Flecha abajo 18"/>
        <xdr:cNvSpPr/>
      </xdr:nvSpPr>
      <xdr:spPr>
        <a:xfrm rot="5400000">
          <a:off x="2933700" y="220980"/>
          <a:ext cx="464820" cy="365760"/>
        </a:xfrm>
        <a:prstGeom prst="downArrow">
          <a:avLst>
            <a:gd name="adj1" fmla="val 50000"/>
            <a:gd name="adj2" fmla="val 54167"/>
          </a:avLst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693420</xdr:colOff>
      <xdr:row>0</xdr:row>
      <xdr:rowOff>160020</xdr:rowOff>
    </xdr:from>
    <xdr:to>
      <xdr:col>3</xdr:col>
      <xdr:colOff>571500</xdr:colOff>
      <xdr:row>2</xdr:row>
      <xdr:rowOff>53340</xdr:rowOff>
    </xdr:to>
    <xdr:sp macro="" textlink="">
      <xdr:nvSpPr>
        <xdr:cNvPr id="20" name="Rectángulo 19"/>
        <xdr:cNvSpPr/>
      </xdr:nvSpPr>
      <xdr:spPr>
        <a:xfrm>
          <a:off x="3436620" y="160020"/>
          <a:ext cx="1249680" cy="480060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Eliminar el logo repetido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3"/>
  <sheetViews>
    <sheetView tabSelected="1" zoomScale="55" zoomScaleNormal="55" workbookViewId="0">
      <selection activeCell="A4" sqref="A4"/>
    </sheetView>
  </sheetViews>
  <sheetFormatPr baseColWidth="10" defaultColWidth="8.88671875" defaultRowHeight="14.4" x14ac:dyDescent="0.3"/>
  <cols>
    <col min="1" max="3" width="20" style="1" customWidth="1"/>
    <col min="4" max="5" width="18" style="1" customWidth="1"/>
    <col min="6" max="8" width="16" style="1" customWidth="1"/>
    <col min="9" max="11" width="18" style="1" customWidth="1"/>
    <col min="12" max="12" width="41" style="1" customWidth="1"/>
    <col min="13" max="13" width="25" style="1" customWidth="1"/>
    <col min="14" max="14" width="16" style="1" customWidth="1"/>
    <col min="15" max="15" width="25" style="1" customWidth="1"/>
    <col min="16" max="16" width="16" style="1" customWidth="1"/>
    <col min="17" max="17" width="25" style="1" customWidth="1"/>
    <col min="18" max="18" width="16" style="1" customWidth="1"/>
    <col min="19" max="19" width="25" style="1" customWidth="1"/>
    <col min="20" max="20" width="16" style="1" customWidth="1"/>
    <col min="21" max="21" width="25" style="1" customWidth="1"/>
    <col min="22" max="22" width="16" style="1" customWidth="1"/>
    <col min="23" max="23" width="25" style="1" customWidth="1"/>
    <col min="24" max="24" width="16" style="1" customWidth="1"/>
    <col min="25" max="25" width="25" style="1" customWidth="1"/>
    <col min="26" max="26" width="16" style="1" customWidth="1"/>
    <col min="27" max="27" width="25" style="1" customWidth="1"/>
  </cols>
  <sheetData>
    <row r="1" spans="1:2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9" ht="31.95" customHeight="1" x14ac:dyDescent="0.3">
      <c r="A2" s="2"/>
      <c r="B2" s="2"/>
      <c r="C2" s="6" t="s">
        <v>0</v>
      </c>
      <c r="D2" s="7"/>
      <c r="E2" s="7"/>
      <c r="F2" s="7"/>
      <c r="G2" s="7"/>
      <c r="H2" s="7"/>
      <c r="I2" s="7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9" ht="46.05" customHeight="1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8" t="s">
        <v>6</v>
      </c>
      <c r="G6" s="3" t="s">
        <v>7</v>
      </c>
      <c r="H6" s="10" t="s">
        <v>8</v>
      </c>
      <c r="I6" s="8" t="s">
        <v>9</v>
      </c>
      <c r="J6" s="8" t="s">
        <v>10</v>
      </c>
      <c r="K6" s="3" t="s">
        <v>11</v>
      </c>
      <c r="L6" s="3" t="s">
        <v>12</v>
      </c>
      <c r="M6" s="8" t="s">
        <v>13</v>
      </c>
      <c r="N6" s="8" t="s">
        <v>14</v>
      </c>
      <c r="O6" s="3" t="s">
        <v>15</v>
      </c>
      <c r="P6" s="3" t="s">
        <v>16</v>
      </c>
      <c r="Q6" s="8" t="s">
        <v>15</v>
      </c>
      <c r="R6" s="8" t="s">
        <v>16</v>
      </c>
      <c r="S6" s="8" t="s">
        <v>15</v>
      </c>
      <c r="T6" s="8" t="s">
        <v>16</v>
      </c>
      <c r="U6" s="8" t="s">
        <v>15</v>
      </c>
      <c r="V6" s="8" t="s">
        <v>16</v>
      </c>
      <c r="W6" s="8" t="s">
        <v>15</v>
      </c>
      <c r="X6" s="8" t="s">
        <v>16</v>
      </c>
      <c r="Y6" s="8" t="s">
        <v>15</v>
      </c>
      <c r="Z6" s="8" t="s">
        <v>16</v>
      </c>
      <c r="AA6" s="8" t="s">
        <v>15</v>
      </c>
      <c r="AB6" s="9" t="s">
        <v>16</v>
      </c>
      <c r="AC6" s="9" t="s">
        <v>15</v>
      </c>
    </row>
    <row r="7" spans="1:29" ht="55.05" customHeight="1" x14ac:dyDescent="0.3">
      <c r="A7" s="4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25</v>
      </c>
      <c r="K7" s="4" t="s">
        <v>26</v>
      </c>
      <c r="L7" s="4" t="s">
        <v>27</v>
      </c>
      <c r="O7" s="11" t="s">
        <v>28</v>
      </c>
      <c r="P7" s="5">
        <f>DATE(2023,10,9)</f>
        <v>45208</v>
      </c>
      <c r="Q7" s="4" t="s">
        <v>29</v>
      </c>
      <c r="R7" s="5">
        <f>DATE(2018,3,20)</f>
        <v>43179</v>
      </c>
    </row>
    <row r="8" spans="1:29" ht="55.05" customHeight="1" x14ac:dyDescent="0.3">
      <c r="A8" s="4" t="s">
        <v>17</v>
      </c>
      <c r="B8" s="4" t="s">
        <v>18</v>
      </c>
      <c r="C8" s="4" t="s">
        <v>19</v>
      </c>
      <c r="D8" s="4" t="s">
        <v>20</v>
      </c>
      <c r="E8" s="4" t="s">
        <v>30</v>
      </c>
      <c r="F8" s="4" t="s">
        <v>22</v>
      </c>
      <c r="G8" s="4" t="s">
        <v>31</v>
      </c>
      <c r="H8" s="4" t="s">
        <v>32</v>
      </c>
      <c r="I8" s="4" t="s">
        <v>33</v>
      </c>
      <c r="K8" s="4" t="s">
        <v>26</v>
      </c>
      <c r="L8" s="4" t="s">
        <v>34</v>
      </c>
      <c r="O8" s="4" t="s">
        <v>35</v>
      </c>
      <c r="P8" s="5">
        <f>DATE(2020,7,21)</f>
        <v>44033</v>
      </c>
    </row>
    <row r="9" spans="1:29" ht="55.05" customHeight="1" x14ac:dyDescent="0.3">
      <c r="A9" s="4" t="s">
        <v>17</v>
      </c>
      <c r="B9" s="4" t="s">
        <v>18</v>
      </c>
      <c r="C9" s="4" t="s">
        <v>19</v>
      </c>
      <c r="D9" s="4" t="s">
        <v>20</v>
      </c>
      <c r="E9" s="4" t="s">
        <v>30</v>
      </c>
      <c r="F9" s="4" t="s">
        <v>22</v>
      </c>
      <c r="G9" s="4" t="s">
        <v>36</v>
      </c>
      <c r="H9" s="4" t="s">
        <v>37</v>
      </c>
      <c r="I9" s="4" t="s">
        <v>25</v>
      </c>
      <c r="K9" s="4" t="s">
        <v>26</v>
      </c>
      <c r="L9" s="4" t="s">
        <v>38</v>
      </c>
      <c r="O9" s="4" t="s">
        <v>39</v>
      </c>
      <c r="P9" s="5">
        <f>DATE(2022,3,22)</f>
        <v>44642</v>
      </c>
    </row>
    <row r="10" spans="1:29" ht="55.05" customHeight="1" x14ac:dyDescent="0.3">
      <c r="A10" s="4" t="s">
        <v>17</v>
      </c>
      <c r="B10" s="4" t="s">
        <v>18</v>
      </c>
      <c r="C10" s="4" t="s">
        <v>40</v>
      </c>
      <c r="D10" s="4" t="s">
        <v>20</v>
      </c>
      <c r="E10" s="4" t="s">
        <v>41</v>
      </c>
      <c r="F10" s="4" t="s">
        <v>42</v>
      </c>
      <c r="G10" s="4" t="s">
        <v>43</v>
      </c>
      <c r="H10" s="4" t="s">
        <v>32</v>
      </c>
      <c r="I10" s="4" t="s">
        <v>25</v>
      </c>
      <c r="K10" s="4" t="s">
        <v>26</v>
      </c>
      <c r="L10" s="4" t="s">
        <v>44</v>
      </c>
      <c r="O10" s="4" t="s">
        <v>35</v>
      </c>
      <c r="P10" s="5">
        <f>DATE(2020,7,21)</f>
        <v>44033</v>
      </c>
    </row>
    <row r="11" spans="1:29" ht="55.05" customHeight="1" x14ac:dyDescent="0.3">
      <c r="A11" s="4" t="s">
        <v>17</v>
      </c>
      <c r="B11" s="4" t="s">
        <v>18</v>
      </c>
      <c r="C11" s="4" t="s">
        <v>40</v>
      </c>
      <c r="D11" s="4" t="s">
        <v>20</v>
      </c>
      <c r="E11" s="4" t="s">
        <v>45</v>
      </c>
      <c r="F11" s="4" t="s">
        <v>42</v>
      </c>
      <c r="G11" s="4" t="s">
        <v>46</v>
      </c>
      <c r="H11" s="4" t="s">
        <v>24</v>
      </c>
      <c r="I11" s="4" t="s">
        <v>25</v>
      </c>
      <c r="K11" s="4" t="s">
        <v>26</v>
      </c>
      <c r="L11" s="4" t="s">
        <v>47</v>
      </c>
      <c r="O11" s="4" t="s">
        <v>48</v>
      </c>
      <c r="P11" s="5">
        <f>DATE(2023,8,22)</f>
        <v>45160</v>
      </c>
      <c r="Q11" s="4" t="s">
        <v>49</v>
      </c>
      <c r="R11" s="5">
        <f>DATE(2023,6,27)</f>
        <v>45104</v>
      </c>
      <c r="S11" s="11" t="s">
        <v>50</v>
      </c>
      <c r="T11" s="5">
        <f>DATE(2023,5,23)</f>
        <v>45069</v>
      </c>
      <c r="U11" s="4" t="s">
        <v>51</v>
      </c>
      <c r="V11" s="5">
        <f>DATE(2023,2,21)</f>
        <v>44978</v>
      </c>
      <c r="W11" s="4" t="s">
        <v>52</v>
      </c>
      <c r="X11" s="5">
        <f>DATE(2022,2,22)</f>
        <v>44614</v>
      </c>
      <c r="Y11" s="4" t="s">
        <v>53</v>
      </c>
      <c r="Z11" s="5">
        <f>DATE(2021,12,21)</f>
        <v>44551</v>
      </c>
    </row>
    <row r="12" spans="1:29" ht="55.05" customHeight="1" x14ac:dyDescent="0.3">
      <c r="A12" s="4" t="s">
        <v>17</v>
      </c>
      <c r="B12" s="4" t="s">
        <v>18</v>
      </c>
      <c r="C12" s="4" t="s">
        <v>40</v>
      </c>
      <c r="D12" s="4" t="s">
        <v>20</v>
      </c>
      <c r="E12" s="4" t="s">
        <v>45</v>
      </c>
      <c r="F12" s="4" t="s">
        <v>42</v>
      </c>
      <c r="G12" s="4" t="s">
        <v>54</v>
      </c>
      <c r="H12" s="4" t="s">
        <v>24</v>
      </c>
      <c r="I12" s="4" t="s">
        <v>25</v>
      </c>
      <c r="K12" s="4" t="s">
        <v>26</v>
      </c>
      <c r="L12" s="4" t="s">
        <v>55</v>
      </c>
      <c r="O12" s="4" t="s">
        <v>51</v>
      </c>
      <c r="P12" s="5">
        <f>DATE(2023,2,21)</f>
        <v>44978</v>
      </c>
      <c r="Q12" s="4" t="s">
        <v>56</v>
      </c>
      <c r="R12" s="5">
        <f>DATE(2022,3,22)</f>
        <v>44642</v>
      </c>
      <c r="S12" s="4" t="s">
        <v>57</v>
      </c>
      <c r="T12" s="5">
        <f>DATE(2020,11,24)</f>
        <v>44159</v>
      </c>
    </row>
    <row r="13" spans="1:29" ht="55.05" customHeight="1" x14ac:dyDescent="0.3">
      <c r="A13" s="4" t="s">
        <v>17</v>
      </c>
      <c r="B13" s="4" t="s">
        <v>18</v>
      </c>
      <c r="C13" s="4" t="s">
        <v>40</v>
      </c>
      <c r="D13" s="4" t="s">
        <v>58</v>
      </c>
      <c r="E13" s="4" t="s">
        <v>59</v>
      </c>
      <c r="F13" s="4" t="s">
        <v>42</v>
      </c>
      <c r="G13" s="4" t="s">
        <v>60</v>
      </c>
      <c r="H13" s="4" t="s">
        <v>24</v>
      </c>
      <c r="I13" s="4" t="s">
        <v>25</v>
      </c>
      <c r="K13" s="4" t="s">
        <v>26</v>
      </c>
      <c r="L13" s="4" t="s">
        <v>61</v>
      </c>
      <c r="O13" s="4" t="s">
        <v>62</v>
      </c>
      <c r="P13" s="5">
        <f>DATE(2023,11,27)</f>
        <v>45257</v>
      </c>
      <c r="Q13" s="4" t="s">
        <v>63</v>
      </c>
      <c r="R13" s="5">
        <f>DATE(2022,10,25)</f>
        <v>44859</v>
      </c>
      <c r="S13" s="4" t="s">
        <v>56</v>
      </c>
      <c r="T13" s="5">
        <f>DATE(2022,3,22)</f>
        <v>44642</v>
      </c>
      <c r="U13" s="4" t="s">
        <v>35</v>
      </c>
      <c r="V13" s="5">
        <f>DATE(2020,7,21)</f>
        <v>44033</v>
      </c>
    </row>
    <row r="14" spans="1:29" ht="55.05" customHeight="1" x14ac:dyDescent="0.3">
      <c r="A14" s="4" t="s">
        <v>17</v>
      </c>
      <c r="B14" s="4" t="s">
        <v>64</v>
      </c>
      <c r="C14" s="4" t="s">
        <v>65</v>
      </c>
      <c r="D14" s="4" t="s">
        <v>66</v>
      </c>
      <c r="E14" s="4" t="s">
        <v>67</v>
      </c>
      <c r="F14" s="4" t="s">
        <v>22</v>
      </c>
      <c r="G14" s="4" t="s">
        <v>68</v>
      </c>
      <c r="H14" s="4" t="s">
        <v>32</v>
      </c>
      <c r="I14" s="4" t="s">
        <v>33</v>
      </c>
      <c r="K14" s="4" t="s">
        <v>26</v>
      </c>
      <c r="L14" s="4" t="s">
        <v>69</v>
      </c>
      <c r="O14" s="4" t="s">
        <v>70</v>
      </c>
      <c r="P14" s="5">
        <f>DATE(2013,10,30)</f>
        <v>41577</v>
      </c>
    </row>
    <row r="15" spans="1:29" ht="55.05" customHeight="1" x14ac:dyDescent="0.3">
      <c r="A15" s="4" t="s">
        <v>17</v>
      </c>
      <c r="B15" s="4" t="s">
        <v>64</v>
      </c>
      <c r="C15" s="4" t="s">
        <v>65</v>
      </c>
      <c r="D15" s="4" t="s">
        <v>66</v>
      </c>
      <c r="E15" s="4" t="s">
        <v>67</v>
      </c>
      <c r="F15" s="4" t="s">
        <v>22</v>
      </c>
      <c r="G15" s="4" t="s">
        <v>71</v>
      </c>
      <c r="H15" s="4" t="s">
        <v>37</v>
      </c>
      <c r="I15" s="4" t="s">
        <v>25</v>
      </c>
      <c r="K15" s="4" t="s">
        <v>26</v>
      </c>
      <c r="L15" s="4" t="s">
        <v>72</v>
      </c>
      <c r="O15" s="4" t="s">
        <v>73</v>
      </c>
      <c r="P15" s="5">
        <f>DATE(2022,6,28)</f>
        <v>44740</v>
      </c>
      <c r="Q15" s="4" t="s">
        <v>74</v>
      </c>
      <c r="R15" s="5">
        <f>DATE(2021,12,21)</f>
        <v>44551</v>
      </c>
    </row>
    <row r="16" spans="1:29" ht="55.05" customHeight="1" x14ac:dyDescent="0.3">
      <c r="A16" s="4" t="s">
        <v>17</v>
      </c>
      <c r="B16" s="4" t="s">
        <v>64</v>
      </c>
      <c r="C16" s="4" t="s">
        <v>75</v>
      </c>
      <c r="D16" s="4" t="s">
        <v>20</v>
      </c>
      <c r="E16" s="4" t="s">
        <v>76</v>
      </c>
      <c r="F16" s="4" t="s">
        <v>42</v>
      </c>
      <c r="G16" s="4" t="s">
        <v>77</v>
      </c>
      <c r="H16" s="4" t="s">
        <v>24</v>
      </c>
      <c r="I16" s="4" t="s">
        <v>25</v>
      </c>
      <c r="K16" s="4" t="s">
        <v>78</v>
      </c>
      <c r="L16" s="4" t="s">
        <v>79</v>
      </c>
      <c r="M16" s="4" t="s">
        <v>25</v>
      </c>
      <c r="N16" s="5">
        <f>DATE(2022,11,8)</f>
        <v>44873</v>
      </c>
      <c r="O16" s="4" t="s">
        <v>80</v>
      </c>
      <c r="P16" s="5">
        <f>DATE(2020,4,30)</f>
        <v>43951</v>
      </c>
    </row>
    <row r="17" spans="1:18" ht="55.05" customHeight="1" x14ac:dyDescent="0.3">
      <c r="A17" s="4" t="s">
        <v>17</v>
      </c>
      <c r="B17" s="4" t="s">
        <v>81</v>
      </c>
      <c r="C17" s="4" t="s">
        <v>82</v>
      </c>
      <c r="D17" s="4" t="s">
        <v>20</v>
      </c>
      <c r="E17" s="4" t="s">
        <v>83</v>
      </c>
      <c r="F17" s="4" t="s">
        <v>84</v>
      </c>
      <c r="G17" s="4" t="s">
        <v>85</v>
      </c>
      <c r="H17" s="4" t="s">
        <v>24</v>
      </c>
      <c r="I17" s="4" t="s">
        <v>25</v>
      </c>
      <c r="K17" s="4" t="s">
        <v>26</v>
      </c>
      <c r="L17" s="4" t="s">
        <v>86</v>
      </c>
      <c r="M17" s="4" t="s">
        <v>87</v>
      </c>
      <c r="N17" s="5">
        <f>DATE(2022,7,25)</f>
        <v>44767</v>
      </c>
      <c r="O17" s="4" t="s">
        <v>88</v>
      </c>
      <c r="P17" s="5">
        <f>DATE(2019,7,1)</f>
        <v>43647</v>
      </c>
    </row>
    <row r="18" spans="1:18" ht="55.05" customHeight="1" x14ac:dyDescent="0.3">
      <c r="A18" s="4" t="s">
        <v>17</v>
      </c>
      <c r="B18" s="4" t="s">
        <v>81</v>
      </c>
      <c r="C18" s="4" t="s">
        <v>82</v>
      </c>
      <c r="D18" s="4" t="s">
        <v>20</v>
      </c>
      <c r="E18" s="4" t="s">
        <v>89</v>
      </c>
      <c r="F18" s="4" t="s">
        <v>84</v>
      </c>
      <c r="G18" s="4" t="s">
        <v>90</v>
      </c>
      <c r="H18" s="4" t="s">
        <v>24</v>
      </c>
      <c r="I18" s="4" t="s">
        <v>25</v>
      </c>
      <c r="K18" s="4" t="s">
        <v>26</v>
      </c>
      <c r="L18" s="4" t="s">
        <v>91</v>
      </c>
      <c r="M18" s="4" t="s">
        <v>92</v>
      </c>
      <c r="N18" s="5">
        <f>DATE(2022,8,16)</f>
        <v>44789</v>
      </c>
      <c r="O18" s="4" t="s">
        <v>93</v>
      </c>
      <c r="P18" s="5">
        <f>DATE(2020,7,7)</f>
        <v>44019</v>
      </c>
    </row>
    <row r="19" spans="1:18" ht="55.05" customHeight="1" x14ac:dyDescent="0.3">
      <c r="A19" s="4" t="s">
        <v>17</v>
      </c>
      <c r="B19" s="4" t="s">
        <v>81</v>
      </c>
      <c r="C19" s="4" t="s">
        <v>94</v>
      </c>
      <c r="D19" s="4" t="s">
        <v>20</v>
      </c>
      <c r="E19" s="4" t="s">
        <v>95</v>
      </c>
      <c r="F19" s="4" t="s">
        <v>96</v>
      </c>
      <c r="G19" s="4" t="s">
        <v>97</v>
      </c>
      <c r="H19" s="4" t="s">
        <v>24</v>
      </c>
      <c r="I19" s="4" t="s">
        <v>25</v>
      </c>
      <c r="K19" s="4" t="s">
        <v>26</v>
      </c>
      <c r="L19" s="4" t="s">
        <v>98</v>
      </c>
      <c r="M19" s="4" t="s">
        <v>99</v>
      </c>
      <c r="N19" s="5">
        <f>DATE(2022,3,9)</f>
        <v>44629</v>
      </c>
      <c r="O19" s="4" t="s">
        <v>100</v>
      </c>
      <c r="P19" s="5">
        <f>DATE(2020,7,21)</f>
        <v>44033</v>
      </c>
    </row>
    <row r="20" spans="1:18" ht="55.05" customHeight="1" x14ac:dyDescent="0.3">
      <c r="A20" s="4" t="s">
        <v>17</v>
      </c>
      <c r="B20" s="4" t="s">
        <v>81</v>
      </c>
      <c r="C20" s="4" t="s">
        <v>94</v>
      </c>
      <c r="D20" s="4" t="s">
        <v>20</v>
      </c>
      <c r="E20" s="4" t="s">
        <v>95</v>
      </c>
      <c r="F20" s="4" t="s">
        <v>96</v>
      </c>
      <c r="G20" s="4" t="s">
        <v>101</v>
      </c>
      <c r="H20" s="4" t="s">
        <v>24</v>
      </c>
      <c r="I20" s="4" t="s">
        <v>25</v>
      </c>
      <c r="K20" s="4" t="s">
        <v>26</v>
      </c>
      <c r="L20" s="4" t="s">
        <v>102</v>
      </c>
      <c r="M20" s="4" t="s">
        <v>99</v>
      </c>
      <c r="N20" s="5">
        <f>DATE(2022,3,9)</f>
        <v>44629</v>
      </c>
      <c r="O20" s="4" t="s">
        <v>100</v>
      </c>
      <c r="P20" s="5">
        <f>DATE(2020,7,21)</f>
        <v>44033</v>
      </c>
    </row>
    <row r="21" spans="1:18" ht="55.05" customHeight="1" x14ac:dyDescent="0.3">
      <c r="A21" s="4" t="s">
        <v>17</v>
      </c>
      <c r="B21" s="4" t="s">
        <v>81</v>
      </c>
      <c r="C21" s="4" t="s">
        <v>94</v>
      </c>
      <c r="D21" s="4" t="s">
        <v>20</v>
      </c>
      <c r="E21" s="4" t="s">
        <v>95</v>
      </c>
      <c r="F21" s="4" t="s">
        <v>96</v>
      </c>
      <c r="G21" s="4" t="s">
        <v>103</v>
      </c>
      <c r="H21" s="4" t="s">
        <v>24</v>
      </c>
      <c r="I21" s="4" t="s">
        <v>25</v>
      </c>
      <c r="K21" s="4" t="s">
        <v>26</v>
      </c>
      <c r="L21" s="4" t="s">
        <v>104</v>
      </c>
      <c r="M21" s="4" t="s">
        <v>99</v>
      </c>
      <c r="N21" s="5">
        <f>DATE(2022,3,9)</f>
        <v>44629</v>
      </c>
      <c r="O21" s="4" t="s">
        <v>100</v>
      </c>
      <c r="P21" s="5">
        <f>DATE(2020,7,21)</f>
        <v>44033</v>
      </c>
    </row>
    <row r="22" spans="1:18" ht="55.05" customHeight="1" x14ac:dyDescent="0.3">
      <c r="A22" s="4" t="s">
        <v>17</v>
      </c>
      <c r="B22" s="4" t="s">
        <v>81</v>
      </c>
      <c r="C22" s="4" t="s">
        <v>94</v>
      </c>
      <c r="D22" s="4" t="s">
        <v>20</v>
      </c>
      <c r="E22" s="4" t="s">
        <v>95</v>
      </c>
      <c r="F22" s="4" t="s">
        <v>96</v>
      </c>
      <c r="G22" s="4" t="s">
        <v>105</v>
      </c>
      <c r="H22" s="4" t="s">
        <v>37</v>
      </c>
      <c r="I22" s="4" t="s">
        <v>25</v>
      </c>
      <c r="K22" s="4" t="s">
        <v>26</v>
      </c>
      <c r="L22" s="4" t="s">
        <v>106</v>
      </c>
      <c r="M22" s="4" t="s">
        <v>99</v>
      </c>
      <c r="N22" s="5">
        <f>DATE(2022,3,9)</f>
        <v>44629</v>
      </c>
      <c r="O22" s="4" t="s">
        <v>74</v>
      </c>
      <c r="P22" s="5">
        <f>DATE(2021,12,21)</f>
        <v>44551</v>
      </c>
    </row>
    <row r="23" spans="1:18" ht="55.05" customHeight="1" x14ac:dyDescent="0.3">
      <c r="A23" s="4" t="s">
        <v>17</v>
      </c>
      <c r="B23" s="4" t="s">
        <v>81</v>
      </c>
      <c r="C23" s="4" t="s">
        <v>107</v>
      </c>
      <c r="D23" s="4" t="s">
        <v>20</v>
      </c>
      <c r="E23" s="4" t="s">
        <v>108</v>
      </c>
      <c r="F23" s="4" t="s">
        <v>96</v>
      </c>
      <c r="G23" s="4" t="s">
        <v>109</v>
      </c>
      <c r="H23" s="4" t="s">
        <v>24</v>
      </c>
      <c r="I23" s="4" t="s">
        <v>25</v>
      </c>
      <c r="K23" s="4" t="s">
        <v>26</v>
      </c>
      <c r="L23" s="4" t="s">
        <v>110</v>
      </c>
      <c r="O23" s="4" t="s">
        <v>35</v>
      </c>
      <c r="P23" s="5">
        <f t="shared" ref="P23:P29" si="0">DATE(2020,7,21)</f>
        <v>44033</v>
      </c>
    </row>
    <row r="24" spans="1:18" ht="55.05" customHeight="1" x14ac:dyDescent="0.3">
      <c r="A24" s="4" t="s">
        <v>17</v>
      </c>
      <c r="B24" s="4" t="s">
        <v>81</v>
      </c>
      <c r="C24" s="4" t="s">
        <v>107</v>
      </c>
      <c r="D24" s="4" t="s">
        <v>20</v>
      </c>
      <c r="E24" s="4" t="s">
        <v>108</v>
      </c>
      <c r="F24" s="4" t="s">
        <v>96</v>
      </c>
      <c r="G24" s="4" t="s">
        <v>111</v>
      </c>
      <c r="H24" s="4" t="s">
        <v>24</v>
      </c>
      <c r="I24" s="4" t="s">
        <v>25</v>
      </c>
      <c r="K24" s="4" t="s">
        <v>26</v>
      </c>
      <c r="L24" s="4" t="s">
        <v>112</v>
      </c>
      <c r="O24" s="4" t="s">
        <v>35</v>
      </c>
      <c r="P24" s="5">
        <f t="shared" si="0"/>
        <v>44033</v>
      </c>
    </row>
    <row r="25" spans="1:18" ht="55.05" customHeight="1" x14ac:dyDescent="0.3">
      <c r="A25" s="4" t="s">
        <v>17</v>
      </c>
      <c r="B25" s="4" t="s">
        <v>81</v>
      </c>
      <c r="C25" s="4" t="s">
        <v>107</v>
      </c>
      <c r="D25" s="4" t="s">
        <v>113</v>
      </c>
      <c r="E25" s="4" t="s">
        <v>114</v>
      </c>
      <c r="F25" s="4" t="s">
        <v>96</v>
      </c>
      <c r="G25" s="4" t="s">
        <v>115</v>
      </c>
      <c r="H25" s="4" t="s">
        <v>24</v>
      </c>
      <c r="I25" s="4" t="s">
        <v>25</v>
      </c>
      <c r="K25" s="4" t="s">
        <v>26</v>
      </c>
      <c r="L25" s="4" t="s">
        <v>116</v>
      </c>
      <c r="O25" s="4" t="s">
        <v>35</v>
      </c>
      <c r="P25" s="5">
        <f t="shared" si="0"/>
        <v>44033</v>
      </c>
    </row>
    <row r="26" spans="1:18" ht="55.05" customHeight="1" x14ac:dyDescent="0.3">
      <c r="A26" s="4" t="s">
        <v>17</v>
      </c>
      <c r="B26" s="4" t="s">
        <v>81</v>
      </c>
      <c r="C26" s="4" t="s">
        <v>107</v>
      </c>
      <c r="D26" s="4" t="s">
        <v>113</v>
      </c>
      <c r="E26" s="4" t="s">
        <v>114</v>
      </c>
      <c r="F26" s="4" t="s">
        <v>96</v>
      </c>
      <c r="G26" s="4" t="s">
        <v>117</v>
      </c>
      <c r="H26" s="4" t="s">
        <v>24</v>
      </c>
      <c r="I26" s="4" t="s">
        <v>25</v>
      </c>
      <c r="K26" s="4" t="s">
        <v>26</v>
      </c>
      <c r="L26" s="4" t="s">
        <v>118</v>
      </c>
      <c r="O26" s="4" t="s">
        <v>35</v>
      </c>
      <c r="P26" s="5">
        <f t="shared" si="0"/>
        <v>44033</v>
      </c>
    </row>
    <row r="27" spans="1:18" ht="55.05" customHeight="1" x14ac:dyDescent="0.3">
      <c r="A27" s="4" t="s">
        <v>17</v>
      </c>
      <c r="B27" s="4" t="s">
        <v>119</v>
      </c>
      <c r="C27" s="4" t="s">
        <v>120</v>
      </c>
      <c r="D27" s="4" t="s">
        <v>20</v>
      </c>
      <c r="E27" s="4" t="s">
        <v>121</v>
      </c>
      <c r="F27" s="4" t="s">
        <v>122</v>
      </c>
      <c r="G27" s="4" t="s">
        <v>123</v>
      </c>
      <c r="H27" s="4" t="s">
        <v>24</v>
      </c>
      <c r="I27" s="4" t="s">
        <v>25</v>
      </c>
      <c r="K27" s="4" t="s">
        <v>26</v>
      </c>
      <c r="L27" s="4" t="s">
        <v>124</v>
      </c>
      <c r="O27" s="4" t="s">
        <v>125</v>
      </c>
      <c r="P27" s="5">
        <f t="shared" si="0"/>
        <v>44033</v>
      </c>
    </row>
    <row r="28" spans="1:18" ht="55.05" customHeight="1" x14ac:dyDescent="0.3">
      <c r="A28" s="4" t="s">
        <v>17</v>
      </c>
      <c r="B28" s="4" t="s">
        <v>119</v>
      </c>
      <c r="C28" s="4" t="s">
        <v>126</v>
      </c>
      <c r="D28" s="4" t="s">
        <v>127</v>
      </c>
      <c r="E28" s="4" t="s">
        <v>128</v>
      </c>
      <c r="F28" s="4" t="s">
        <v>122</v>
      </c>
      <c r="G28" s="4" t="s">
        <v>129</v>
      </c>
      <c r="H28" s="4" t="s">
        <v>32</v>
      </c>
      <c r="I28" s="4" t="s">
        <v>130</v>
      </c>
      <c r="J28" s="5">
        <f>DATE(2022,9,27)</f>
        <v>44831</v>
      </c>
      <c r="K28" s="4" t="s">
        <v>26</v>
      </c>
      <c r="L28" s="4" t="s">
        <v>131</v>
      </c>
      <c r="O28" s="4" t="s">
        <v>125</v>
      </c>
      <c r="P28" s="5">
        <f t="shared" si="0"/>
        <v>44033</v>
      </c>
    </row>
    <row r="29" spans="1:18" ht="55.05" customHeight="1" x14ac:dyDescent="0.3">
      <c r="A29" s="4" t="s">
        <v>17</v>
      </c>
      <c r="B29" s="4" t="s">
        <v>119</v>
      </c>
      <c r="C29" s="4" t="s">
        <v>126</v>
      </c>
      <c r="D29" s="4" t="s">
        <v>127</v>
      </c>
      <c r="E29" s="4" t="s">
        <v>128</v>
      </c>
      <c r="F29" s="4" t="s">
        <v>122</v>
      </c>
      <c r="G29" s="4" t="s">
        <v>132</v>
      </c>
      <c r="H29" s="4" t="s">
        <v>24</v>
      </c>
      <c r="I29" s="4" t="s">
        <v>25</v>
      </c>
      <c r="K29" s="4" t="s">
        <v>26</v>
      </c>
      <c r="L29" s="4" t="s">
        <v>133</v>
      </c>
      <c r="O29" s="4" t="s">
        <v>125</v>
      </c>
      <c r="P29" s="5">
        <f t="shared" si="0"/>
        <v>44033</v>
      </c>
    </row>
    <row r="30" spans="1:18" ht="55.05" customHeight="1" x14ac:dyDescent="0.3">
      <c r="A30" s="4" t="s">
        <v>17</v>
      </c>
      <c r="B30" s="4" t="s">
        <v>119</v>
      </c>
      <c r="C30" s="4" t="s">
        <v>126</v>
      </c>
      <c r="D30" s="4" t="s">
        <v>127</v>
      </c>
      <c r="E30" s="4" t="s">
        <v>128</v>
      </c>
      <c r="F30" s="4" t="s">
        <v>122</v>
      </c>
      <c r="G30" s="4" t="s">
        <v>134</v>
      </c>
      <c r="H30" s="4" t="s">
        <v>24</v>
      </c>
      <c r="I30" s="4" t="s">
        <v>25</v>
      </c>
      <c r="K30" s="4" t="s">
        <v>26</v>
      </c>
      <c r="L30" s="4" t="s">
        <v>135</v>
      </c>
      <c r="O30" s="4" t="s">
        <v>136</v>
      </c>
      <c r="P30" s="5">
        <f>DATE(2022,6,28)</f>
        <v>44740</v>
      </c>
      <c r="Q30" s="4" t="s">
        <v>125</v>
      </c>
      <c r="R30" s="5">
        <f>DATE(2020,7,21)</f>
        <v>44033</v>
      </c>
    </row>
    <row r="31" spans="1:18" ht="55.05" customHeight="1" x14ac:dyDescent="0.3">
      <c r="A31" s="4" t="s">
        <v>17</v>
      </c>
      <c r="B31" s="4" t="s">
        <v>119</v>
      </c>
      <c r="C31" s="4" t="s">
        <v>137</v>
      </c>
      <c r="D31" s="4" t="s">
        <v>20</v>
      </c>
      <c r="E31" s="4" t="s">
        <v>138</v>
      </c>
      <c r="F31" s="4" t="s">
        <v>22</v>
      </c>
      <c r="G31" s="4" t="s">
        <v>139</v>
      </c>
      <c r="H31" s="4" t="s">
        <v>24</v>
      </c>
      <c r="I31" s="4" t="s">
        <v>25</v>
      </c>
      <c r="K31" s="4" t="s">
        <v>26</v>
      </c>
      <c r="L31" s="4" t="s">
        <v>140</v>
      </c>
      <c r="M31" s="4" t="s">
        <v>141</v>
      </c>
      <c r="N31" s="5">
        <f>DATE(2022,3,22)</f>
        <v>44642</v>
      </c>
      <c r="O31" s="4" t="s">
        <v>125</v>
      </c>
      <c r="P31" s="5">
        <f>DATE(2020,7,21)</f>
        <v>44033</v>
      </c>
    </row>
    <row r="32" spans="1:18" ht="55.05" customHeight="1" x14ac:dyDescent="0.3">
      <c r="A32" s="4" t="s">
        <v>17</v>
      </c>
      <c r="B32" s="4" t="s">
        <v>119</v>
      </c>
      <c r="C32" s="4" t="s">
        <v>137</v>
      </c>
      <c r="D32" s="4" t="s">
        <v>20</v>
      </c>
      <c r="E32" s="4" t="s">
        <v>138</v>
      </c>
      <c r="F32" s="4" t="s">
        <v>22</v>
      </c>
      <c r="G32" s="4" t="s">
        <v>142</v>
      </c>
      <c r="H32" s="4" t="s">
        <v>24</v>
      </c>
      <c r="I32" s="4" t="s">
        <v>25</v>
      </c>
      <c r="K32" s="4" t="s">
        <v>26</v>
      </c>
      <c r="L32" s="4" t="s">
        <v>143</v>
      </c>
      <c r="M32" s="4" t="s">
        <v>144</v>
      </c>
      <c r="N32" s="5">
        <f>DATE(2022,3,22)</f>
        <v>44642</v>
      </c>
      <c r="O32" s="4" t="s">
        <v>125</v>
      </c>
      <c r="P32" s="5">
        <f>DATE(2020,7,21)</f>
        <v>44033</v>
      </c>
    </row>
    <row r="33" spans="1:22" ht="55.05" customHeight="1" x14ac:dyDescent="0.3">
      <c r="A33" s="4" t="s">
        <v>17</v>
      </c>
      <c r="B33" s="4" t="s">
        <v>145</v>
      </c>
      <c r="C33" s="4" t="s">
        <v>20</v>
      </c>
      <c r="D33" s="4" t="s">
        <v>146</v>
      </c>
      <c r="E33" s="4" t="s">
        <v>147</v>
      </c>
      <c r="F33" s="4" t="s">
        <v>122</v>
      </c>
      <c r="G33" s="4" t="s">
        <v>148</v>
      </c>
      <c r="H33" s="4" t="s">
        <v>24</v>
      </c>
      <c r="I33" s="4" t="s">
        <v>25</v>
      </c>
      <c r="K33" s="4" t="s">
        <v>26</v>
      </c>
      <c r="L33" s="4" t="s">
        <v>149</v>
      </c>
      <c r="O33" s="4" t="s">
        <v>150</v>
      </c>
      <c r="P33" s="5">
        <f>DATE(2023,6,27)</f>
        <v>45104</v>
      </c>
      <c r="Q33" s="4" t="s">
        <v>125</v>
      </c>
      <c r="R33" s="5">
        <f>DATE(2020,7,21)</f>
        <v>44033</v>
      </c>
    </row>
    <row r="34" spans="1:22" ht="55.05" customHeight="1" x14ac:dyDescent="0.3">
      <c r="A34" s="4" t="s">
        <v>17</v>
      </c>
      <c r="B34" s="4" t="s">
        <v>145</v>
      </c>
      <c r="C34" s="4" t="s">
        <v>20</v>
      </c>
      <c r="D34" s="4" t="s">
        <v>146</v>
      </c>
      <c r="E34" s="4" t="s">
        <v>147</v>
      </c>
      <c r="F34" s="4" t="s">
        <v>122</v>
      </c>
      <c r="G34" s="4" t="s">
        <v>151</v>
      </c>
      <c r="H34" s="4" t="s">
        <v>24</v>
      </c>
      <c r="I34" s="4" t="s">
        <v>25</v>
      </c>
      <c r="K34" s="4" t="s">
        <v>26</v>
      </c>
      <c r="L34" s="4" t="s">
        <v>152</v>
      </c>
      <c r="O34" s="4" t="s">
        <v>125</v>
      </c>
      <c r="P34" s="5">
        <f>DATE(2020,7,21)</f>
        <v>44033</v>
      </c>
    </row>
    <row r="35" spans="1:22" ht="55.05" customHeight="1" x14ac:dyDescent="0.3">
      <c r="A35" s="4" t="s">
        <v>17</v>
      </c>
      <c r="B35" s="4" t="s">
        <v>145</v>
      </c>
      <c r="C35" s="4" t="s">
        <v>20</v>
      </c>
      <c r="D35" s="4" t="s">
        <v>146</v>
      </c>
      <c r="E35" s="4" t="s">
        <v>147</v>
      </c>
      <c r="F35" s="4" t="s">
        <v>122</v>
      </c>
      <c r="G35" s="4" t="s">
        <v>153</v>
      </c>
      <c r="H35" s="4" t="s">
        <v>24</v>
      </c>
      <c r="I35" s="4" t="s">
        <v>25</v>
      </c>
      <c r="K35" s="4" t="s">
        <v>26</v>
      </c>
      <c r="L35" s="4" t="s">
        <v>154</v>
      </c>
      <c r="O35" s="4" t="s">
        <v>125</v>
      </c>
      <c r="P35" s="5">
        <f>DATE(2020,7,21)</f>
        <v>44033</v>
      </c>
    </row>
    <row r="36" spans="1:22" ht="55.05" customHeight="1" x14ac:dyDescent="0.3">
      <c r="A36" s="4" t="s">
        <v>17</v>
      </c>
      <c r="B36" s="4" t="s">
        <v>145</v>
      </c>
      <c r="C36" s="4" t="s">
        <v>155</v>
      </c>
      <c r="D36" s="4" t="s">
        <v>20</v>
      </c>
      <c r="E36" s="4" t="s">
        <v>156</v>
      </c>
      <c r="F36" s="4" t="s">
        <v>22</v>
      </c>
      <c r="G36" s="4" t="s">
        <v>157</v>
      </c>
      <c r="H36" s="4" t="s">
        <v>24</v>
      </c>
      <c r="I36" s="4" t="s">
        <v>25</v>
      </c>
      <c r="K36" s="4" t="s">
        <v>26</v>
      </c>
      <c r="L36" s="4" t="s">
        <v>158</v>
      </c>
      <c r="O36" s="4" t="s">
        <v>159</v>
      </c>
      <c r="P36" s="5">
        <f>DATE(2022,9,27)</f>
        <v>44831</v>
      </c>
      <c r="Q36" s="4" t="s">
        <v>100</v>
      </c>
      <c r="R36" s="5">
        <f>DATE(2020,7,21)</f>
        <v>44033</v>
      </c>
    </row>
    <row r="37" spans="1:22" ht="55.05" customHeight="1" x14ac:dyDescent="0.3">
      <c r="A37" s="4" t="s">
        <v>17</v>
      </c>
      <c r="B37" s="4" t="s">
        <v>145</v>
      </c>
      <c r="C37" s="4" t="s">
        <v>160</v>
      </c>
      <c r="D37" s="4" t="s">
        <v>20</v>
      </c>
      <c r="E37" s="4" t="s">
        <v>161</v>
      </c>
      <c r="F37" s="4" t="s">
        <v>162</v>
      </c>
      <c r="G37" s="4" t="s">
        <v>163</v>
      </c>
      <c r="H37" s="4" t="s">
        <v>24</v>
      </c>
      <c r="I37" s="4" t="s">
        <v>25</v>
      </c>
      <c r="K37" s="4" t="s">
        <v>26</v>
      </c>
      <c r="L37" s="4" t="s">
        <v>164</v>
      </c>
      <c r="O37" s="4" t="s">
        <v>125</v>
      </c>
      <c r="P37" s="5">
        <f>DATE(2020,7,21)</f>
        <v>44033</v>
      </c>
    </row>
    <row r="38" spans="1:22" ht="55.05" customHeight="1" x14ac:dyDescent="0.3">
      <c r="A38" s="4" t="s">
        <v>17</v>
      </c>
      <c r="B38" s="4" t="s">
        <v>145</v>
      </c>
      <c r="C38" s="4" t="s">
        <v>165</v>
      </c>
      <c r="D38" s="4" t="s">
        <v>20</v>
      </c>
      <c r="E38" s="4" t="s">
        <v>166</v>
      </c>
      <c r="F38" s="4" t="s">
        <v>122</v>
      </c>
      <c r="G38" s="4" t="s">
        <v>167</v>
      </c>
      <c r="H38" s="4" t="s">
        <v>24</v>
      </c>
      <c r="I38" s="4" t="s">
        <v>25</v>
      </c>
      <c r="K38" s="4" t="s">
        <v>26</v>
      </c>
      <c r="L38" s="4" t="s">
        <v>168</v>
      </c>
      <c r="M38" s="4" t="s">
        <v>169</v>
      </c>
      <c r="N38" s="5">
        <f>DATE(2022,3,24)</f>
        <v>44644</v>
      </c>
      <c r="O38" s="4" t="s">
        <v>170</v>
      </c>
      <c r="P38" s="5">
        <f>DATE(2022,6,28)</f>
        <v>44740</v>
      </c>
      <c r="Q38" s="4" t="s">
        <v>100</v>
      </c>
      <c r="R38" s="5">
        <f>DATE(2020,7,21)</f>
        <v>44033</v>
      </c>
      <c r="S38" s="4" t="s">
        <v>171</v>
      </c>
      <c r="T38" s="5">
        <f>DATE(2017,3,21)</f>
        <v>42815</v>
      </c>
    </row>
    <row r="39" spans="1:22" ht="55.05" customHeight="1" x14ac:dyDescent="0.3">
      <c r="A39" s="4" t="s">
        <v>17</v>
      </c>
      <c r="B39" s="4" t="s">
        <v>145</v>
      </c>
      <c r="C39" s="4" t="s">
        <v>165</v>
      </c>
      <c r="D39" s="4" t="s">
        <v>20</v>
      </c>
      <c r="E39" s="4" t="s">
        <v>172</v>
      </c>
      <c r="F39" s="4" t="s">
        <v>122</v>
      </c>
      <c r="G39" s="4" t="s">
        <v>173</v>
      </c>
      <c r="H39" s="4" t="s">
        <v>32</v>
      </c>
      <c r="I39" s="4" t="s">
        <v>25</v>
      </c>
      <c r="J39" s="5">
        <f>DATE(2022,10,25)</f>
        <v>44859</v>
      </c>
      <c r="K39" s="4" t="s">
        <v>26</v>
      </c>
      <c r="L39" s="4" t="s">
        <v>174</v>
      </c>
      <c r="O39" s="4" t="s">
        <v>170</v>
      </c>
      <c r="P39" s="5">
        <f>DATE(2022,6,28)</f>
        <v>44740</v>
      </c>
      <c r="Q39" s="4" t="s">
        <v>100</v>
      </c>
      <c r="R39" s="5">
        <f>DATE(2020,7,21)</f>
        <v>44033</v>
      </c>
    </row>
    <row r="40" spans="1:22" ht="55.05" customHeight="1" x14ac:dyDescent="0.3">
      <c r="A40" s="4" t="s">
        <v>17</v>
      </c>
      <c r="B40" s="4" t="s">
        <v>145</v>
      </c>
      <c r="C40" s="4" t="s">
        <v>165</v>
      </c>
      <c r="D40" s="4" t="s">
        <v>20</v>
      </c>
      <c r="E40" s="4" t="s">
        <v>172</v>
      </c>
      <c r="F40" s="4" t="s">
        <v>122</v>
      </c>
      <c r="G40" s="4" t="s">
        <v>175</v>
      </c>
      <c r="H40" s="4" t="s">
        <v>32</v>
      </c>
      <c r="I40" s="4" t="s">
        <v>25</v>
      </c>
      <c r="J40" s="5">
        <f>DATE(2022,10,25)</f>
        <v>44859</v>
      </c>
      <c r="K40" s="4" t="s">
        <v>26</v>
      </c>
      <c r="L40" s="4" t="s">
        <v>176</v>
      </c>
      <c r="O40" s="4" t="s">
        <v>170</v>
      </c>
      <c r="P40" s="5">
        <f>DATE(2022,6,28)</f>
        <v>44740</v>
      </c>
      <c r="Q40" s="4" t="s">
        <v>100</v>
      </c>
      <c r="R40" s="5">
        <f>DATE(2020,7,21)</f>
        <v>44033</v>
      </c>
    </row>
    <row r="41" spans="1:22" ht="55.05" customHeight="1" x14ac:dyDescent="0.3">
      <c r="A41" s="4" t="s">
        <v>17</v>
      </c>
      <c r="B41" s="4" t="s">
        <v>145</v>
      </c>
      <c r="C41" s="4" t="s">
        <v>165</v>
      </c>
      <c r="D41" s="4" t="s">
        <v>20</v>
      </c>
      <c r="E41" s="4" t="s">
        <v>172</v>
      </c>
      <c r="F41" s="4" t="s">
        <v>122</v>
      </c>
      <c r="G41" s="4" t="s">
        <v>177</v>
      </c>
      <c r="H41" s="4" t="s">
        <v>24</v>
      </c>
      <c r="I41" s="4" t="s">
        <v>25</v>
      </c>
      <c r="K41" s="4" t="s">
        <v>26</v>
      </c>
      <c r="L41" s="4" t="s">
        <v>178</v>
      </c>
      <c r="O41" s="4" t="s">
        <v>170</v>
      </c>
      <c r="P41" s="5">
        <f>DATE(2022,6,28)</f>
        <v>44740</v>
      </c>
      <c r="Q41" s="4" t="s">
        <v>100</v>
      </c>
      <c r="R41" s="5">
        <f>DATE(2020,7,21)</f>
        <v>44033</v>
      </c>
    </row>
    <row r="42" spans="1:22" ht="55.05" customHeight="1" x14ac:dyDescent="0.3">
      <c r="A42" s="4" t="s">
        <v>17</v>
      </c>
      <c r="B42" s="4" t="s">
        <v>145</v>
      </c>
      <c r="C42" s="4" t="s">
        <v>165</v>
      </c>
      <c r="D42" s="4" t="s">
        <v>20</v>
      </c>
      <c r="E42" s="4" t="s">
        <v>172</v>
      </c>
      <c r="F42" s="4" t="s">
        <v>122</v>
      </c>
      <c r="G42" s="4" t="s">
        <v>179</v>
      </c>
      <c r="H42" s="4" t="s">
        <v>24</v>
      </c>
      <c r="I42" s="4" t="s">
        <v>25</v>
      </c>
      <c r="K42" s="4" t="s">
        <v>26</v>
      </c>
      <c r="L42" s="4" t="s">
        <v>180</v>
      </c>
      <c r="O42" s="4" t="s">
        <v>170</v>
      </c>
      <c r="P42" s="5">
        <f>DATE(2022,6,28)</f>
        <v>44740</v>
      </c>
      <c r="Q42" s="4" t="s">
        <v>100</v>
      </c>
      <c r="R42" s="5">
        <f>DATE(2020,7,21)</f>
        <v>44033</v>
      </c>
    </row>
    <row r="43" spans="1:22" ht="55.05" customHeight="1" x14ac:dyDescent="0.3">
      <c r="A43" s="4" t="s">
        <v>181</v>
      </c>
      <c r="B43" s="4" t="s">
        <v>18</v>
      </c>
      <c r="C43" s="4" t="s">
        <v>182</v>
      </c>
      <c r="D43" s="4" t="s">
        <v>20</v>
      </c>
      <c r="E43" s="4" t="s">
        <v>183</v>
      </c>
      <c r="F43" s="4" t="s">
        <v>42</v>
      </c>
      <c r="G43" s="4" t="s">
        <v>184</v>
      </c>
      <c r="H43" s="4" t="s">
        <v>32</v>
      </c>
      <c r="I43" s="4" t="s">
        <v>185</v>
      </c>
      <c r="J43" s="5">
        <f>DATE(2023,1,10)</f>
        <v>44936</v>
      </c>
      <c r="K43" s="4" t="s">
        <v>26</v>
      </c>
      <c r="L43" s="4" t="s">
        <v>186</v>
      </c>
      <c r="O43" s="4" t="s">
        <v>187</v>
      </c>
      <c r="P43" s="5">
        <f>DATE(2019,4,23)</f>
        <v>43578</v>
      </c>
    </row>
    <row r="44" spans="1:22" ht="55.05" customHeight="1" x14ac:dyDescent="0.3">
      <c r="A44" s="4" t="s">
        <v>181</v>
      </c>
      <c r="B44" s="4" t="s">
        <v>18</v>
      </c>
      <c r="C44" s="4" t="s">
        <v>182</v>
      </c>
      <c r="D44" s="4" t="s">
        <v>20</v>
      </c>
      <c r="E44" s="4" t="s">
        <v>183</v>
      </c>
      <c r="F44" s="4" t="s">
        <v>42</v>
      </c>
      <c r="G44" s="4" t="s">
        <v>188</v>
      </c>
      <c r="H44" s="4" t="s">
        <v>24</v>
      </c>
      <c r="I44" s="4" t="s">
        <v>25</v>
      </c>
      <c r="K44" s="4" t="s">
        <v>26</v>
      </c>
      <c r="L44" s="4" t="s">
        <v>189</v>
      </c>
      <c r="O44" s="4" t="s">
        <v>150</v>
      </c>
      <c r="P44" s="5">
        <f>DATE(2023,6,27)</f>
        <v>45104</v>
      </c>
      <c r="Q44" s="4" t="s">
        <v>136</v>
      </c>
      <c r="R44" s="5">
        <f>DATE(2022,6,28)</f>
        <v>44740</v>
      </c>
      <c r="S44" s="4" t="s">
        <v>74</v>
      </c>
      <c r="T44" s="5">
        <f>DATE(2021,12,21)</f>
        <v>44551</v>
      </c>
      <c r="U44" s="4" t="s">
        <v>190</v>
      </c>
      <c r="V44" s="5">
        <f>DATE(2021,1,12)</f>
        <v>44208</v>
      </c>
    </row>
    <row r="45" spans="1:22" ht="55.05" customHeight="1" x14ac:dyDescent="0.3">
      <c r="A45" s="4" t="s">
        <v>181</v>
      </c>
      <c r="B45" s="4" t="s">
        <v>18</v>
      </c>
      <c r="C45" s="4" t="s">
        <v>182</v>
      </c>
      <c r="D45" s="4" t="s">
        <v>20</v>
      </c>
      <c r="E45" s="4" t="s">
        <v>183</v>
      </c>
      <c r="F45" s="4" t="s">
        <v>42</v>
      </c>
      <c r="G45" s="4" t="s">
        <v>191</v>
      </c>
      <c r="H45" s="4" t="s">
        <v>24</v>
      </c>
      <c r="I45" s="4" t="s">
        <v>25</v>
      </c>
      <c r="K45" s="4" t="s">
        <v>26</v>
      </c>
      <c r="L45" s="4" t="s">
        <v>192</v>
      </c>
      <c r="M45" s="4" t="s">
        <v>25</v>
      </c>
      <c r="N45" s="5">
        <f>DATE(2022,11,8)</f>
        <v>44873</v>
      </c>
      <c r="O45" s="4" t="s">
        <v>193</v>
      </c>
      <c r="P45" s="5">
        <f>DATE(2020,6,23)</f>
        <v>44005</v>
      </c>
    </row>
    <row r="46" spans="1:22" ht="55.05" customHeight="1" x14ac:dyDescent="0.3">
      <c r="A46" s="4" t="s">
        <v>181</v>
      </c>
      <c r="B46" s="4" t="s">
        <v>18</v>
      </c>
      <c r="C46" s="4" t="s">
        <v>182</v>
      </c>
      <c r="D46" s="4" t="s">
        <v>20</v>
      </c>
      <c r="E46" s="4" t="s">
        <v>183</v>
      </c>
      <c r="F46" s="4" t="s">
        <v>42</v>
      </c>
      <c r="G46" s="4" t="s">
        <v>194</v>
      </c>
      <c r="H46" s="4" t="s">
        <v>24</v>
      </c>
      <c r="I46" s="4" t="s">
        <v>25</v>
      </c>
      <c r="K46" s="4" t="s">
        <v>26</v>
      </c>
      <c r="L46" s="4" t="s">
        <v>195</v>
      </c>
      <c r="O46" s="4" t="s">
        <v>150</v>
      </c>
      <c r="P46" s="5">
        <f>DATE(2023,6,27)</f>
        <v>45104</v>
      </c>
      <c r="Q46" s="4" t="s">
        <v>136</v>
      </c>
      <c r="R46" s="5">
        <f>DATE(2022,6,28)</f>
        <v>44740</v>
      </c>
      <c r="S46" s="4" t="s">
        <v>190</v>
      </c>
      <c r="T46" s="5">
        <f>DATE(2021,1,12)</f>
        <v>44208</v>
      </c>
    </row>
    <row r="47" spans="1:22" ht="55.05" customHeight="1" x14ac:dyDescent="0.3">
      <c r="A47" s="4" t="s">
        <v>181</v>
      </c>
      <c r="B47" s="4" t="s">
        <v>18</v>
      </c>
      <c r="C47" s="4" t="s">
        <v>182</v>
      </c>
      <c r="D47" s="4" t="s">
        <v>20</v>
      </c>
      <c r="E47" s="4" t="s">
        <v>183</v>
      </c>
      <c r="F47" s="4" t="s">
        <v>42</v>
      </c>
      <c r="G47" s="4" t="s">
        <v>196</v>
      </c>
      <c r="H47" s="4" t="s">
        <v>24</v>
      </c>
      <c r="I47" s="4" t="s">
        <v>25</v>
      </c>
      <c r="K47" s="4" t="s">
        <v>26</v>
      </c>
      <c r="L47" s="4" t="s">
        <v>197</v>
      </c>
      <c r="O47" s="4" t="s">
        <v>150</v>
      </c>
      <c r="P47" s="5">
        <f>DATE(2023,6,27)</f>
        <v>45104</v>
      </c>
      <c r="Q47" s="4" t="s">
        <v>198</v>
      </c>
      <c r="R47" s="5">
        <f>DATE(2023,1,10)</f>
        <v>44936</v>
      </c>
      <c r="S47" s="4" t="s">
        <v>199</v>
      </c>
      <c r="T47" s="5">
        <f>DATE(2021,3,9)</f>
        <v>44264</v>
      </c>
    </row>
    <row r="48" spans="1:22" ht="55.05" customHeight="1" x14ac:dyDescent="0.3">
      <c r="A48" s="4" t="s">
        <v>181</v>
      </c>
      <c r="B48" s="4" t="s">
        <v>18</v>
      </c>
      <c r="C48" s="4" t="s">
        <v>182</v>
      </c>
      <c r="D48" s="4" t="s">
        <v>20</v>
      </c>
      <c r="E48" s="4" t="s">
        <v>183</v>
      </c>
      <c r="F48" s="4" t="s">
        <v>42</v>
      </c>
      <c r="G48" s="4" t="s">
        <v>200</v>
      </c>
      <c r="H48" s="4" t="s">
        <v>24</v>
      </c>
      <c r="I48" s="4" t="s">
        <v>25</v>
      </c>
      <c r="K48" s="4" t="s">
        <v>26</v>
      </c>
      <c r="L48" s="4" t="s">
        <v>201</v>
      </c>
      <c r="O48" s="4" t="s">
        <v>150</v>
      </c>
      <c r="P48" s="5">
        <f>DATE(2023,6,27)</f>
        <v>45104</v>
      </c>
      <c r="Q48" s="4" t="s">
        <v>202</v>
      </c>
      <c r="R48" s="5">
        <f>DATE(2021,10,26)</f>
        <v>44495</v>
      </c>
    </row>
    <row r="49" spans="1:28" ht="55.05" customHeight="1" x14ac:dyDescent="0.3">
      <c r="A49" s="4" t="s">
        <v>181</v>
      </c>
      <c r="B49" s="4" t="s">
        <v>18</v>
      </c>
      <c r="C49" s="4" t="s">
        <v>203</v>
      </c>
      <c r="D49" s="4" t="s">
        <v>20</v>
      </c>
      <c r="E49" s="4" t="s">
        <v>204</v>
      </c>
      <c r="F49" s="4" t="s">
        <v>22</v>
      </c>
      <c r="G49" s="4" t="s">
        <v>205</v>
      </c>
      <c r="H49" s="4" t="s">
        <v>24</v>
      </c>
      <c r="I49" s="4" t="s">
        <v>25</v>
      </c>
      <c r="K49" s="4" t="s">
        <v>26</v>
      </c>
      <c r="L49" s="4" t="s">
        <v>206</v>
      </c>
      <c r="M49" s="4" t="s">
        <v>207</v>
      </c>
      <c r="N49" s="5">
        <f>DATE(2022,11,9)</f>
        <v>44874</v>
      </c>
      <c r="O49" s="4" t="s">
        <v>208</v>
      </c>
      <c r="P49" s="5">
        <f>DATE(2023,6,27)</f>
        <v>45104</v>
      </c>
      <c r="Q49" s="4" t="s">
        <v>209</v>
      </c>
      <c r="R49" s="5">
        <f>DATE(2020,4,28)</f>
        <v>43949</v>
      </c>
    </row>
    <row r="50" spans="1:28" ht="55.05" customHeight="1" x14ac:dyDescent="0.3">
      <c r="A50" s="4" t="s">
        <v>181</v>
      </c>
      <c r="B50" s="4" t="s">
        <v>18</v>
      </c>
      <c r="C50" s="4" t="s">
        <v>203</v>
      </c>
      <c r="D50" s="4" t="s">
        <v>20</v>
      </c>
      <c r="E50" s="4" t="s">
        <v>204</v>
      </c>
      <c r="F50" s="4" t="s">
        <v>22</v>
      </c>
      <c r="G50" s="4" t="s">
        <v>210</v>
      </c>
      <c r="H50" s="4" t="s">
        <v>24</v>
      </c>
      <c r="I50" s="4" t="s">
        <v>25</v>
      </c>
      <c r="K50" s="4" t="s">
        <v>26</v>
      </c>
      <c r="L50" s="4" t="s">
        <v>211</v>
      </c>
      <c r="O50" s="4" t="s">
        <v>212</v>
      </c>
      <c r="P50" s="5">
        <f>DATE(2022,4,26)</f>
        <v>44677</v>
      </c>
      <c r="Q50" s="4" t="s">
        <v>213</v>
      </c>
      <c r="R50" s="5">
        <f>DATE(2018,7,10)</f>
        <v>43291</v>
      </c>
    </row>
    <row r="51" spans="1:28" ht="55.05" customHeight="1" x14ac:dyDescent="0.3">
      <c r="A51" s="4" t="s">
        <v>181</v>
      </c>
      <c r="B51" s="4" t="s">
        <v>18</v>
      </c>
      <c r="C51" s="4" t="s">
        <v>203</v>
      </c>
      <c r="D51" s="4" t="s">
        <v>20</v>
      </c>
      <c r="E51" s="4" t="s">
        <v>204</v>
      </c>
      <c r="F51" s="4" t="s">
        <v>22</v>
      </c>
      <c r="G51" s="4" t="s">
        <v>214</v>
      </c>
      <c r="H51" s="4" t="s">
        <v>24</v>
      </c>
      <c r="I51" s="4" t="s">
        <v>25</v>
      </c>
      <c r="K51" s="4" t="s">
        <v>26</v>
      </c>
      <c r="L51" s="4" t="s">
        <v>215</v>
      </c>
      <c r="O51" s="4" t="s">
        <v>216</v>
      </c>
      <c r="P51" s="5">
        <f>DATE(2022,4,26)</f>
        <v>44677</v>
      </c>
      <c r="Q51" s="4" t="s">
        <v>217</v>
      </c>
      <c r="R51" s="5">
        <f>DATE(2020,7,21)</f>
        <v>44033</v>
      </c>
    </row>
    <row r="52" spans="1:28" ht="55.05" customHeight="1" x14ac:dyDescent="0.3">
      <c r="A52" s="4" t="s">
        <v>181</v>
      </c>
      <c r="B52" s="4" t="s">
        <v>18</v>
      </c>
      <c r="C52" s="4" t="s">
        <v>19</v>
      </c>
      <c r="D52" s="4" t="s">
        <v>20</v>
      </c>
      <c r="E52" s="4" t="s">
        <v>218</v>
      </c>
      <c r="F52" s="4" t="s">
        <v>22</v>
      </c>
      <c r="G52" s="4" t="s">
        <v>219</v>
      </c>
      <c r="H52" s="4" t="s">
        <v>24</v>
      </c>
      <c r="I52" s="4" t="s">
        <v>25</v>
      </c>
      <c r="K52" s="4" t="s">
        <v>26</v>
      </c>
      <c r="L52" s="4" t="s">
        <v>220</v>
      </c>
      <c r="O52" s="4" t="s">
        <v>221</v>
      </c>
      <c r="P52" s="5">
        <f>DATE(2021,1,12)</f>
        <v>44208</v>
      </c>
    </row>
    <row r="53" spans="1:28" ht="55.05" customHeight="1" x14ac:dyDescent="0.3">
      <c r="A53" s="4" t="s">
        <v>181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22</v>
      </c>
      <c r="G53" s="4" t="s">
        <v>222</v>
      </c>
      <c r="H53" s="4" t="s">
        <v>24</v>
      </c>
      <c r="I53" s="4" t="s">
        <v>25</v>
      </c>
      <c r="K53" s="4" t="s">
        <v>26</v>
      </c>
      <c r="L53" s="4" t="s">
        <v>223</v>
      </c>
      <c r="O53" s="4" t="s">
        <v>224</v>
      </c>
      <c r="P53" s="5">
        <f>DATE(2023,10,9)</f>
        <v>45208</v>
      </c>
      <c r="Q53" s="4" t="s">
        <v>35</v>
      </c>
      <c r="R53" s="5">
        <f>DATE(2020,7,21)</f>
        <v>44033</v>
      </c>
    </row>
    <row r="54" spans="1:28" ht="55.05" customHeight="1" x14ac:dyDescent="0.3">
      <c r="A54" s="4" t="s">
        <v>181</v>
      </c>
      <c r="B54" s="4" t="s">
        <v>18</v>
      </c>
      <c r="C54" s="4" t="s">
        <v>19</v>
      </c>
      <c r="D54" s="4" t="s">
        <v>20</v>
      </c>
      <c r="E54" s="4" t="s">
        <v>21</v>
      </c>
      <c r="F54" s="4" t="s">
        <v>22</v>
      </c>
      <c r="G54" s="4" t="s">
        <v>225</v>
      </c>
      <c r="H54" s="4" t="s">
        <v>24</v>
      </c>
      <c r="I54" s="4" t="s">
        <v>25</v>
      </c>
      <c r="K54" s="4" t="s">
        <v>26</v>
      </c>
      <c r="L54" s="4" t="s">
        <v>226</v>
      </c>
      <c r="O54" s="4" t="s">
        <v>227</v>
      </c>
      <c r="P54" s="5">
        <f>DATE(2023,10,9)</f>
        <v>45208</v>
      </c>
      <c r="Q54" s="4" t="s">
        <v>228</v>
      </c>
      <c r="R54" s="5">
        <f>DATE(2020,3,10)</f>
        <v>43900</v>
      </c>
    </row>
    <row r="55" spans="1:28" ht="55.05" customHeight="1" x14ac:dyDescent="0.3">
      <c r="A55" s="4" t="s">
        <v>181</v>
      </c>
      <c r="B55" s="4" t="s">
        <v>18</v>
      </c>
      <c r="C55" s="4" t="s">
        <v>19</v>
      </c>
      <c r="D55" s="4" t="s">
        <v>20</v>
      </c>
      <c r="E55" s="4" t="s">
        <v>30</v>
      </c>
      <c r="F55" s="4" t="s">
        <v>22</v>
      </c>
      <c r="G55" s="4" t="s">
        <v>31</v>
      </c>
      <c r="H55" s="4" t="s">
        <v>32</v>
      </c>
      <c r="I55" s="4" t="s">
        <v>33</v>
      </c>
      <c r="J55" s="5">
        <f>DATE(2022,3,22)</f>
        <v>44642</v>
      </c>
      <c r="K55" s="4" t="s">
        <v>26</v>
      </c>
      <c r="L55" s="4" t="s">
        <v>229</v>
      </c>
      <c r="O55" s="4" t="s">
        <v>35</v>
      </c>
      <c r="P55" s="5">
        <f>DATE(2020,7,21)</f>
        <v>44033</v>
      </c>
    </row>
    <row r="56" spans="1:28" ht="55.05" customHeight="1" x14ac:dyDescent="0.3">
      <c r="A56" s="4" t="s">
        <v>181</v>
      </c>
      <c r="B56" s="4" t="s">
        <v>18</v>
      </c>
      <c r="C56" s="4" t="s">
        <v>40</v>
      </c>
      <c r="D56" s="4" t="s">
        <v>20</v>
      </c>
      <c r="E56" s="4" t="s">
        <v>230</v>
      </c>
      <c r="F56" s="4" t="s">
        <v>42</v>
      </c>
      <c r="G56" s="4" t="s">
        <v>231</v>
      </c>
      <c r="H56" s="4" t="s">
        <v>24</v>
      </c>
      <c r="I56" s="4" t="s">
        <v>25</v>
      </c>
      <c r="K56" s="4" t="s">
        <v>26</v>
      </c>
      <c r="L56" s="4" t="s">
        <v>232</v>
      </c>
      <c r="O56" s="4" t="s">
        <v>233</v>
      </c>
      <c r="P56" s="5">
        <f>DATE(2023,10,24)</f>
        <v>45223</v>
      </c>
      <c r="Q56" s="4" t="s">
        <v>234</v>
      </c>
      <c r="R56" s="5">
        <f>DATE(2021,7,20)</f>
        <v>44397</v>
      </c>
    </row>
    <row r="57" spans="1:28" ht="55.05" customHeight="1" x14ac:dyDescent="0.3">
      <c r="A57" s="4" t="s">
        <v>181</v>
      </c>
      <c r="B57" s="4" t="s">
        <v>18</v>
      </c>
      <c r="C57" s="4" t="s">
        <v>40</v>
      </c>
      <c r="D57" s="4" t="s">
        <v>20</v>
      </c>
      <c r="E57" s="4" t="s">
        <v>230</v>
      </c>
      <c r="F57" s="4" t="s">
        <v>42</v>
      </c>
      <c r="G57" s="4" t="s">
        <v>235</v>
      </c>
      <c r="H57" s="4" t="s">
        <v>24</v>
      </c>
      <c r="I57" s="4" t="s">
        <v>25</v>
      </c>
      <c r="K57" s="4" t="s">
        <v>26</v>
      </c>
      <c r="L57" s="4" t="s">
        <v>236</v>
      </c>
      <c r="O57" s="4" t="s">
        <v>237</v>
      </c>
      <c r="P57" s="5">
        <f>DATE(2022,5,24)</f>
        <v>44705</v>
      </c>
      <c r="Q57" s="4" t="s">
        <v>53</v>
      </c>
      <c r="R57" s="5">
        <f>DATE(2021,12,21)</f>
        <v>44551</v>
      </c>
      <c r="S57" s="4" t="s">
        <v>238</v>
      </c>
      <c r="T57" s="5">
        <f>DATE(2021,9,28)</f>
        <v>44467</v>
      </c>
    </row>
    <row r="58" spans="1:28" ht="55.05" customHeight="1" x14ac:dyDescent="0.3">
      <c r="A58" s="4" t="s">
        <v>181</v>
      </c>
      <c r="B58" s="4" t="s">
        <v>18</v>
      </c>
      <c r="C58" s="4" t="s">
        <v>40</v>
      </c>
      <c r="D58" s="4" t="s">
        <v>20</v>
      </c>
      <c r="E58" s="4" t="s">
        <v>230</v>
      </c>
      <c r="F58" s="4" t="s">
        <v>42</v>
      </c>
      <c r="G58" s="4" t="s">
        <v>239</v>
      </c>
      <c r="H58" s="4" t="s">
        <v>24</v>
      </c>
      <c r="I58" s="4" t="s">
        <v>25</v>
      </c>
      <c r="K58" s="4" t="s">
        <v>26</v>
      </c>
      <c r="L58" s="4" t="s">
        <v>240</v>
      </c>
      <c r="O58" s="4" t="s">
        <v>241</v>
      </c>
      <c r="P58" s="5">
        <f>DATE(2023,8,22)</f>
        <v>45160</v>
      </c>
      <c r="Q58" s="4" t="s">
        <v>242</v>
      </c>
      <c r="R58" s="5">
        <f>DATE(2023,6,27)</f>
        <v>45104</v>
      </c>
      <c r="S58" s="4" t="s">
        <v>243</v>
      </c>
      <c r="T58" s="5">
        <f>DATE(2023,2,21)</f>
        <v>44978</v>
      </c>
      <c r="U58" s="4" t="s">
        <v>244</v>
      </c>
      <c r="V58" s="5">
        <f>DATE(2022,3,22)</f>
        <v>44642</v>
      </c>
      <c r="W58" s="4" t="s">
        <v>245</v>
      </c>
      <c r="X58" s="5">
        <f>DATE(2018,1,4)</f>
        <v>43104</v>
      </c>
    </row>
    <row r="59" spans="1:28" ht="55.05" customHeight="1" x14ac:dyDescent="0.3">
      <c r="A59" s="4" t="s">
        <v>181</v>
      </c>
      <c r="B59" s="4" t="s">
        <v>18</v>
      </c>
      <c r="C59" s="4" t="s">
        <v>40</v>
      </c>
      <c r="D59" s="4" t="s">
        <v>20</v>
      </c>
      <c r="E59" s="4" t="s">
        <v>41</v>
      </c>
      <c r="F59" s="4" t="s">
        <v>42</v>
      </c>
      <c r="G59" s="4" t="s">
        <v>246</v>
      </c>
      <c r="H59" s="4" t="s">
        <v>24</v>
      </c>
      <c r="I59" s="4" t="s">
        <v>25</v>
      </c>
      <c r="K59" s="4" t="s">
        <v>26</v>
      </c>
      <c r="L59" s="4" t="s">
        <v>247</v>
      </c>
      <c r="O59" s="4" t="s">
        <v>248</v>
      </c>
      <c r="P59" s="5">
        <f>DATE(2023,9,19)</f>
        <v>45188</v>
      </c>
      <c r="Q59" s="4" t="s">
        <v>249</v>
      </c>
      <c r="R59" s="5">
        <f>DATE(2023,8,22)</f>
        <v>45160</v>
      </c>
      <c r="S59" s="4" t="s">
        <v>250</v>
      </c>
      <c r="T59" s="5">
        <f>DATE(2023,5,23)</f>
        <v>45069</v>
      </c>
      <c r="U59" s="4" t="s">
        <v>251</v>
      </c>
      <c r="V59" s="5">
        <f>DATE(2022,12,16)</f>
        <v>44911</v>
      </c>
      <c r="W59" s="4" t="s">
        <v>252</v>
      </c>
      <c r="X59" s="5">
        <f>DATE(2022,10,25)</f>
        <v>44859</v>
      </c>
      <c r="Y59" s="4" t="s">
        <v>253</v>
      </c>
      <c r="Z59" s="5">
        <f>DATE(2022,9,27)</f>
        <v>44831</v>
      </c>
      <c r="AA59" s="4" t="s">
        <v>136</v>
      </c>
      <c r="AB59" s="5">
        <f>DATE(2022,6,28)</f>
        <v>44740</v>
      </c>
    </row>
    <row r="60" spans="1:28" ht="55.05" customHeight="1" x14ac:dyDescent="0.3">
      <c r="A60" s="4" t="s">
        <v>181</v>
      </c>
      <c r="B60" s="4" t="s">
        <v>18</v>
      </c>
      <c r="C60" s="4" t="s">
        <v>40</v>
      </c>
      <c r="D60" s="4" t="s">
        <v>20</v>
      </c>
      <c r="E60" s="4" t="s">
        <v>41</v>
      </c>
      <c r="F60" s="4" t="s">
        <v>42</v>
      </c>
      <c r="G60" s="4" t="s">
        <v>254</v>
      </c>
      <c r="H60" s="4" t="s">
        <v>24</v>
      </c>
      <c r="I60" s="4" t="s">
        <v>25</v>
      </c>
      <c r="K60" s="4" t="s">
        <v>26</v>
      </c>
      <c r="L60" s="4" t="s">
        <v>255</v>
      </c>
      <c r="O60" s="4" t="s">
        <v>256</v>
      </c>
      <c r="P60" s="5">
        <f>DATE(2023,9,19)</f>
        <v>45188</v>
      </c>
      <c r="Q60" s="4" t="s">
        <v>257</v>
      </c>
      <c r="R60" s="5">
        <f>DATE(2023,6,27)</f>
        <v>45104</v>
      </c>
      <c r="S60" s="4" t="s">
        <v>258</v>
      </c>
      <c r="T60" s="5">
        <f>DATE(2022,6,28)</f>
        <v>44740</v>
      </c>
      <c r="U60" s="4" t="s">
        <v>259</v>
      </c>
      <c r="V60" s="5">
        <f>DATE(2022,5,24)</f>
        <v>44705</v>
      </c>
      <c r="W60" s="4" t="s">
        <v>53</v>
      </c>
      <c r="X60" s="5">
        <f>DATE(2021,12,21)</f>
        <v>44551</v>
      </c>
      <c r="Y60" s="4" t="s">
        <v>260</v>
      </c>
      <c r="Z60" s="5">
        <f>DATE(2021,11,23)</f>
        <v>44523</v>
      </c>
    </row>
    <row r="61" spans="1:28" ht="55.05" customHeight="1" x14ac:dyDescent="0.3">
      <c r="A61" s="4" t="s">
        <v>181</v>
      </c>
      <c r="B61" s="4" t="s">
        <v>18</v>
      </c>
      <c r="C61" s="4" t="s">
        <v>40</v>
      </c>
      <c r="D61" s="4" t="s">
        <v>20</v>
      </c>
      <c r="E61" s="4" t="s">
        <v>41</v>
      </c>
      <c r="F61" s="4" t="s">
        <v>42</v>
      </c>
      <c r="G61" s="4" t="s">
        <v>261</v>
      </c>
      <c r="H61" s="4" t="s">
        <v>24</v>
      </c>
      <c r="I61" s="4" t="s">
        <v>25</v>
      </c>
      <c r="K61" s="4" t="s">
        <v>26</v>
      </c>
      <c r="L61" s="4" t="s">
        <v>262</v>
      </c>
      <c r="O61" s="4" t="s">
        <v>136</v>
      </c>
      <c r="P61" s="5">
        <f>DATE(2022,6,28)</f>
        <v>44740</v>
      </c>
      <c r="Q61" s="4" t="s">
        <v>237</v>
      </c>
      <c r="R61" s="5">
        <f>DATE(2022,5,24)</f>
        <v>44705</v>
      </c>
      <c r="S61" s="4" t="s">
        <v>53</v>
      </c>
      <c r="T61" s="5">
        <f>DATE(2021,12,21)</f>
        <v>44551</v>
      </c>
      <c r="U61" s="4" t="s">
        <v>238</v>
      </c>
      <c r="V61" s="5">
        <f>DATE(2021,9,28)</f>
        <v>44467</v>
      </c>
    </row>
    <row r="62" spans="1:28" ht="55.05" customHeight="1" x14ac:dyDescent="0.3">
      <c r="A62" s="4" t="s">
        <v>181</v>
      </c>
      <c r="B62" s="4" t="s">
        <v>18</v>
      </c>
      <c r="C62" s="4" t="s">
        <v>40</v>
      </c>
      <c r="D62" s="4" t="s">
        <v>20</v>
      </c>
      <c r="E62" s="4" t="s">
        <v>41</v>
      </c>
      <c r="F62" s="4" t="s">
        <v>42</v>
      </c>
      <c r="G62" s="4" t="s">
        <v>263</v>
      </c>
      <c r="H62" s="4" t="s">
        <v>24</v>
      </c>
      <c r="I62" s="4" t="s">
        <v>25</v>
      </c>
      <c r="K62" s="4" t="s">
        <v>26</v>
      </c>
      <c r="L62" s="4" t="s">
        <v>264</v>
      </c>
      <c r="O62" s="4" t="s">
        <v>237</v>
      </c>
      <c r="P62" s="5">
        <f>DATE(2022,5,24)</f>
        <v>44705</v>
      </c>
      <c r="Q62" s="4" t="s">
        <v>53</v>
      </c>
      <c r="R62" s="5">
        <f>DATE(2021,12,21)</f>
        <v>44551</v>
      </c>
      <c r="S62" s="4" t="s">
        <v>125</v>
      </c>
      <c r="T62" s="5">
        <f>DATE(2020,7,21)</f>
        <v>44033</v>
      </c>
    </row>
    <row r="63" spans="1:28" ht="55.05" customHeight="1" x14ac:dyDescent="0.3">
      <c r="A63" s="4" t="s">
        <v>181</v>
      </c>
      <c r="B63" s="4" t="s">
        <v>18</v>
      </c>
      <c r="C63" s="4" t="s">
        <v>40</v>
      </c>
      <c r="D63" s="4" t="s">
        <v>20</v>
      </c>
      <c r="E63" s="4" t="s">
        <v>41</v>
      </c>
      <c r="F63" s="4" t="s">
        <v>42</v>
      </c>
      <c r="G63" s="4" t="s">
        <v>265</v>
      </c>
      <c r="H63" s="4" t="s">
        <v>24</v>
      </c>
      <c r="I63" s="4" t="s">
        <v>25</v>
      </c>
      <c r="K63" s="4" t="s">
        <v>26</v>
      </c>
      <c r="L63" s="4" t="s">
        <v>266</v>
      </c>
      <c r="O63" s="4" t="s">
        <v>233</v>
      </c>
      <c r="P63" s="5">
        <f>DATE(2023,10,24)</f>
        <v>45223</v>
      </c>
      <c r="Q63" s="4" t="s">
        <v>53</v>
      </c>
      <c r="R63" s="5">
        <f>DATE(2021,12,21)</f>
        <v>44551</v>
      </c>
      <c r="S63" s="4" t="s">
        <v>234</v>
      </c>
      <c r="T63" s="5">
        <f>DATE(2021,7,20)</f>
        <v>44397</v>
      </c>
    </row>
    <row r="64" spans="1:28" ht="55.05" customHeight="1" x14ac:dyDescent="0.3">
      <c r="A64" s="4" t="s">
        <v>181</v>
      </c>
      <c r="B64" s="4" t="s">
        <v>18</v>
      </c>
      <c r="C64" s="4" t="s">
        <v>40</v>
      </c>
      <c r="D64" s="4" t="s">
        <v>20</v>
      </c>
      <c r="E64" s="4" t="s">
        <v>267</v>
      </c>
      <c r="F64" s="4" t="s">
        <v>42</v>
      </c>
      <c r="G64" s="4" t="s">
        <v>268</v>
      </c>
      <c r="H64" s="4" t="s">
        <v>24</v>
      </c>
      <c r="I64" s="4" t="s">
        <v>25</v>
      </c>
      <c r="K64" s="4" t="s">
        <v>26</v>
      </c>
      <c r="L64" s="4" t="s">
        <v>269</v>
      </c>
      <c r="O64" s="4" t="s">
        <v>49</v>
      </c>
      <c r="P64" s="5">
        <f>DATE(2023,6,27)</f>
        <v>45104</v>
      </c>
      <c r="Q64" s="4" t="s">
        <v>270</v>
      </c>
      <c r="R64" s="5">
        <f>DATE(2023,3,28)</f>
        <v>45013</v>
      </c>
      <c r="S64" s="4" t="s">
        <v>271</v>
      </c>
      <c r="T64" s="5">
        <f>DATE(2023,1,24)</f>
        <v>44950</v>
      </c>
      <c r="U64" s="4" t="s">
        <v>272</v>
      </c>
      <c r="V64" s="5">
        <f>DATE(2022,11,22)</f>
        <v>44887</v>
      </c>
      <c r="W64" s="4" t="s">
        <v>273</v>
      </c>
      <c r="X64" s="5">
        <f>DATE(2022,2,22)</f>
        <v>44614</v>
      </c>
      <c r="Y64" s="4" t="s">
        <v>53</v>
      </c>
      <c r="Z64" s="5">
        <f>DATE(2021,12,21)</f>
        <v>44551</v>
      </c>
      <c r="AA64" s="4" t="s">
        <v>260</v>
      </c>
      <c r="AB64" s="5">
        <f>DATE(2021,11,23)</f>
        <v>44523</v>
      </c>
    </row>
    <row r="65" spans="1:26" ht="55.05" customHeight="1" x14ac:dyDescent="0.3">
      <c r="A65" s="4" t="s">
        <v>181</v>
      </c>
      <c r="B65" s="4" t="s">
        <v>18</v>
      </c>
      <c r="C65" s="4" t="s">
        <v>40</v>
      </c>
      <c r="D65" s="4" t="s">
        <v>20</v>
      </c>
      <c r="E65" s="4" t="s">
        <v>267</v>
      </c>
      <c r="F65" s="4" t="s">
        <v>42</v>
      </c>
      <c r="G65" s="4" t="s">
        <v>274</v>
      </c>
      <c r="H65" s="4" t="s">
        <v>24</v>
      </c>
      <c r="I65" s="4" t="s">
        <v>25</v>
      </c>
      <c r="K65" s="4" t="s">
        <v>26</v>
      </c>
      <c r="L65" s="4" t="s">
        <v>275</v>
      </c>
      <c r="O65" s="4" t="s">
        <v>276</v>
      </c>
      <c r="P65" s="5">
        <f>DATE(2022,4,26)</f>
        <v>44677</v>
      </c>
      <c r="Q65" s="4" t="s">
        <v>53</v>
      </c>
      <c r="R65" s="5">
        <f>DATE(2021,12,21)</f>
        <v>44551</v>
      </c>
    </row>
    <row r="66" spans="1:26" ht="55.05" customHeight="1" x14ac:dyDescent="0.3">
      <c r="A66" s="4" t="s">
        <v>181</v>
      </c>
      <c r="B66" s="4" t="s">
        <v>18</v>
      </c>
      <c r="C66" s="4" t="s">
        <v>40</v>
      </c>
      <c r="D66" s="4" t="s">
        <v>20</v>
      </c>
      <c r="E66" s="4" t="s">
        <v>267</v>
      </c>
      <c r="F66" s="4" t="s">
        <v>42</v>
      </c>
      <c r="G66" s="4" t="s">
        <v>277</v>
      </c>
      <c r="H66" s="4" t="s">
        <v>24</v>
      </c>
      <c r="I66" s="4" t="s">
        <v>25</v>
      </c>
      <c r="K66" s="4" t="s">
        <v>26</v>
      </c>
      <c r="L66" s="4" t="s">
        <v>278</v>
      </c>
      <c r="O66" s="4" t="s">
        <v>237</v>
      </c>
      <c r="P66" s="5">
        <f>DATE(2022,5,24)</f>
        <v>44705</v>
      </c>
      <c r="Q66" s="4" t="s">
        <v>53</v>
      </c>
      <c r="R66" s="5">
        <f>DATE(2021,12,21)</f>
        <v>44551</v>
      </c>
    </row>
    <row r="67" spans="1:26" ht="55.05" customHeight="1" x14ac:dyDescent="0.3">
      <c r="A67" s="4" t="s">
        <v>181</v>
      </c>
      <c r="B67" s="4" t="s">
        <v>18</v>
      </c>
      <c r="C67" s="4" t="s">
        <v>40</v>
      </c>
      <c r="D67" s="4" t="s">
        <v>20</v>
      </c>
      <c r="E67" s="4" t="s">
        <v>267</v>
      </c>
      <c r="F67" s="4" t="s">
        <v>42</v>
      </c>
      <c r="G67" s="4" t="s">
        <v>279</v>
      </c>
      <c r="H67" s="4" t="s">
        <v>24</v>
      </c>
      <c r="I67" s="4" t="s">
        <v>25</v>
      </c>
      <c r="K67" s="4" t="s">
        <v>26</v>
      </c>
      <c r="L67" s="4" t="s">
        <v>280</v>
      </c>
      <c r="O67" s="4" t="s">
        <v>150</v>
      </c>
      <c r="P67" s="5">
        <f>DATE(2023,6,27)</f>
        <v>45104</v>
      </c>
      <c r="Q67" s="4" t="s">
        <v>237</v>
      </c>
      <c r="R67" s="5">
        <f>DATE(2022,5,24)</f>
        <v>44705</v>
      </c>
      <c r="S67" s="4" t="s">
        <v>53</v>
      </c>
      <c r="T67" s="5">
        <f>DATE(2021,12,21)</f>
        <v>44551</v>
      </c>
    </row>
    <row r="68" spans="1:26" ht="55.05" customHeight="1" x14ac:dyDescent="0.3">
      <c r="A68" s="4" t="s">
        <v>181</v>
      </c>
      <c r="B68" s="4" t="s">
        <v>18</v>
      </c>
      <c r="C68" s="4" t="s">
        <v>40</v>
      </c>
      <c r="D68" s="4" t="s">
        <v>20</v>
      </c>
      <c r="E68" s="4" t="s">
        <v>267</v>
      </c>
      <c r="F68" s="4" t="s">
        <v>42</v>
      </c>
      <c r="G68" s="4" t="s">
        <v>281</v>
      </c>
      <c r="H68" s="4" t="s">
        <v>24</v>
      </c>
      <c r="I68" s="4" t="s">
        <v>25</v>
      </c>
      <c r="K68" s="4" t="s">
        <v>26</v>
      </c>
      <c r="L68" s="4" t="s">
        <v>282</v>
      </c>
      <c r="O68" s="4" t="s">
        <v>49</v>
      </c>
      <c r="P68" s="5">
        <f>DATE(2023,6,27)</f>
        <v>45104</v>
      </c>
      <c r="Q68" s="4" t="s">
        <v>283</v>
      </c>
      <c r="R68" s="5">
        <f>DATE(2023,1,24)</f>
        <v>44950</v>
      </c>
      <c r="S68" s="4" t="s">
        <v>53</v>
      </c>
      <c r="T68" s="5">
        <f>DATE(2021,12,21)</f>
        <v>44551</v>
      </c>
    </row>
    <row r="69" spans="1:26" ht="55.05" customHeight="1" x14ac:dyDescent="0.3">
      <c r="A69" s="4" t="s">
        <v>181</v>
      </c>
      <c r="B69" s="4" t="s">
        <v>18</v>
      </c>
      <c r="C69" s="4" t="s">
        <v>40</v>
      </c>
      <c r="D69" s="4" t="s">
        <v>20</v>
      </c>
      <c r="E69" s="4" t="s">
        <v>267</v>
      </c>
      <c r="F69" s="4" t="s">
        <v>42</v>
      </c>
      <c r="G69" s="4" t="s">
        <v>284</v>
      </c>
      <c r="H69" s="4" t="s">
        <v>24</v>
      </c>
      <c r="I69" s="4" t="s">
        <v>25</v>
      </c>
      <c r="K69" s="4" t="s">
        <v>26</v>
      </c>
      <c r="L69" s="4" t="s">
        <v>285</v>
      </c>
      <c r="O69" s="4" t="s">
        <v>276</v>
      </c>
      <c r="P69" s="5">
        <f>DATE(2022,4,26)</f>
        <v>44677</v>
      </c>
      <c r="Q69" s="4" t="s">
        <v>53</v>
      </c>
      <c r="R69" s="5">
        <f>DATE(2021,12,21)</f>
        <v>44551</v>
      </c>
    </row>
    <row r="70" spans="1:26" ht="55.05" customHeight="1" x14ac:dyDescent="0.3">
      <c r="A70" s="4" t="s">
        <v>181</v>
      </c>
      <c r="B70" s="4" t="s">
        <v>18</v>
      </c>
      <c r="C70" s="4" t="s">
        <v>40</v>
      </c>
      <c r="D70" s="4" t="s">
        <v>20</v>
      </c>
      <c r="E70" s="4" t="s">
        <v>267</v>
      </c>
      <c r="F70" s="4" t="s">
        <v>42</v>
      </c>
      <c r="G70" s="4" t="s">
        <v>286</v>
      </c>
      <c r="H70" s="4" t="s">
        <v>24</v>
      </c>
      <c r="I70" s="4" t="s">
        <v>25</v>
      </c>
      <c r="K70" s="4" t="s">
        <v>26</v>
      </c>
      <c r="L70" s="4" t="s">
        <v>287</v>
      </c>
      <c r="O70" s="4" t="s">
        <v>288</v>
      </c>
      <c r="P70" s="5">
        <f>DATE(2023,11,27)</f>
        <v>45257</v>
      </c>
      <c r="Q70" s="4" t="s">
        <v>237</v>
      </c>
      <c r="R70" s="5">
        <f>DATE(2022,5,24)</f>
        <v>44705</v>
      </c>
      <c r="S70" s="4" t="s">
        <v>53</v>
      </c>
      <c r="T70" s="5">
        <f>DATE(2021,12,21)</f>
        <v>44551</v>
      </c>
    </row>
    <row r="71" spans="1:26" ht="55.05" customHeight="1" x14ac:dyDescent="0.3">
      <c r="A71" s="4" t="s">
        <v>181</v>
      </c>
      <c r="B71" s="4" t="s">
        <v>18</v>
      </c>
      <c r="C71" s="4" t="s">
        <v>40</v>
      </c>
      <c r="D71" s="4" t="s">
        <v>20</v>
      </c>
      <c r="E71" s="4" t="s">
        <v>267</v>
      </c>
      <c r="F71" s="4" t="s">
        <v>42</v>
      </c>
      <c r="G71" s="4" t="s">
        <v>289</v>
      </c>
      <c r="H71" s="4" t="s">
        <v>24</v>
      </c>
      <c r="I71" s="4" t="s">
        <v>25</v>
      </c>
      <c r="K71" s="4" t="s">
        <v>26</v>
      </c>
      <c r="L71" s="4" t="s">
        <v>290</v>
      </c>
      <c r="O71" s="4" t="s">
        <v>276</v>
      </c>
      <c r="P71" s="5">
        <f>DATE(2022,4,26)</f>
        <v>44677</v>
      </c>
      <c r="Q71" s="4" t="s">
        <v>53</v>
      </c>
      <c r="R71" s="5">
        <f>DATE(2021,12,21)</f>
        <v>44551</v>
      </c>
    </row>
    <row r="72" spans="1:26" ht="55.05" customHeight="1" x14ac:dyDescent="0.3">
      <c r="A72" s="4" t="s">
        <v>181</v>
      </c>
      <c r="B72" s="4" t="s">
        <v>18</v>
      </c>
      <c r="C72" s="4" t="s">
        <v>40</v>
      </c>
      <c r="D72" s="4" t="s">
        <v>20</v>
      </c>
      <c r="E72" s="4" t="s">
        <v>267</v>
      </c>
      <c r="F72" s="4" t="s">
        <v>42</v>
      </c>
      <c r="G72" s="4" t="s">
        <v>291</v>
      </c>
      <c r="H72" s="4" t="s">
        <v>24</v>
      </c>
      <c r="I72" s="4" t="s">
        <v>25</v>
      </c>
      <c r="K72" s="4" t="s">
        <v>26</v>
      </c>
      <c r="L72" s="4" t="s">
        <v>292</v>
      </c>
      <c r="O72" s="4" t="s">
        <v>293</v>
      </c>
      <c r="P72" s="5">
        <f>DATE(2023,11,27)</f>
        <v>45257</v>
      </c>
      <c r="Q72" s="4" t="s">
        <v>294</v>
      </c>
      <c r="R72" s="5">
        <f>DATE(2023,4,25)</f>
        <v>45041</v>
      </c>
      <c r="S72" s="4" t="s">
        <v>53</v>
      </c>
      <c r="T72" s="5">
        <f>DATE(2021,12,21)</f>
        <v>44551</v>
      </c>
    </row>
    <row r="73" spans="1:26" ht="55.05" customHeight="1" x14ac:dyDescent="0.3">
      <c r="A73" s="4" t="s">
        <v>181</v>
      </c>
      <c r="B73" s="4" t="s">
        <v>18</v>
      </c>
      <c r="C73" s="4" t="s">
        <v>40</v>
      </c>
      <c r="D73" s="4" t="s">
        <v>20</v>
      </c>
      <c r="E73" s="4" t="s">
        <v>267</v>
      </c>
      <c r="F73" s="4" t="s">
        <v>42</v>
      </c>
      <c r="G73" s="4" t="s">
        <v>295</v>
      </c>
      <c r="H73" s="4" t="s">
        <v>24</v>
      </c>
      <c r="I73" s="4" t="s">
        <v>25</v>
      </c>
      <c r="K73" s="4" t="s">
        <v>26</v>
      </c>
      <c r="L73" s="4" t="s">
        <v>296</v>
      </c>
      <c r="O73" s="4" t="s">
        <v>276</v>
      </c>
      <c r="P73" s="5">
        <f>DATE(2022,4,26)</f>
        <v>44677</v>
      </c>
      <c r="Q73" s="4" t="s">
        <v>53</v>
      </c>
      <c r="R73" s="5">
        <f>DATE(2021,12,21)</f>
        <v>44551</v>
      </c>
    </row>
    <row r="74" spans="1:26" ht="55.05" customHeight="1" x14ac:dyDescent="0.3">
      <c r="A74" s="4" t="s">
        <v>181</v>
      </c>
      <c r="B74" s="4" t="s">
        <v>18</v>
      </c>
      <c r="C74" s="4" t="s">
        <v>40</v>
      </c>
      <c r="D74" s="4" t="s">
        <v>20</v>
      </c>
      <c r="E74" s="4" t="s">
        <v>267</v>
      </c>
      <c r="F74" s="4" t="s">
        <v>42</v>
      </c>
      <c r="G74" s="4" t="s">
        <v>297</v>
      </c>
      <c r="H74" s="4" t="s">
        <v>24</v>
      </c>
      <c r="I74" s="4" t="s">
        <v>25</v>
      </c>
      <c r="K74" s="4" t="s">
        <v>26</v>
      </c>
      <c r="L74" s="4" t="s">
        <v>298</v>
      </c>
      <c r="O74" s="4" t="s">
        <v>299</v>
      </c>
      <c r="P74" s="5">
        <f>DATE(2023,10,24)</f>
        <v>45223</v>
      </c>
      <c r="Q74" s="4" t="s">
        <v>300</v>
      </c>
      <c r="R74" s="5">
        <f>DATE(2023,1,24)</f>
        <v>44950</v>
      </c>
      <c r="S74" s="4" t="s">
        <v>301</v>
      </c>
      <c r="T74" s="5">
        <f>DATE(2022,12,16)</f>
        <v>44911</v>
      </c>
      <c r="U74" s="4" t="s">
        <v>302</v>
      </c>
      <c r="V74" s="5">
        <f>DATE(2022,10,25)</f>
        <v>44859</v>
      </c>
      <c r="W74" s="4" t="s">
        <v>303</v>
      </c>
      <c r="X74" s="5">
        <f>DATE(2022,7,22)</f>
        <v>44764</v>
      </c>
      <c r="Y74" s="4" t="s">
        <v>53</v>
      </c>
      <c r="Z74" s="5">
        <f>DATE(2021,12,21)</f>
        <v>44551</v>
      </c>
    </row>
    <row r="75" spans="1:26" ht="55.05" customHeight="1" x14ac:dyDescent="0.3">
      <c r="A75" s="4" t="s">
        <v>181</v>
      </c>
      <c r="B75" s="4" t="s">
        <v>18</v>
      </c>
      <c r="C75" s="4" t="s">
        <v>40</v>
      </c>
      <c r="D75" s="4" t="s">
        <v>20</v>
      </c>
      <c r="E75" s="4" t="s">
        <v>267</v>
      </c>
      <c r="F75" s="4" t="s">
        <v>42</v>
      </c>
      <c r="G75" s="4" t="s">
        <v>304</v>
      </c>
      <c r="H75" s="4" t="s">
        <v>24</v>
      </c>
      <c r="I75" s="4" t="s">
        <v>25</v>
      </c>
      <c r="K75" s="4" t="s">
        <v>26</v>
      </c>
      <c r="L75" s="4" t="s">
        <v>305</v>
      </c>
      <c r="O75" s="4" t="s">
        <v>276</v>
      </c>
      <c r="P75" s="5">
        <f>DATE(2022,4,26)</f>
        <v>44677</v>
      </c>
      <c r="Q75" s="4" t="s">
        <v>53</v>
      </c>
      <c r="R75" s="5">
        <f>DATE(2021,12,21)</f>
        <v>44551</v>
      </c>
    </row>
    <row r="76" spans="1:26" ht="55.05" customHeight="1" x14ac:dyDescent="0.3">
      <c r="A76" s="4" t="s">
        <v>181</v>
      </c>
      <c r="B76" s="4" t="s">
        <v>18</v>
      </c>
      <c r="C76" s="4" t="s">
        <v>40</v>
      </c>
      <c r="D76" s="4" t="s">
        <v>20</v>
      </c>
      <c r="E76" s="4" t="s">
        <v>45</v>
      </c>
      <c r="F76" s="4" t="s">
        <v>42</v>
      </c>
      <c r="G76" s="4" t="s">
        <v>306</v>
      </c>
      <c r="H76" s="4" t="s">
        <v>24</v>
      </c>
      <c r="I76" s="4" t="s">
        <v>25</v>
      </c>
      <c r="K76" s="4" t="s">
        <v>26</v>
      </c>
      <c r="L76" s="4" t="s">
        <v>307</v>
      </c>
      <c r="O76" s="4" t="s">
        <v>48</v>
      </c>
      <c r="P76" s="5">
        <f>DATE(2023,8,22)</f>
        <v>45160</v>
      </c>
      <c r="Q76" s="4" t="s">
        <v>294</v>
      </c>
      <c r="R76" s="5">
        <f>DATE(2023,5,25)</f>
        <v>45071</v>
      </c>
      <c r="S76" s="4" t="s">
        <v>271</v>
      </c>
      <c r="T76" s="5">
        <f>DATE(2023,1,24)</f>
        <v>44950</v>
      </c>
      <c r="U76" s="4" t="s">
        <v>276</v>
      </c>
      <c r="V76" s="5">
        <f>DATE(2022,4,26)</f>
        <v>44677</v>
      </c>
      <c r="W76" s="4" t="s">
        <v>53</v>
      </c>
      <c r="X76" s="5">
        <f>DATE(2021,12,21)</f>
        <v>44551</v>
      </c>
    </row>
    <row r="77" spans="1:26" ht="55.05" customHeight="1" x14ac:dyDescent="0.3">
      <c r="A77" s="4" t="s">
        <v>181</v>
      </c>
      <c r="B77" s="4" t="s">
        <v>18</v>
      </c>
      <c r="C77" s="4" t="s">
        <v>40</v>
      </c>
      <c r="D77" s="4" t="s">
        <v>20</v>
      </c>
      <c r="E77" s="4" t="s">
        <v>267</v>
      </c>
      <c r="F77" s="4" t="s">
        <v>42</v>
      </c>
      <c r="G77" s="4" t="s">
        <v>308</v>
      </c>
      <c r="H77" s="4" t="s">
        <v>24</v>
      </c>
      <c r="I77" s="4" t="s">
        <v>25</v>
      </c>
      <c r="K77" s="4" t="s">
        <v>26</v>
      </c>
      <c r="L77" s="4" t="s">
        <v>309</v>
      </c>
      <c r="O77" s="4" t="s">
        <v>50</v>
      </c>
      <c r="P77" s="5">
        <f>DATE(2023,5,23)</f>
        <v>45069</v>
      </c>
      <c r="Q77" s="4" t="s">
        <v>310</v>
      </c>
      <c r="R77" s="5">
        <f>DATE(2022,10,25)</f>
        <v>44859</v>
      </c>
      <c r="S77" s="4" t="s">
        <v>53</v>
      </c>
      <c r="T77" s="5">
        <f>DATE(2021,12,21)</f>
        <v>44551</v>
      </c>
    </row>
    <row r="78" spans="1:26" ht="55.05" customHeight="1" x14ac:dyDescent="0.3">
      <c r="A78" s="4" t="s">
        <v>181</v>
      </c>
      <c r="B78" s="4" t="s">
        <v>18</v>
      </c>
      <c r="C78" s="4" t="s">
        <v>40</v>
      </c>
      <c r="D78" s="4" t="s">
        <v>20</v>
      </c>
      <c r="E78" s="4" t="s">
        <v>45</v>
      </c>
      <c r="F78" s="4" t="s">
        <v>42</v>
      </c>
      <c r="G78" s="4" t="s">
        <v>311</v>
      </c>
      <c r="H78" s="4" t="s">
        <v>24</v>
      </c>
      <c r="I78" s="4" t="s">
        <v>25</v>
      </c>
      <c r="K78" s="4" t="s">
        <v>26</v>
      </c>
      <c r="L78" s="4" t="s">
        <v>312</v>
      </c>
      <c r="O78" s="4" t="s">
        <v>48</v>
      </c>
      <c r="P78" s="5">
        <f>DATE(2023,8,22)</f>
        <v>45160</v>
      </c>
      <c r="Q78" s="4" t="s">
        <v>313</v>
      </c>
      <c r="R78" s="5">
        <f>DATE(2022,9,27)</f>
        <v>44831</v>
      </c>
      <c r="S78" s="4" t="s">
        <v>314</v>
      </c>
      <c r="T78" s="5">
        <f>DATE(2022,6,28)</f>
        <v>44740</v>
      </c>
      <c r="U78" s="4" t="s">
        <v>53</v>
      </c>
      <c r="V78" s="5">
        <f>DATE(2021,12,21)</f>
        <v>44551</v>
      </c>
    </row>
    <row r="79" spans="1:26" ht="55.05" customHeight="1" x14ac:dyDescent="0.3">
      <c r="A79" s="4" t="s">
        <v>181</v>
      </c>
      <c r="B79" s="4" t="s">
        <v>18</v>
      </c>
      <c r="C79" s="4" t="s">
        <v>40</v>
      </c>
      <c r="D79" s="4" t="s">
        <v>58</v>
      </c>
      <c r="E79" s="4" t="s">
        <v>315</v>
      </c>
      <c r="F79" s="4" t="s">
        <v>42</v>
      </c>
      <c r="G79" s="4" t="s">
        <v>316</v>
      </c>
      <c r="H79" s="4" t="s">
        <v>24</v>
      </c>
      <c r="I79" s="4" t="s">
        <v>25</v>
      </c>
      <c r="K79" s="4" t="s">
        <v>26</v>
      </c>
      <c r="L79" s="4" t="s">
        <v>317</v>
      </c>
      <c r="O79" s="4" t="s">
        <v>318</v>
      </c>
      <c r="P79" s="5">
        <f>DATE(2023,8,22)</f>
        <v>45160</v>
      </c>
      <c r="Q79" s="4" t="s">
        <v>319</v>
      </c>
      <c r="R79" s="5">
        <f>DATE(2023,2,21)</f>
        <v>44978</v>
      </c>
      <c r="S79" s="4" t="s">
        <v>53</v>
      </c>
      <c r="T79" s="5">
        <f>DATE(2021,12,21)</f>
        <v>44551</v>
      </c>
      <c r="U79" s="4" t="s">
        <v>320</v>
      </c>
      <c r="V79" s="5">
        <f>DATE(2021,3,23)</f>
        <v>44278</v>
      </c>
    </row>
    <row r="80" spans="1:26" ht="55.05" customHeight="1" x14ac:dyDescent="0.3">
      <c r="A80" s="4" t="s">
        <v>181</v>
      </c>
      <c r="B80" s="4" t="s">
        <v>18</v>
      </c>
      <c r="C80" s="4" t="s">
        <v>40</v>
      </c>
      <c r="D80" s="4" t="s">
        <v>58</v>
      </c>
      <c r="E80" s="4" t="s">
        <v>315</v>
      </c>
      <c r="F80" s="4" t="s">
        <v>42</v>
      </c>
      <c r="G80" s="4" t="s">
        <v>321</v>
      </c>
      <c r="H80" s="4" t="s">
        <v>24</v>
      </c>
      <c r="I80" s="4" t="s">
        <v>25</v>
      </c>
      <c r="K80" s="4" t="s">
        <v>26</v>
      </c>
      <c r="L80" s="4" t="s">
        <v>322</v>
      </c>
      <c r="O80" s="4" t="s">
        <v>242</v>
      </c>
      <c r="P80" s="5">
        <f>DATE(2023,6,27)</f>
        <v>45104</v>
      </c>
      <c r="Q80" s="4" t="s">
        <v>323</v>
      </c>
      <c r="R80" s="5">
        <f>DATE(2022,7,22)</f>
        <v>44764</v>
      </c>
      <c r="S80" s="4" t="s">
        <v>324</v>
      </c>
      <c r="T80" s="5">
        <f>DATE(2020,6,23)</f>
        <v>44005</v>
      </c>
    </row>
    <row r="81" spans="1:28" ht="55.05" customHeight="1" x14ac:dyDescent="0.3">
      <c r="A81" s="4" t="s">
        <v>181</v>
      </c>
      <c r="B81" s="4" t="s">
        <v>18</v>
      </c>
      <c r="C81" s="4" t="s">
        <v>40</v>
      </c>
      <c r="D81" s="4" t="s">
        <v>58</v>
      </c>
      <c r="E81" s="4" t="s">
        <v>315</v>
      </c>
      <c r="F81" s="4" t="s">
        <v>42</v>
      </c>
      <c r="G81" s="4" t="s">
        <v>325</v>
      </c>
      <c r="H81" s="4" t="s">
        <v>24</v>
      </c>
      <c r="I81" s="4" t="s">
        <v>25</v>
      </c>
      <c r="K81" s="4" t="s">
        <v>26</v>
      </c>
      <c r="L81" s="4" t="s">
        <v>326</v>
      </c>
      <c r="O81" s="4" t="s">
        <v>276</v>
      </c>
      <c r="P81" s="5">
        <f>DATE(2022,4,26)</f>
        <v>44677</v>
      </c>
      <c r="Q81" s="4" t="s">
        <v>327</v>
      </c>
      <c r="R81" s="5">
        <f>DATE(2020,1,28)</f>
        <v>43858</v>
      </c>
    </row>
    <row r="82" spans="1:28" ht="55.05" customHeight="1" x14ac:dyDescent="0.3">
      <c r="A82" s="4" t="s">
        <v>181</v>
      </c>
      <c r="B82" s="4" t="s">
        <v>18</v>
      </c>
      <c r="C82" s="4" t="s">
        <v>40</v>
      </c>
      <c r="D82" s="4" t="s">
        <v>58</v>
      </c>
      <c r="E82" s="4" t="s">
        <v>315</v>
      </c>
      <c r="F82" s="4" t="s">
        <v>42</v>
      </c>
      <c r="G82" s="4" t="s">
        <v>328</v>
      </c>
      <c r="H82" s="4" t="s">
        <v>24</v>
      </c>
      <c r="I82" s="4" t="s">
        <v>25</v>
      </c>
      <c r="K82" s="4" t="s">
        <v>26</v>
      </c>
      <c r="L82" s="4" t="s">
        <v>329</v>
      </c>
      <c r="O82" s="4" t="s">
        <v>330</v>
      </c>
      <c r="P82" s="5">
        <f>DATE(2022,6,28)</f>
        <v>44740</v>
      </c>
      <c r="Q82" s="4" t="s">
        <v>53</v>
      </c>
      <c r="R82" s="5">
        <f>DATE(2021,12,21)</f>
        <v>44551</v>
      </c>
      <c r="S82" s="4" t="s">
        <v>125</v>
      </c>
      <c r="T82" s="5">
        <f>DATE(2020,7,21)</f>
        <v>44033</v>
      </c>
    </row>
    <row r="83" spans="1:28" ht="55.05" customHeight="1" x14ac:dyDescent="0.3">
      <c r="A83" s="4" t="s">
        <v>181</v>
      </c>
      <c r="B83" s="4" t="s">
        <v>18</v>
      </c>
      <c r="C83" s="4" t="s">
        <v>40</v>
      </c>
      <c r="D83" s="4" t="s">
        <v>58</v>
      </c>
      <c r="E83" s="4" t="s">
        <v>59</v>
      </c>
      <c r="F83" s="4" t="s">
        <v>42</v>
      </c>
      <c r="G83" s="4" t="s">
        <v>331</v>
      </c>
      <c r="H83" s="4" t="s">
        <v>24</v>
      </c>
      <c r="I83" s="4" t="s">
        <v>25</v>
      </c>
      <c r="K83" s="4" t="s">
        <v>78</v>
      </c>
      <c r="L83" s="4" t="s">
        <v>332</v>
      </c>
      <c r="O83" s="4" t="s">
        <v>62</v>
      </c>
      <c r="P83" s="5">
        <f>DATE(2023,11,27)</f>
        <v>45257</v>
      </c>
      <c r="Q83" s="4" t="s">
        <v>242</v>
      </c>
      <c r="R83" s="5">
        <f>DATE(2023,6,27)</f>
        <v>45104</v>
      </c>
      <c r="S83" s="4" t="s">
        <v>333</v>
      </c>
      <c r="T83" s="5">
        <f>DATE(2022,9,27)</f>
        <v>44831</v>
      </c>
      <c r="U83" s="4" t="s">
        <v>334</v>
      </c>
      <c r="V83" s="5">
        <f>DATE(2022,4,26)</f>
        <v>44677</v>
      </c>
      <c r="W83" s="4" t="s">
        <v>53</v>
      </c>
      <c r="X83" s="5">
        <f>DATE(2021,12,21)</f>
        <v>44551</v>
      </c>
      <c r="Y83" s="4" t="s">
        <v>260</v>
      </c>
      <c r="Z83" s="5">
        <f>DATE(2021,11,23)</f>
        <v>44523</v>
      </c>
    </row>
    <row r="84" spans="1:28" ht="55.05" customHeight="1" x14ac:dyDescent="0.3">
      <c r="A84" s="4" t="s">
        <v>181</v>
      </c>
      <c r="B84" s="4" t="s">
        <v>18</v>
      </c>
      <c r="C84" s="4" t="s">
        <v>40</v>
      </c>
      <c r="D84" s="4" t="s">
        <v>58</v>
      </c>
      <c r="E84" s="4" t="s">
        <v>59</v>
      </c>
      <c r="F84" s="4" t="s">
        <v>42</v>
      </c>
      <c r="G84" s="4" t="s">
        <v>335</v>
      </c>
      <c r="H84" s="4" t="s">
        <v>24</v>
      </c>
      <c r="I84" s="4" t="s">
        <v>25</v>
      </c>
      <c r="K84" s="4" t="s">
        <v>78</v>
      </c>
      <c r="L84" s="4" t="s">
        <v>336</v>
      </c>
      <c r="O84" s="4" t="s">
        <v>334</v>
      </c>
      <c r="P84" s="5">
        <f>DATE(2022,4,26)</f>
        <v>44677</v>
      </c>
      <c r="Q84" s="4" t="s">
        <v>53</v>
      </c>
      <c r="R84" s="5">
        <f>DATE(2021,12,21)</f>
        <v>44551</v>
      </c>
    </row>
    <row r="85" spans="1:28" ht="55.05" customHeight="1" x14ac:dyDescent="0.3">
      <c r="A85" s="4" t="s">
        <v>181</v>
      </c>
      <c r="B85" s="4" t="s">
        <v>18</v>
      </c>
      <c r="C85" s="4" t="s">
        <v>40</v>
      </c>
      <c r="D85" s="4" t="s">
        <v>58</v>
      </c>
      <c r="E85" s="4" t="s">
        <v>59</v>
      </c>
      <c r="F85" s="4" t="s">
        <v>42</v>
      </c>
      <c r="G85" s="4" t="s">
        <v>337</v>
      </c>
      <c r="H85" s="4" t="s">
        <v>24</v>
      </c>
      <c r="I85" s="4" t="s">
        <v>25</v>
      </c>
      <c r="K85" s="4" t="s">
        <v>26</v>
      </c>
      <c r="L85" s="4" t="s">
        <v>338</v>
      </c>
      <c r="O85" s="4" t="s">
        <v>276</v>
      </c>
      <c r="P85" s="5">
        <f>DATE(2022,4,26)</f>
        <v>44677</v>
      </c>
      <c r="Q85" s="4" t="s">
        <v>339</v>
      </c>
      <c r="R85" s="5">
        <f>DATE(2021,1,26)</f>
        <v>44222</v>
      </c>
    </row>
    <row r="86" spans="1:28" ht="55.05" customHeight="1" x14ac:dyDescent="0.3">
      <c r="A86" s="4" t="s">
        <v>181</v>
      </c>
      <c r="B86" s="4" t="s">
        <v>18</v>
      </c>
      <c r="C86" s="4" t="s">
        <v>40</v>
      </c>
      <c r="D86" s="4" t="s">
        <v>58</v>
      </c>
      <c r="E86" s="4" t="s">
        <v>59</v>
      </c>
      <c r="F86" s="4" t="s">
        <v>42</v>
      </c>
      <c r="G86" s="4" t="s">
        <v>340</v>
      </c>
      <c r="H86" s="4" t="s">
        <v>37</v>
      </c>
      <c r="I86" s="4" t="s">
        <v>25</v>
      </c>
      <c r="K86" s="4" t="s">
        <v>26</v>
      </c>
      <c r="L86" s="4" t="s">
        <v>341</v>
      </c>
      <c r="O86" s="4" t="s">
        <v>342</v>
      </c>
      <c r="P86" s="5">
        <f>DATE(2022,6,28)</f>
        <v>44740</v>
      </c>
      <c r="Q86" s="4" t="s">
        <v>53</v>
      </c>
      <c r="R86" s="5">
        <f>DATE(2021,12,21)</f>
        <v>44551</v>
      </c>
    </row>
    <row r="87" spans="1:28" ht="55.05" customHeight="1" x14ac:dyDescent="0.3">
      <c r="A87" s="4" t="s">
        <v>181</v>
      </c>
      <c r="B87" s="4" t="s">
        <v>18</v>
      </c>
      <c r="C87" s="4" t="s">
        <v>40</v>
      </c>
      <c r="D87" s="4" t="s">
        <v>58</v>
      </c>
      <c r="E87" s="4" t="s">
        <v>343</v>
      </c>
      <c r="F87" s="4" t="s">
        <v>42</v>
      </c>
      <c r="G87" s="4" t="s">
        <v>344</v>
      </c>
      <c r="H87" s="4" t="s">
        <v>24</v>
      </c>
      <c r="I87" s="4" t="s">
        <v>25</v>
      </c>
      <c r="K87" s="4" t="s">
        <v>26</v>
      </c>
      <c r="L87" s="4" t="s">
        <v>345</v>
      </c>
      <c r="O87" s="4" t="s">
        <v>346</v>
      </c>
      <c r="P87" s="5">
        <f>DATE(2023,11,27)</f>
        <v>45257</v>
      </c>
      <c r="Q87" s="4" t="s">
        <v>347</v>
      </c>
      <c r="R87" s="5">
        <f>DATE(2023,9,19)</f>
        <v>45188</v>
      </c>
      <c r="S87" s="4" t="s">
        <v>348</v>
      </c>
      <c r="T87" s="5">
        <f>DATE(2023,8,22)</f>
        <v>45160</v>
      </c>
      <c r="U87" s="4" t="s">
        <v>242</v>
      </c>
      <c r="V87" s="5">
        <f>DATE(2023,6,27)</f>
        <v>45104</v>
      </c>
      <c r="W87" s="4" t="s">
        <v>349</v>
      </c>
      <c r="X87" s="5">
        <f>DATE(2023,2,21)</f>
        <v>44978</v>
      </c>
      <c r="Y87" s="4" t="s">
        <v>350</v>
      </c>
      <c r="Z87" s="5">
        <f>DATE(2022,7,22)</f>
        <v>44764</v>
      </c>
      <c r="AA87" s="4" t="s">
        <v>273</v>
      </c>
      <c r="AB87" s="5">
        <f>DATE(2022,2,22)</f>
        <v>44614</v>
      </c>
    </row>
    <row r="88" spans="1:28" ht="55.05" customHeight="1" x14ac:dyDescent="0.3">
      <c r="A88" s="4" t="s">
        <v>181</v>
      </c>
      <c r="B88" s="4" t="s">
        <v>18</v>
      </c>
      <c r="C88" s="4" t="s">
        <v>40</v>
      </c>
      <c r="D88" s="4" t="s">
        <v>58</v>
      </c>
      <c r="E88" s="4" t="s">
        <v>343</v>
      </c>
      <c r="F88" s="4" t="s">
        <v>42</v>
      </c>
      <c r="G88" s="4" t="s">
        <v>351</v>
      </c>
      <c r="H88" s="4" t="s">
        <v>24</v>
      </c>
      <c r="I88" s="4" t="s">
        <v>25</v>
      </c>
      <c r="K88" s="4" t="s">
        <v>26</v>
      </c>
      <c r="L88" s="4" t="s">
        <v>352</v>
      </c>
      <c r="O88" s="4" t="s">
        <v>348</v>
      </c>
      <c r="P88" s="5">
        <f>DATE(2023,8,22)</f>
        <v>45160</v>
      </c>
      <c r="Q88" s="4" t="s">
        <v>243</v>
      </c>
      <c r="R88" s="5">
        <f>DATE(2023,2,21)</f>
        <v>44978</v>
      </c>
      <c r="S88" s="4" t="s">
        <v>353</v>
      </c>
      <c r="T88" s="5">
        <f>DATE(2022,8,23)</f>
        <v>44796</v>
      </c>
      <c r="U88" s="4" t="s">
        <v>334</v>
      </c>
      <c r="V88" s="5">
        <f>DATE(2022,4,26)</f>
        <v>44677</v>
      </c>
      <c r="W88" s="4" t="s">
        <v>273</v>
      </c>
      <c r="X88" s="5">
        <f>DATE(2022,2,22)</f>
        <v>44614</v>
      </c>
      <c r="Y88" s="4" t="s">
        <v>100</v>
      </c>
      <c r="Z88" s="5">
        <f>DATE(2020,7,21)</f>
        <v>44033</v>
      </c>
    </row>
    <row r="89" spans="1:28" ht="55.05" customHeight="1" x14ac:dyDescent="0.3">
      <c r="A89" s="4" t="s">
        <v>181</v>
      </c>
      <c r="B89" s="4" t="s">
        <v>18</v>
      </c>
      <c r="C89" s="4" t="s">
        <v>40</v>
      </c>
      <c r="D89" s="4" t="s">
        <v>58</v>
      </c>
      <c r="E89" s="4" t="s">
        <v>343</v>
      </c>
      <c r="F89" s="4" t="s">
        <v>42</v>
      </c>
      <c r="G89" s="4" t="s">
        <v>354</v>
      </c>
      <c r="H89" s="4" t="s">
        <v>24</v>
      </c>
      <c r="I89" s="4" t="s">
        <v>25</v>
      </c>
      <c r="K89" s="4" t="s">
        <v>26</v>
      </c>
      <c r="L89" s="4" t="s">
        <v>355</v>
      </c>
      <c r="O89" s="4" t="s">
        <v>242</v>
      </c>
      <c r="P89" s="5">
        <f>DATE(2023,6,27)</f>
        <v>45104</v>
      </c>
      <c r="Q89" s="4" t="s">
        <v>243</v>
      </c>
      <c r="R89" s="5">
        <f>DATE(2023,2,21)</f>
        <v>44978</v>
      </c>
      <c r="S89" s="4" t="s">
        <v>273</v>
      </c>
      <c r="T89" s="5">
        <f>DATE(2022,2,22)</f>
        <v>44614</v>
      </c>
      <c r="U89" s="4" t="s">
        <v>356</v>
      </c>
      <c r="V89" s="5">
        <f>DATE(2019,4,11)</f>
        <v>43566</v>
      </c>
    </row>
    <row r="90" spans="1:28" ht="55.05" customHeight="1" x14ac:dyDescent="0.3">
      <c r="A90" s="4" t="s">
        <v>181</v>
      </c>
      <c r="B90" s="4" t="s">
        <v>18</v>
      </c>
      <c r="C90" s="4" t="s">
        <v>357</v>
      </c>
      <c r="D90" s="4" t="s">
        <v>20</v>
      </c>
      <c r="E90" s="4" t="s">
        <v>358</v>
      </c>
      <c r="F90" s="4" t="s">
        <v>22</v>
      </c>
      <c r="G90" s="4" t="s">
        <v>359</v>
      </c>
      <c r="H90" s="4" t="s">
        <v>24</v>
      </c>
      <c r="I90" s="4" t="s">
        <v>25</v>
      </c>
      <c r="K90" s="4" t="s">
        <v>26</v>
      </c>
      <c r="L90" s="4" t="s">
        <v>360</v>
      </c>
      <c r="O90" s="4" t="s">
        <v>150</v>
      </c>
      <c r="P90" s="5">
        <f>DATE(2023,6,27)</f>
        <v>45104</v>
      </c>
      <c r="Q90" s="4" t="s">
        <v>361</v>
      </c>
      <c r="R90" s="5">
        <f>DATE(2022,9,27)</f>
        <v>44831</v>
      </c>
      <c r="S90" s="4" t="s">
        <v>362</v>
      </c>
      <c r="T90" s="5">
        <f>DATE(2022,3,8)</f>
        <v>44628</v>
      </c>
      <c r="U90" s="4" t="s">
        <v>363</v>
      </c>
      <c r="V90" s="5">
        <f>DATE(2020,12,7)</f>
        <v>44172</v>
      </c>
    </row>
    <row r="91" spans="1:28" ht="55.05" customHeight="1" x14ac:dyDescent="0.3">
      <c r="A91" s="4" t="s">
        <v>181</v>
      </c>
      <c r="B91" s="4" t="s">
        <v>64</v>
      </c>
      <c r="C91" s="4" t="s">
        <v>75</v>
      </c>
      <c r="D91" s="4" t="s">
        <v>20</v>
      </c>
      <c r="E91" s="4" t="s">
        <v>76</v>
      </c>
      <c r="F91" s="4" t="s">
        <v>42</v>
      </c>
      <c r="G91" s="4" t="s">
        <v>364</v>
      </c>
      <c r="H91" s="4" t="s">
        <v>24</v>
      </c>
      <c r="I91" s="4" t="s">
        <v>25</v>
      </c>
      <c r="K91" s="4" t="s">
        <v>26</v>
      </c>
      <c r="L91" s="4" t="s">
        <v>365</v>
      </c>
      <c r="O91" s="4" t="s">
        <v>74</v>
      </c>
      <c r="P91" s="5">
        <f>DATE(2021,12,21)</f>
        <v>44551</v>
      </c>
      <c r="Q91" s="4" t="s">
        <v>366</v>
      </c>
      <c r="R91" s="5">
        <f>DATE(2018,12,26)</f>
        <v>43460</v>
      </c>
    </row>
    <row r="92" spans="1:28" ht="55.05" customHeight="1" x14ac:dyDescent="0.3">
      <c r="A92" s="4" t="s">
        <v>181</v>
      </c>
      <c r="B92" s="4" t="s">
        <v>81</v>
      </c>
      <c r="C92" s="4" t="s">
        <v>82</v>
      </c>
      <c r="D92" s="4" t="s">
        <v>20</v>
      </c>
      <c r="E92" s="4" t="s">
        <v>83</v>
      </c>
      <c r="F92" s="4" t="s">
        <v>84</v>
      </c>
      <c r="G92" s="4" t="s">
        <v>367</v>
      </c>
      <c r="H92" s="4" t="s">
        <v>24</v>
      </c>
      <c r="I92" s="4" t="s">
        <v>25</v>
      </c>
      <c r="K92" s="4" t="s">
        <v>26</v>
      </c>
      <c r="L92" s="4" t="s">
        <v>368</v>
      </c>
      <c r="O92" s="4" t="s">
        <v>369</v>
      </c>
      <c r="P92" s="5">
        <f>DATE(2023,10,9)</f>
        <v>45208</v>
      </c>
      <c r="Q92" s="4" t="s">
        <v>150</v>
      </c>
      <c r="R92" s="5">
        <f>DATE(2023,6,27)</f>
        <v>45104</v>
      </c>
      <c r="S92" s="4" t="s">
        <v>150</v>
      </c>
      <c r="T92" s="5">
        <f>DATE(2023,6,26)</f>
        <v>45103</v>
      </c>
      <c r="U92" s="4" t="s">
        <v>370</v>
      </c>
      <c r="V92" s="5">
        <f>DATE(2023,3,14)</f>
        <v>44999</v>
      </c>
      <c r="W92" s="4" t="s">
        <v>371</v>
      </c>
      <c r="X92" s="5">
        <f>DATE(2022,3,22)</f>
        <v>44642</v>
      </c>
      <c r="Y92" s="4" t="s">
        <v>372</v>
      </c>
      <c r="Z92" s="5">
        <f>DATE(2020,7,21)</f>
        <v>44033</v>
      </c>
    </row>
    <row r="93" spans="1:28" ht="55.05" customHeight="1" x14ac:dyDescent="0.3">
      <c r="A93" s="4" t="s">
        <v>181</v>
      </c>
      <c r="B93" s="4" t="s">
        <v>81</v>
      </c>
      <c r="C93" s="4" t="s">
        <v>82</v>
      </c>
      <c r="D93" s="4" t="s">
        <v>20</v>
      </c>
      <c r="E93" s="4" t="s">
        <v>373</v>
      </c>
      <c r="F93" s="4" t="s">
        <v>84</v>
      </c>
      <c r="G93" s="4" t="s">
        <v>374</v>
      </c>
      <c r="H93" s="4" t="s">
        <v>24</v>
      </c>
      <c r="I93" s="4" t="s">
        <v>25</v>
      </c>
      <c r="K93" s="4" t="s">
        <v>26</v>
      </c>
      <c r="L93" s="4" t="s">
        <v>375</v>
      </c>
      <c r="O93" s="4" t="s">
        <v>228</v>
      </c>
      <c r="P93" s="5">
        <f>DATE(2020,3,10)</f>
        <v>43900</v>
      </c>
    </row>
    <row r="94" spans="1:28" ht="55.05" customHeight="1" x14ac:dyDescent="0.3">
      <c r="A94" s="4" t="s">
        <v>181</v>
      </c>
      <c r="B94" s="4" t="s">
        <v>81</v>
      </c>
      <c r="C94" s="4" t="s">
        <v>82</v>
      </c>
      <c r="D94" s="4" t="s">
        <v>20</v>
      </c>
      <c r="E94" s="4" t="s">
        <v>373</v>
      </c>
      <c r="F94" s="4" t="s">
        <v>84</v>
      </c>
      <c r="G94" s="4" t="s">
        <v>376</v>
      </c>
      <c r="H94" s="4" t="s">
        <v>24</v>
      </c>
      <c r="I94" s="4" t="s">
        <v>25</v>
      </c>
      <c r="K94" s="4" t="s">
        <v>26</v>
      </c>
      <c r="L94" s="4" t="s">
        <v>377</v>
      </c>
      <c r="O94" s="4" t="s">
        <v>150</v>
      </c>
      <c r="P94" s="5">
        <f>DATE(2023,6,27)</f>
        <v>45104</v>
      </c>
      <c r="Q94" s="4" t="s">
        <v>378</v>
      </c>
      <c r="R94" s="5">
        <f>DATE(2022,9,27)</f>
        <v>44831</v>
      </c>
      <c r="S94" s="4" t="s">
        <v>228</v>
      </c>
      <c r="T94" s="5">
        <f>DATE(2020,3,10)</f>
        <v>43900</v>
      </c>
    </row>
    <row r="95" spans="1:28" ht="55.05" customHeight="1" x14ac:dyDescent="0.3">
      <c r="A95" s="4" t="s">
        <v>181</v>
      </c>
      <c r="B95" s="4" t="s">
        <v>81</v>
      </c>
      <c r="C95" s="4" t="s">
        <v>82</v>
      </c>
      <c r="D95" s="4" t="s">
        <v>20</v>
      </c>
      <c r="E95" s="4" t="s">
        <v>373</v>
      </c>
      <c r="F95" s="4" t="s">
        <v>84</v>
      </c>
      <c r="G95" s="4" t="s">
        <v>379</v>
      </c>
      <c r="H95" s="4" t="s">
        <v>24</v>
      </c>
      <c r="I95" s="4" t="s">
        <v>25</v>
      </c>
      <c r="K95" s="4" t="s">
        <v>26</v>
      </c>
      <c r="L95" s="4" t="s">
        <v>380</v>
      </c>
      <c r="O95" s="4" t="s">
        <v>378</v>
      </c>
      <c r="P95" s="5">
        <f>DATE(2022,9,27)</f>
        <v>44831</v>
      </c>
      <c r="Q95" s="4" t="s">
        <v>125</v>
      </c>
      <c r="R95" s="5">
        <f>DATE(2020,7,21)</f>
        <v>44033</v>
      </c>
      <c r="S95" s="4" t="s">
        <v>381</v>
      </c>
      <c r="T95" s="5">
        <f>DATE(2020,3,10)</f>
        <v>43900</v>
      </c>
    </row>
    <row r="96" spans="1:28" ht="55.05" customHeight="1" x14ac:dyDescent="0.3">
      <c r="A96" s="4" t="s">
        <v>181</v>
      </c>
      <c r="B96" s="4" t="s">
        <v>81</v>
      </c>
      <c r="C96" s="4" t="s">
        <v>82</v>
      </c>
      <c r="D96" s="4" t="s">
        <v>20</v>
      </c>
      <c r="E96" s="4" t="s">
        <v>89</v>
      </c>
      <c r="F96" s="4" t="s">
        <v>84</v>
      </c>
      <c r="G96" s="4" t="s">
        <v>382</v>
      </c>
      <c r="H96" s="4" t="s">
        <v>24</v>
      </c>
      <c r="I96" s="4" t="s">
        <v>25</v>
      </c>
      <c r="K96" s="4" t="s">
        <v>26</v>
      </c>
      <c r="L96" s="4" t="s">
        <v>383</v>
      </c>
      <c r="O96" s="4" t="s">
        <v>136</v>
      </c>
      <c r="P96" s="5">
        <f>DATE(2022,6,28)</f>
        <v>44740</v>
      </c>
      <c r="Q96" s="4" t="s">
        <v>384</v>
      </c>
      <c r="R96" s="5">
        <f>DATE(2021,1,12)</f>
        <v>44208</v>
      </c>
    </row>
    <row r="97" spans="1:20" ht="55.05" customHeight="1" x14ac:dyDescent="0.3">
      <c r="A97" s="4" t="s">
        <v>181</v>
      </c>
      <c r="B97" s="4" t="s">
        <v>81</v>
      </c>
      <c r="C97" s="4" t="s">
        <v>94</v>
      </c>
      <c r="D97" s="4" t="s">
        <v>20</v>
      </c>
      <c r="E97" s="4" t="s">
        <v>95</v>
      </c>
      <c r="F97" s="4" t="s">
        <v>96</v>
      </c>
      <c r="G97" s="4" t="s">
        <v>385</v>
      </c>
      <c r="H97" s="4" t="s">
        <v>24</v>
      </c>
      <c r="I97" s="4" t="s">
        <v>25</v>
      </c>
      <c r="K97" s="4" t="s">
        <v>26</v>
      </c>
      <c r="L97" s="4" t="s">
        <v>386</v>
      </c>
      <c r="M97" s="4" t="s">
        <v>99</v>
      </c>
      <c r="N97" s="5">
        <f>DATE(2022,3,9)</f>
        <v>44629</v>
      </c>
      <c r="O97" s="4" t="s">
        <v>387</v>
      </c>
      <c r="P97" s="5">
        <f>DATE(2020,11,24)</f>
        <v>44159</v>
      </c>
      <c r="Q97" s="4" t="s">
        <v>100</v>
      </c>
      <c r="R97" s="5">
        <f>DATE(2020,7,21)</f>
        <v>44033</v>
      </c>
    </row>
    <row r="98" spans="1:20" ht="55.05" customHeight="1" x14ac:dyDescent="0.3">
      <c r="A98" s="4" t="s">
        <v>181</v>
      </c>
      <c r="B98" s="4" t="s">
        <v>81</v>
      </c>
      <c r="C98" s="4" t="s">
        <v>94</v>
      </c>
      <c r="D98" s="4" t="s">
        <v>20</v>
      </c>
      <c r="E98" s="4" t="s">
        <v>95</v>
      </c>
      <c r="F98" s="4" t="s">
        <v>96</v>
      </c>
      <c r="G98" s="4" t="s">
        <v>388</v>
      </c>
      <c r="H98" s="4" t="s">
        <v>24</v>
      </c>
      <c r="I98" s="4" t="s">
        <v>25</v>
      </c>
      <c r="K98" s="4" t="s">
        <v>26</v>
      </c>
      <c r="L98" s="4" t="s">
        <v>389</v>
      </c>
      <c r="M98" s="4" t="s">
        <v>99</v>
      </c>
      <c r="N98" s="5">
        <f>DATE(2022,3,9)</f>
        <v>44629</v>
      </c>
      <c r="O98" s="4" t="s">
        <v>100</v>
      </c>
      <c r="P98" s="5">
        <f>DATE(2020,7,21)</f>
        <v>44033</v>
      </c>
    </row>
    <row r="99" spans="1:20" ht="55.05" customHeight="1" x14ac:dyDescent="0.3">
      <c r="A99" s="4" t="s">
        <v>181</v>
      </c>
      <c r="B99" s="4" t="s">
        <v>81</v>
      </c>
      <c r="C99" s="4" t="s">
        <v>94</v>
      </c>
      <c r="D99" s="4" t="s">
        <v>20</v>
      </c>
      <c r="E99" s="4" t="s">
        <v>95</v>
      </c>
      <c r="F99" s="4" t="s">
        <v>96</v>
      </c>
      <c r="G99" s="4" t="s">
        <v>390</v>
      </c>
      <c r="H99" s="4" t="s">
        <v>24</v>
      </c>
      <c r="I99" s="4" t="s">
        <v>25</v>
      </c>
      <c r="K99" s="4" t="s">
        <v>26</v>
      </c>
      <c r="L99" s="4" t="s">
        <v>391</v>
      </c>
      <c r="M99" s="4" t="s">
        <v>99</v>
      </c>
      <c r="N99" s="5">
        <f>DATE(2022,3,9)</f>
        <v>44629</v>
      </c>
      <c r="O99" s="4" t="s">
        <v>74</v>
      </c>
      <c r="P99" s="5">
        <f>DATE(2021,12,21)</f>
        <v>44551</v>
      </c>
      <c r="Q99" s="4" t="s">
        <v>100</v>
      </c>
      <c r="R99" s="5">
        <f>DATE(2020,7,21)</f>
        <v>44033</v>
      </c>
    </row>
    <row r="100" spans="1:20" ht="55.05" customHeight="1" x14ac:dyDescent="0.3">
      <c r="A100" s="4" t="s">
        <v>181</v>
      </c>
      <c r="B100" s="4" t="s">
        <v>81</v>
      </c>
      <c r="C100" s="4" t="s">
        <v>94</v>
      </c>
      <c r="D100" s="4" t="s">
        <v>20</v>
      </c>
      <c r="E100" s="4" t="s">
        <v>95</v>
      </c>
      <c r="F100" s="4" t="s">
        <v>96</v>
      </c>
      <c r="G100" s="4" t="s">
        <v>392</v>
      </c>
      <c r="H100" s="4" t="s">
        <v>24</v>
      </c>
      <c r="I100" s="4" t="s">
        <v>25</v>
      </c>
      <c r="K100" s="4" t="s">
        <v>26</v>
      </c>
      <c r="L100" s="4" t="s">
        <v>393</v>
      </c>
      <c r="M100" s="4" t="s">
        <v>99</v>
      </c>
      <c r="N100" s="5">
        <f>DATE(2022,3,9)</f>
        <v>44629</v>
      </c>
      <c r="O100" s="4" t="s">
        <v>394</v>
      </c>
      <c r="P100" s="5">
        <f>DATE(2021,7,20)</f>
        <v>44397</v>
      </c>
    </row>
    <row r="101" spans="1:20" ht="55.05" customHeight="1" x14ac:dyDescent="0.3">
      <c r="A101" s="4" t="s">
        <v>181</v>
      </c>
      <c r="B101" s="4" t="s">
        <v>81</v>
      </c>
      <c r="C101" s="4" t="s">
        <v>94</v>
      </c>
      <c r="D101" s="4" t="s">
        <v>20</v>
      </c>
      <c r="E101" s="4" t="s">
        <v>395</v>
      </c>
      <c r="F101" s="4" t="s">
        <v>96</v>
      </c>
      <c r="G101" s="4" t="s">
        <v>396</v>
      </c>
      <c r="H101" s="4" t="s">
        <v>24</v>
      </c>
      <c r="I101" s="4" t="s">
        <v>25</v>
      </c>
      <c r="K101" s="4" t="s">
        <v>26</v>
      </c>
      <c r="L101" s="4" t="s">
        <v>397</v>
      </c>
      <c r="O101" s="4" t="s">
        <v>398</v>
      </c>
      <c r="P101" s="5">
        <f>DATE(2023,6,13)</f>
        <v>45090</v>
      </c>
      <c r="Q101" s="4" t="s">
        <v>100</v>
      </c>
      <c r="R101" s="5">
        <f>DATE(2020,7,21)</f>
        <v>44033</v>
      </c>
    </row>
    <row r="102" spans="1:20" ht="55.05" customHeight="1" x14ac:dyDescent="0.3">
      <c r="A102" s="4" t="s">
        <v>181</v>
      </c>
      <c r="B102" s="4" t="s">
        <v>81</v>
      </c>
      <c r="C102" s="4" t="s">
        <v>399</v>
      </c>
      <c r="D102" s="4" t="s">
        <v>20</v>
      </c>
      <c r="E102" s="4" t="s">
        <v>400</v>
      </c>
      <c r="F102" s="4" t="s">
        <v>22</v>
      </c>
      <c r="G102" s="4" t="s">
        <v>401</v>
      </c>
      <c r="H102" s="4" t="s">
        <v>37</v>
      </c>
      <c r="I102" s="4" t="s">
        <v>25</v>
      </c>
      <c r="K102" s="4" t="s">
        <v>402</v>
      </c>
      <c r="L102" s="4" t="s">
        <v>403</v>
      </c>
      <c r="O102" s="4" t="s">
        <v>404</v>
      </c>
      <c r="P102" s="5">
        <f>DATE(2022,3,22)</f>
        <v>44642</v>
      </c>
    </row>
    <row r="103" spans="1:20" ht="55.05" customHeight="1" x14ac:dyDescent="0.3">
      <c r="A103" s="4" t="s">
        <v>181</v>
      </c>
      <c r="B103" s="4" t="s">
        <v>81</v>
      </c>
      <c r="C103" s="4" t="s">
        <v>405</v>
      </c>
      <c r="D103" s="4" t="s">
        <v>20</v>
      </c>
      <c r="E103" s="4" t="s">
        <v>406</v>
      </c>
      <c r="F103" s="4" t="s">
        <v>407</v>
      </c>
      <c r="G103" s="4" t="s">
        <v>408</v>
      </c>
      <c r="H103" s="4" t="s">
        <v>24</v>
      </c>
      <c r="I103" s="4" t="s">
        <v>25</v>
      </c>
      <c r="K103" s="4" t="s">
        <v>26</v>
      </c>
      <c r="L103" s="4" t="s">
        <v>409</v>
      </c>
      <c r="O103" s="4" t="s">
        <v>410</v>
      </c>
      <c r="P103" s="5">
        <f>DATE(2021,1,12)</f>
        <v>44208</v>
      </c>
    </row>
    <row r="104" spans="1:20" ht="55.05" customHeight="1" x14ac:dyDescent="0.3">
      <c r="A104" s="4" t="s">
        <v>181</v>
      </c>
      <c r="B104" s="4" t="s">
        <v>81</v>
      </c>
      <c r="C104" s="4" t="s">
        <v>405</v>
      </c>
      <c r="D104" s="4" t="s">
        <v>20</v>
      </c>
      <c r="E104" s="4" t="s">
        <v>411</v>
      </c>
      <c r="F104" s="4" t="s">
        <v>407</v>
      </c>
      <c r="G104" s="4" t="s">
        <v>412</v>
      </c>
      <c r="H104" s="4" t="s">
        <v>24</v>
      </c>
      <c r="I104" s="4" t="s">
        <v>25</v>
      </c>
      <c r="K104" s="4" t="s">
        <v>26</v>
      </c>
      <c r="L104" s="4" t="s">
        <v>413</v>
      </c>
      <c r="M104" s="4" t="s">
        <v>414</v>
      </c>
      <c r="N104" s="5">
        <f>DATE(2022,3,14)</f>
        <v>44634</v>
      </c>
      <c r="O104" s="4" t="s">
        <v>125</v>
      </c>
      <c r="P104" s="5">
        <f>DATE(2020,7,21)</f>
        <v>44033</v>
      </c>
    </row>
    <row r="105" spans="1:20" ht="55.05" customHeight="1" x14ac:dyDescent="0.3">
      <c r="A105" s="4" t="s">
        <v>181</v>
      </c>
      <c r="B105" s="4" t="s">
        <v>81</v>
      </c>
      <c r="C105" s="4" t="s">
        <v>107</v>
      </c>
      <c r="D105" s="4" t="s">
        <v>20</v>
      </c>
      <c r="E105" s="4" t="s">
        <v>108</v>
      </c>
      <c r="F105" s="4" t="s">
        <v>96</v>
      </c>
      <c r="G105" s="4" t="s">
        <v>415</v>
      </c>
      <c r="H105" s="4" t="s">
        <v>24</v>
      </c>
      <c r="I105" s="4" t="s">
        <v>25</v>
      </c>
      <c r="K105" s="4" t="s">
        <v>26</v>
      </c>
      <c r="L105" s="4" t="s">
        <v>416</v>
      </c>
      <c r="O105" s="4" t="s">
        <v>35</v>
      </c>
      <c r="P105" s="5">
        <f>DATE(2020,7,21)</f>
        <v>44033</v>
      </c>
    </row>
    <row r="106" spans="1:20" ht="55.05" customHeight="1" x14ac:dyDescent="0.3">
      <c r="A106" s="4" t="s">
        <v>181</v>
      </c>
      <c r="B106" s="4" t="s">
        <v>81</v>
      </c>
      <c r="C106" s="4" t="s">
        <v>107</v>
      </c>
      <c r="D106" s="4" t="s">
        <v>20</v>
      </c>
      <c r="E106" s="4" t="s">
        <v>108</v>
      </c>
      <c r="F106" s="4" t="s">
        <v>96</v>
      </c>
      <c r="G106" s="4" t="s">
        <v>417</v>
      </c>
      <c r="H106" s="4" t="s">
        <v>24</v>
      </c>
      <c r="I106" s="4" t="s">
        <v>25</v>
      </c>
      <c r="K106" s="4" t="s">
        <v>26</v>
      </c>
      <c r="L106" s="4" t="s">
        <v>418</v>
      </c>
      <c r="O106" s="4" t="s">
        <v>419</v>
      </c>
      <c r="P106" s="5">
        <f>DATE(2021,7,6)</f>
        <v>44383</v>
      </c>
      <c r="Q106" s="4" t="s">
        <v>35</v>
      </c>
      <c r="R106" s="5">
        <f>DATE(2020,7,21)</f>
        <v>44033</v>
      </c>
    </row>
    <row r="107" spans="1:20" ht="55.05" customHeight="1" x14ac:dyDescent="0.3">
      <c r="A107" s="4" t="s">
        <v>181</v>
      </c>
      <c r="B107" s="4" t="s">
        <v>81</v>
      </c>
      <c r="C107" s="4" t="s">
        <v>107</v>
      </c>
      <c r="D107" s="4" t="s">
        <v>20</v>
      </c>
      <c r="E107" s="4" t="s">
        <v>108</v>
      </c>
      <c r="F107" s="4" t="s">
        <v>96</v>
      </c>
      <c r="G107" s="4" t="s">
        <v>420</v>
      </c>
      <c r="H107" s="4" t="s">
        <v>24</v>
      </c>
      <c r="I107" s="4" t="s">
        <v>25</v>
      </c>
      <c r="K107" s="4" t="s">
        <v>26</v>
      </c>
      <c r="L107" s="4" t="s">
        <v>421</v>
      </c>
      <c r="O107" s="4" t="s">
        <v>422</v>
      </c>
      <c r="P107" s="5">
        <f>DATE(2023,6,27)</f>
        <v>45104</v>
      </c>
      <c r="Q107" s="4" t="s">
        <v>136</v>
      </c>
      <c r="R107" s="5">
        <f>DATE(2022,6,28)</f>
        <v>44740</v>
      </c>
      <c r="S107" s="4" t="s">
        <v>35</v>
      </c>
      <c r="T107" s="5">
        <f>DATE(2020,7,21)</f>
        <v>44033</v>
      </c>
    </row>
    <row r="108" spans="1:20" ht="55.05" customHeight="1" x14ac:dyDescent="0.3">
      <c r="A108" s="4" t="s">
        <v>181</v>
      </c>
      <c r="B108" s="4" t="s">
        <v>81</v>
      </c>
      <c r="C108" s="4" t="s">
        <v>107</v>
      </c>
      <c r="D108" s="4" t="s">
        <v>113</v>
      </c>
      <c r="E108" s="4" t="s">
        <v>114</v>
      </c>
      <c r="F108" s="4" t="s">
        <v>96</v>
      </c>
      <c r="G108" s="4" t="s">
        <v>423</v>
      </c>
      <c r="H108" s="4" t="s">
        <v>24</v>
      </c>
      <c r="I108" s="4" t="s">
        <v>25</v>
      </c>
      <c r="K108" s="4" t="s">
        <v>26</v>
      </c>
      <c r="L108" s="4" t="s">
        <v>424</v>
      </c>
      <c r="O108" s="4" t="s">
        <v>35</v>
      </c>
      <c r="P108" s="5">
        <f>DATE(2020,7,21)</f>
        <v>44033</v>
      </c>
    </row>
    <row r="109" spans="1:20" ht="55.05" customHeight="1" x14ac:dyDescent="0.3">
      <c r="A109" s="4" t="s">
        <v>181</v>
      </c>
      <c r="B109" s="4" t="s">
        <v>81</v>
      </c>
      <c r="C109" s="4" t="s">
        <v>107</v>
      </c>
      <c r="D109" s="4" t="s">
        <v>113</v>
      </c>
      <c r="E109" s="4" t="s">
        <v>425</v>
      </c>
      <c r="F109" s="4" t="s">
        <v>96</v>
      </c>
      <c r="G109" s="4" t="s">
        <v>426</v>
      </c>
      <c r="H109" s="4" t="s">
        <v>24</v>
      </c>
      <c r="I109" s="4" t="s">
        <v>25</v>
      </c>
      <c r="K109" s="4" t="s">
        <v>26</v>
      </c>
      <c r="L109" s="4" t="s">
        <v>427</v>
      </c>
      <c r="O109" s="4" t="s">
        <v>35</v>
      </c>
      <c r="P109" s="5">
        <f>DATE(2020,7,21)</f>
        <v>44033</v>
      </c>
    </row>
    <row r="110" spans="1:20" ht="55.05" customHeight="1" x14ac:dyDescent="0.3">
      <c r="A110" s="4" t="s">
        <v>181</v>
      </c>
      <c r="B110" s="4" t="s">
        <v>81</v>
      </c>
      <c r="C110" s="4" t="s">
        <v>428</v>
      </c>
      <c r="D110" s="4" t="s">
        <v>20</v>
      </c>
      <c r="E110" s="4" t="s">
        <v>429</v>
      </c>
      <c r="F110" s="4" t="s">
        <v>96</v>
      </c>
      <c r="G110" s="4" t="s">
        <v>430</v>
      </c>
      <c r="H110" s="4" t="s">
        <v>24</v>
      </c>
      <c r="I110" s="4" t="s">
        <v>25</v>
      </c>
      <c r="K110" s="4" t="s">
        <v>26</v>
      </c>
      <c r="L110" s="4" t="s">
        <v>431</v>
      </c>
      <c r="O110" s="4" t="s">
        <v>432</v>
      </c>
      <c r="P110" s="5">
        <f>DATE(2022,5,24)</f>
        <v>44705</v>
      </c>
      <c r="Q110" s="4" t="s">
        <v>410</v>
      </c>
      <c r="R110" s="5">
        <f>DATE(2021,1,12)</f>
        <v>44208</v>
      </c>
    </row>
    <row r="111" spans="1:20" ht="55.05" customHeight="1" x14ac:dyDescent="0.3">
      <c r="A111" s="4" t="s">
        <v>181</v>
      </c>
      <c r="B111" s="4" t="s">
        <v>81</v>
      </c>
      <c r="C111" s="4" t="s">
        <v>428</v>
      </c>
      <c r="D111" s="4" t="s">
        <v>20</v>
      </c>
      <c r="E111" s="4" t="s">
        <v>429</v>
      </c>
      <c r="F111" s="4" t="s">
        <v>96</v>
      </c>
      <c r="G111" s="4" t="s">
        <v>433</v>
      </c>
      <c r="H111" s="4" t="s">
        <v>24</v>
      </c>
      <c r="I111" s="4" t="s">
        <v>25</v>
      </c>
      <c r="K111" s="4" t="s">
        <v>26</v>
      </c>
      <c r="L111" s="4" t="s">
        <v>434</v>
      </c>
      <c r="O111" s="4" t="s">
        <v>435</v>
      </c>
      <c r="P111" s="5">
        <f>DATE(2021,2,23)</f>
        <v>44250</v>
      </c>
    </row>
    <row r="112" spans="1:20" ht="55.05" customHeight="1" x14ac:dyDescent="0.3">
      <c r="A112" s="4" t="s">
        <v>181</v>
      </c>
      <c r="B112" s="4" t="s">
        <v>81</v>
      </c>
      <c r="C112" s="4" t="s">
        <v>436</v>
      </c>
      <c r="D112" s="4" t="s">
        <v>20</v>
      </c>
      <c r="E112" s="4" t="s">
        <v>437</v>
      </c>
      <c r="F112" s="4" t="s">
        <v>42</v>
      </c>
      <c r="G112" s="4" t="s">
        <v>438</v>
      </c>
      <c r="H112" s="4" t="s">
        <v>24</v>
      </c>
      <c r="I112" s="4" t="s">
        <v>25</v>
      </c>
      <c r="K112" s="4" t="s">
        <v>26</v>
      </c>
      <c r="L112" s="4" t="s">
        <v>439</v>
      </c>
      <c r="O112" s="4" t="s">
        <v>432</v>
      </c>
      <c r="P112" s="5">
        <f>DATE(2022,5,24)</f>
        <v>44705</v>
      </c>
      <c r="Q112" s="4" t="s">
        <v>53</v>
      </c>
      <c r="R112" s="5">
        <f>DATE(2021,12,21)</f>
        <v>44551</v>
      </c>
    </row>
    <row r="113" spans="1:24" ht="55.05" customHeight="1" x14ac:dyDescent="0.3">
      <c r="A113" s="4" t="s">
        <v>181</v>
      </c>
      <c r="B113" s="4" t="s">
        <v>81</v>
      </c>
      <c r="C113" s="4" t="s">
        <v>436</v>
      </c>
      <c r="D113" s="4" t="s">
        <v>20</v>
      </c>
      <c r="E113" s="4" t="s">
        <v>437</v>
      </c>
      <c r="F113" s="4" t="s">
        <v>42</v>
      </c>
      <c r="G113" s="4" t="s">
        <v>440</v>
      </c>
      <c r="H113" s="4" t="s">
        <v>37</v>
      </c>
      <c r="I113" s="4" t="s">
        <v>25</v>
      </c>
      <c r="K113" s="4" t="s">
        <v>26</v>
      </c>
      <c r="L113" s="4" t="s">
        <v>441</v>
      </c>
      <c r="O113" s="4" t="s">
        <v>442</v>
      </c>
      <c r="P113" s="5">
        <f>DATE(2023,3,28)</f>
        <v>45013</v>
      </c>
      <c r="Q113" s="4" t="s">
        <v>56</v>
      </c>
      <c r="R113" s="5">
        <f>DATE(2022,3,22)</f>
        <v>44642</v>
      </c>
    </row>
    <row r="114" spans="1:24" ht="55.05" customHeight="1" x14ac:dyDescent="0.3">
      <c r="A114" s="4" t="s">
        <v>181</v>
      </c>
      <c r="B114" s="4" t="s">
        <v>81</v>
      </c>
      <c r="C114" s="4" t="s">
        <v>436</v>
      </c>
      <c r="D114" s="4" t="s">
        <v>20</v>
      </c>
      <c r="E114" s="4" t="s">
        <v>443</v>
      </c>
      <c r="F114" s="4" t="s">
        <v>444</v>
      </c>
      <c r="G114" s="4" t="s">
        <v>445</v>
      </c>
      <c r="H114" s="4" t="s">
        <v>24</v>
      </c>
      <c r="I114" s="4" t="s">
        <v>25</v>
      </c>
      <c r="K114" s="4" t="s">
        <v>26</v>
      </c>
      <c r="L114" s="4" t="s">
        <v>446</v>
      </c>
      <c r="O114" s="4" t="s">
        <v>276</v>
      </c>
      <c r="P114" s="5">
        <f>DATE(2022,4,26)</f>
        <v>44677</v>
      </c>
      <c r="Q114" s="4" t="s">
        <v>447</v>
      </c>
      <c r="R114" s="5">
        <f>DATE(2020,4,14)</f>
        <v>43935</v>
      </c>
    </row>
    <row r="115" spans="1:24" ht="55.05" customHeight="1" x14ac:dyDescent="0.3">
      <c r="A115" s="4" t="s">
        <v>181</v>
      </c>
      <c r="B115" s="4" t="s">
        <v>81</v>
      </c>
      <c r="C115" s="4" t="s">
        <v>436</v>
      </c>
      <c r="D115" s="4" t="s">
        <v>20</v>
      </c>
      <c r="E115" s="4" t="s">
        <v>443</v>
      </c>
      <c r="F115" s="4" t="s">
        <v>444</v>
      </c>
      <c r="G115" s="4" t="s">
        <v>448</v>
      </c>
      <c r="H115" s="4" t="s">
        <v>24</v>
      </c>
      <c r="I115" s="4" t="s">
        <v>25</v>
      </c>
      <c r="K115" s="4" t="s">
        <v>26</v>
      </c>
      <c r="L115" s="4" t="s">
        <v>449</v>
      </c>
      <c r="O115" s="4" t="s">
        <v>432</v>
      </c>
      <c r="P115" s="5">
        <f>DATE(2022,5,24)</f>
        <v>44705</v>
      </c>
      <c r="Q115" s="4" t="s">
        <v>450</v>
      </c>
      <c r="R115" s="5">
        <f>DATE(2019,7,1)</f>
        <v>43647</v>
      </c>
    </row>
    <row r="116" spans="1:24" ht="55.05" customHeight="1" x14ac:dyDescent="0.3">
      <c r="A116" s="4" t="s">
        <v>181</v>
      </c>
      <c r="B116" s="4" t="s">
        <v>81</v>
      </c>
      <c r="C116" s="4" t="s">
        <v>436</v>
      </c>
      <c r="D116" s="4" t="s">
        <v>20</v>
      </c>
      <c r="E116" s="4" t="s">
        <v>443</v>
      </c>
      <c r="F116" s="4" t="s">
        <v>444</v>
      </c>
      <c r="G116" s="4" t="s">
        <v>451</v>
      </c>
      <c r="H116" s="4" t="s">
        <v>24</v>
      </c>
      <c r="I116" s="4" t="s">
        <v>25</v>
      </c>
      <c r="K116" s="4" t="s">
        <v>26</v>
      </c>
      <c r="L116" s="4" t="s">
        <v>452</v>
      </c>
      <c r="O116" s="4" t="s">
        <v>56</v>
      </c>
      <c r="P116" s="5">
        <f>DATE(2022,3,22)</f>
        <v>44642</v>
      </c>
      <c r="Q116" s="4" t="s">
        <v>447</v>
      </c>
      <c r="R116" s="5">
        <f>DATE(2020,4,14)</f>
        <v>43935</v>
      </c>
    </row>
    <row r="117" spans="1:24" ht="55.05" customHeight="1" x14ac:dyDescent="0.3">
      <c r="A117" s="4" t="s">
        <v>181</v>
      </c>
      <c r="B117" s="4" t="s">
        <v>81</v>
      </c>
      <c r="C117" s="4" t="s">
        <v>436</v>
      </c>
      <c r="D117" s="4" t="s">
        <v>20</v>
      </c>
      <c r="E117" s="4" t="s">
        <v>443</v>
      </c>
      <c r="F117" s="4" t="s">
        <v>444</v>
      </c>
      <c r="G117" s="4" t="s">
        <v>453</v>
      </c>
      <c r="H117" s="4" t="s">
        <v>24</v>
      </c>
      <c r="I117" s="4" t="s">
        <v>25</v>
      </c>
      <c r="K117" s="4" t="s">
        <v>26</v>
      </c>
      <c r="L117" s="4" t="s">
        <v>454</v>
      </c>
      <c r="O117" s="4" t="s">
        <v>276</v>
      </c>
      <c r="P117" s="5">
        <f>DATE(2022,4,26)</f>
        <v>44677</v>
      </c>
      <c r="Q117" s="4" t="s">
        <v>447</v>
      </c>
      <c r="R117" s="5">
        <f>DATE(2020,4,14)</f>
        <v>43935</v>
      </c>
    </row>
    <row r="118" spans="1:24" ht="55.05" customHeight="1" x14ac:dyDescent="0.3">
      <c r="A118" s="4" t="s">
        <v>181</v>
      </c>
      <c r="B118" s="4" t="s">
        <v>81</v>
      </c>
      <c r="C118" s="4" t="s">
        <v>436</v>
      </c>
      <c r="D118" s="4" t="s">
        <v>20</v>
      </c>
      <c r="E118" s="4" t="s">
        <v>443</v>
      </c>
      <c r="F118" s="4" t="s">
        <v>444</v>
      </c>
      <c r="G118" s="4" t="s">
        <v>455</v>
      </c>
      <c r="H118" s="4" t="s">
        <v>24</v>
      </c>
      <c r="I118" s="4" t="s">
        <v>25</v>
      </c>
      <c r="K118" s="4" t="s">
        <v>26</v>
      </c>
      <c r="L118" s="4" t="s">
        <v>456</v>
      </c>
      <c r="O118" s="4" t="s">
        <v>457</v>
      </c>
      <c r="P118" s="5">
        <f>DATE(2023,11,27)</f>
        <v>45257</v>
      </c>
      <c r="Q118" s="4" t="s">
        <v>56</v>
      </c>
      <c r="R118" s="5">
        <f>DATE(2022,3,22)</f>
        <v>44642</v>
      </c>
      <c r="S118" s="4" t="s">
        <v>450</v>
      </c>
      <c r="T118" s="5">
        <f>DATE(2019,7,1)</f>
        <v>43647</v>
      </c>
    </row>
    <row r="119" spans="1:24" ht="55.05" customHeight="1" x14ac:dyDescent="0.3">
      <c r="A119" s="4" t="s">
        <v>181</v>
      </c>
      <c r="B119" s="4" t="s">
        <v>81</v>
      </c>
      <c r="C119" s="4" t="s">
        <v>436</v>
      </c>
      <c r="D119" s="4" t="s">
        <v>20</v>
      </c>
      <c r="E119" s="4" t="s">
        <v>443</v>
      </c>
      <c r="F119" s="4" t="s">
        <v>444</v>
      </c>
      <c r="G119" s="4" t="s">
        <v>458</v>
      </c>
      <c r="H119" s="4" t="s">
        <v>24</v>
      </c>
      <c r="I119" s="4" t="s">
        <v>25</v>
      </c>
      <c r="K119" s="4" t="s">
        <v>26</v>
      </c>
      <c r="L119" s="4" t="s">
        <v>459</v>
      </c>
      <c r="O119" s="4" t="s">
        <v>56</v>
      </c>
      <c r="P119" s="5">
        <f>DATE(2022,3,22)</f>
        <v>44642</v>
      </c>
      <c r="Q119" s="4" t="s">
        <v>53</v>
      </c>
      <c r="R119" s="5">
        <f>DATE(2021,12,21)</f>
        <v>44551</v>
      </c>
      <c r="S119" s="4" t="s">
        <v>460</v>
      </c>
      <c r="T119" s="5">
        <f>DATE(2021,3,9)</f>
        <v>44264</v>
      </c>
    </row>
    <row r="120" spans="1:24" ht="55.05" customHeight="1" x14ac:dyDescent="0.3">
      <c r="A120" s="4" t="s">
        <v>181</v>
      </c>
      <c r="B120" s="4" t="s">
        <v>81</v>
      </c>
      <c r="C120" s="4" t="s">
        <v>436</v>
      </c>
      <c r="D120" s="4" t="s">
        <v>20</v>
      </c>
      <c r="E120" s="4" t="s">
        <v>443</v>
      </c>
      <c r="F120" s="4" t="s">
        <v>444</v>
      </c>
      <c r="G120" s="4" t="s">
        <v>461</v>
      </c>
      <c r="H120" s="4" t="s">
        <v>24</v>
      </c>
      <c r="I120" s="4" t="s">
        <v>25</v>
      </c>
      <c r="K120" s="4" t="s">
        <v>26</v>
      </c>
      <c r="L120" s="4" t="s">
        <v>462</v>
      </c>
      <c r="O120" s="4" t="s">
        <v>288</v>
      </c>
      <c r="P120" s="5">
        <f>DATE(2023,12,27)</f>
        <v>45287</v>
      </c>
      <c r="Q120" s="4" t="s">
        <v>432</v>
      </c>
      <c r="R120" s="5">
        <f>DATE(2022,5,24)</f>
        <v>44705</v>
      </c>
      <c r="S120" s="4" t="s">
        <v>56</v>
      </c>
      <c r="T120" s="5">
        <f>DATE(2022,3,22)</f>
        <v>44642</v>
      </c>
      <c r="U120" s="4" t="s">
        <v>53</v>
      </c>
      <c r="V120" s="5">
        <f>DATE(2021,12,21)</f>
        <v>44551</v>
      </c>
      <c r="W120" s="4" t="s">
        <v>460</v>
      </c>
      <c r="X120" s="5">
        <f>DATE(2021,3,9)</f>
        <v>44264</v>
      </c>
    </row>
    <row r="121" spans="1:24" ht="55.05" customHeight="1" x14ac:dyDescent="0.3">
      <c r="A121" s="4" t="s">
        <v>181</v>
      </c>
      <c r="B121" s="4" t="s">
        <v>81</v>
      </c>
      <c r="C121" s="4" t="s">
        <v>436</v>
      </c>
      <c r="D121" s="4" t="s">
        <v>20</v>
      </c>
      <c r="E121" s="4" t="s">
        <v>463</v>
      </c>
      <c r="F121" s="4" t="s">
        <v>444</v>
      </c>
      <c r="G121" s="4" t="s">
        <v>464</v>
      </c>
      <c r="H121" s="4" t="s">
        <v>24</v>
      </c>
      <c r="I121" s="4" t="s">
        <v>25</v>
      </c>
      <c r="K121" s="4" t="s">
        <v>26</v>
      </c>
      <c r="L121" s="4" t="s">
        <v>465</v>
      </c>
      <c r="O121" s="4" t="s">
        <v>466</v>
      </c>
      <c r="P121" s="5">
        <f>DATE(2022,10,25)</f>
        <v>44859</v>
      </c>
      <c r="Q121" s="4" t="s">
        <v>432</v>
      </c>
      <c r="R121" s="5">
        <f>DATE(2022,5,24)</f>
        <v>44705</v>
      </c>
      <c r="S121" s="4" t="s">
        <v>53</v>
      </c>
      <c r="T121" s="5">
        <f>DATE(2021,12,21)</f>
        <v>44551</v>
      </c>
      <c r="U121" s="4" t="s">
        <v>467</v>
      </c>
      <c r="V121" s="5">
        <f>DATE(2021,11,23)</f>
        <v>44523</v>
      </c>
    </row>
    <row r="122" spans="1:24" ht="55.05" customHeight="1" x14ac:dyDescent="0.3">
      <c r="A122" s="4" t="s">
        <v>181</v>
      </c>
      <c r="B122" s="4" t="s">
        <v>119</v>
      </c>
      <c r="C122" s="4" t="s">
        <v>468</v>
      </c>
      <c r="D122" s="4" t="s">
        <v>20</v>
      </c>
      <c r="E122" s="4" t="s">
        <v>469</v>
      </c>
      <c r="F122" s="4" t="s">
        <v>22</v>
      </c>
      <c r="G122" s="4" t="s">
        <v>470</v>
      </c>
      <c r="H122" s="4" t="s">
        <v>24</v>
      </c>
      <c r="I122" s="4" t="s">
        <v>25</v>
      </c>
      <c r="K122" s="4" t="s">
        <v>26</v>
      </c>
      <c r="L122" s="4" t="s">
        <v>471</v>
      </c>
      <c r="M122" s="4" t="s">
        <v>25</v>
      </c>
      <c r="N122" s="5">
        <f>DATE(2023,4,14)</f>
        <v>45030</v>
      </c>
      <c r="O122" s="4" t="s">
        <v>472</v>
      </c>
      <c r="P122" s="5">
        <f>DATE(2019,7,1)</f>
        <v>43647</v>
      </c>
    </row>
    <row r="123" spans="1:24" ht="55.05" customHeight="1" x14ac:dyDescent="0.3">
      <c r="A123" s="4" t="s">
        <v>181</v>
      </c>
      <c r="B123" s="4" t="s">
        <v>119</v>
      </c>
      <c r="C123" s="4" t="s">
        <v>120</v>
      </c>
      <c r="D123" s="4" t="s">
        <v>20</v>
      </c>
      <c r="E123" s="4" t="s">
        <v>473</v>
      </c>
      <c r="F123" s="4" t="s">
        <v>122</v>
      </c>
      <c r="G123" s="4" t="s">
        <v>474</v>
      </c>
      <c r="H123" s="4" t="s">
        <v>24</v>
      </c>
      <c r="I123" s="4" t="s">
        <v>25</v>
      </c>
      <c r="K123" s="4" t="s">
        <v>26</v>
      </c>
      <c r="L123" s="4" t="s">
        <v>475</v>
      </c>
      <c r="O123" s="4" t="s">
        <v>74</v>
      </c>
      <c r="P123" s="5">
        <f>DATE(2021,12,21)</f>
        <v>44551</v>
      </c>
      <c r="Q123" s="4" t="s">
        <v>476</v>
      </c>
      <c r="R123" s="5">
        <f>DATE(2021,9,28)</f>
        <v>44467</v>
      </c>
    </row>
    <row r="124" spans="1:24" ht="55.05" customHeight="1" x14ac:dyDescent="0.3">
      <c r="A124" s="4" t="s">
        <v>181</v>
      </c>
      <c r="B124" s="4" t="s">
        <v>119</v>
      </c>
      <c r="C124" s="4" t="s">
        <v>120</v>
      </c>
      <c r="D124" s="4" t="s">
        <v>20</v>
      </c>
      <c r="E124" s="4" t="s">
        <v>121</v>
      </c>
      <c r="F124" s="4" t="s">
        <v>122</v>
      </c>
      <c r="G124" s="4" t="s">
        <v>477</v>
      </c>
      <c r="H124" s="4" t="s">
        <v>24</v>
      </c>
      <c r="I124" s="4" t="s">
        <v>25</v>
      </c>
      <c r="K124" s="4" t="s">
        <v>26</v>
      </c>
      <c r="L124" s="4" t="s">
        <v>478</v>
      </c>
      <c r="O124" s="4" t="s">
        <v>479</v>
      </c>
      <c r="P124" s="5">
        <f>DATE(2022,10,25)</f>
        <v>44859</v>
      </c>
      <c r="Q124" s="4" t="s">
        <v>378</v>
      </c>
      <c r="R124" s="5">
        <f>DATE(2022,9,27)</f>
        <v>44831</v>
      </c>
      <c r="S124" s="4" t="s">
        <v>419</v>
      </c>
      <c r="T124" s="5">
        <f>DATE(2021,7,6)</f>
        <v>44383</v>
      </c>
      <c r="U124" s="4" t="s">
        <v>125</v>
      </c>
      <c r="V124" s="5">
        <f>DATE(2020,7,21)</f>
        <v>44033</v>
      </c>
    </row>
    <row r="125" spans="1:24" ht="55.05" customHeight="1" x14ac:dyDescent="0.3">
      <c r="A125" s="4" t="s">
        <v>181</v>
      </c>
      <c r="B125" s="4" t="s">
        <v>119</v>
      </c>
      <c r="C125" s="4" t="s">
        <v>120</v>
      </c>
      <c r="D125" s="4" t="s">
        <v>20</v>
      </c>
      <c r="E125" s="4" t="s">
        <v>480</v>
      </c>
      <c r="F125" s="4" t="s">
        <v>122</v>
      </c>
      <c r="G125" s="4" t="s">
        <v>481</v>
      </c>
      <c r="H125" s="4" t="s">
        <v>24</v>
      </c>
      <c r="I125" s="4" t="s">
        <v>25</v>
      </c>
      <c r="K125" s="4" t="s">
        <v>26</v>
      </c>
      <c r="L125" s="4" t="s">
        <v>482</v>
      </c>
      <c r="M125" s="4" t="s">
        <v>483</v>
      </c>
      <c r="N125" s="5">
        <f>DATE(2022,3,8)</f>
        <v>44628</v>
      </c>
      <c r="O125" s="4" t="s">
        <v>484</v>
      </c>
      <c r="P125" s="5">
        <f>DATE(2022,6,28)</f>
        <v>44740</v>
      </c>
      <c r="Q125" s="4" t="s">
        <v>74</v>
      </c>
      <c r="R125" s="5">
        <f>DATE(2021,12,21)</f>
        <v>44551</v>
      </c>
      <c r="S125" s="4" t="s">
        <v>125</v>
      </c>
      <c r="T125" s="5">
        <f>DATE(2020,7,21)</f>
        <v>44033</v>
      </c>
    </row>
    <row r="126" spans="1:24" ht="55.05" customHeight="1" x14ac:dyDescent="0.3">
      <c r="A126" s="4" t="s">
        <v>181</v>
      </c>
      <c r="B126" s="4" t="s">
        <v>119</v>
      </c>
      <c r="C126" s="4" t="s">
        <v>126</v>
      </c>
      <c r="D126" s="4" t="s">
        <v>127</v>
      </c>
      <c r="E126" s="4" t="s">
        <v>128</v>
      </c>
      <c r="F126" s="4" t="s">
        <v>122</v>
      </c>
      <c r="G126" s="4" t="s">
        <v>485</v>
      </c>
      <c r="H126" s="4" t="s">
        <v>24</v>
      </c>
      <c r="I126" s="4" t="s">
        <v>25</v>
      </c>
      <c r="K126" s="4" t="s">
        <v>26</v>
      </c>
      <c r="L126" s="4" t="s">
        <v>486</v>
      </c>
      <c r="O126" s="4" t="s">
        <v>136</v>
      </c>
      <c r="P126" s="5">
        <f>DATE(2022,6,28)</f>
        <v>44740</v>
      </c>
      <c r="Q126" s="4" t="s">
        <v>487</v>
      </c>
      <c r="R126" s="5">
        <f>DATE(2020,11,24)</f>
        <v>44159</v>
      </c>
      <c r="S126" s="4" t="s">
        <v>125</v>
      </c>
      <c r="T126" s="5">
        <f>DATE(2020,7,21)</f>
        <v>44033</v>
      </c>
    </row>
    <row r="127" spans="1:24" ht="55.05" customHeight="1" x14ac:dyDescent="0.3">
      <c r="A127" s="4" t="s">
        <v>181</v>
      </c>
      <c r="B127" s="4" t="s">
        <v>119</v>
      </c>
      <c r="C127" s="4" t="s">
        <v>126</v>
      </c>
      <c r="D127" s="4" t="s">
        <v>127</v>
      </c>
      <c r="E127" s="4" t="s">
        <v>128</v>
      </c>
      <c r="F127" s="4" t="s">
        <v>122</v>
      </c>
      <c r="G127" s="4" t="s">
        <v>134</v>
      </c>
      <c r="H127" s="4" t="s">
        <v>24</v>
      </c>
      <c r="I127" s="4" t="s">
        <v>25</v>
      </c>
      <c r="K127" s="4" t="s">
        <v>26</v>
      </c>
      <c r="L127" s="4" t="s">
        <v>488</v>
      </c>
      <c r="O127" s="4" t="s">
        <v>489</v>
      </c>
      <c r="P127" s="5">
        <f>DATE(2020,12,7)</f>
        <v>44172</v>
      </c>
      <c r="Q127" s="4" t="s">
        <v>125</v>
      </c>
      <c r="R127" s="5">
        <f>DATE(2020,7,21)</f>
        <v>44033</v>
      </c>
    </row>
    <row r="128" spans="1:24" ht="55.05" customHeight="1" x14ac:dyDescent="0.3">
      <c r="A128" s="4" t="s">
        <v>181</v>
      </c>
      <c r="B128" s="4" t="s">
        <v>119</v>
      </c>
      <c r="C128" s="4" t="s">
        <v>126</v>
      </c>
      <c r="D128" s="4" t="s">
        <v>127</v>
      </c>
      <c r="E128" s="4" t="s">
        <v>128</v>
      </c>
      <c r="F128" s="4" t="s">
        <v>122</v>
      </c>
      <c r="G128" s="4" t="s">
        <v>490</v>
      </c>
      <c r="H128" s="4" t="s">
        <v>24</v>
      </c>
      <c r="I128" s="4" t="s">
        <v>25</v>
      </c>
      <c r="K128" s="4" t="s">
        <v>26</v>
      </c>
      <c r="L128" s="4" t="s">
        <v>491</v>
      </c>
      <c r="O128" s="4" t="s">
        <v>492</v>
      </c>
      <c r="P128" s="5">
        <f>DATE(2023,1,10)</f>
        <v>44936</v>
      </c>
      <c r="Q128" s="4" t="s">
        <v>74</v>
      </c>
      <c r="R128" s="5">
        <f>DATE(2021,12,21)</f>
        <v>44551</v>
      </c>
      <c r="S128" s="4" t="s">
        <v>125</v>
      </c>
      <c r="T128" s="5">
        <f>DATE(2020,7,21)</f>
        <v>44033</v>
      </c>
    </row>
    <row r="129" spans="1:26" ht="55.05" customHeight="1" x14ac:dyDescent="0.3">
      <c r="A129" s="4" t="s">
        <v>181</v>
      </c>
      <c r="B129" s="4" t="s">
        <v>119</v>
      </c>
      <c r="C129" s="4" t="s">
        <v>137</v>
      </c>
      <c r="D129" s="4" t="s">
        <v>20</v>
      </c>
      <c r="E129" s="4" t="s">
        <v>138</v>
      </c>
      <c r="F129" s="4" t="s">
        <v>22</v>
      </c>
      <c r="G129" s="4" t="s">
        <v>139</v>
      </c>
      <c r="H129" s="4" t="s">
        <v>24</v>
      </c>
      <c r="I129" s="4" t="s">
        <v>25</v>
      </c>
      <c r="K129" s="4" t="s">
        <v>26</v>
      </c>
      <c r="L129" s="4" t="s">
        <v>493</v>
      </c>
      <c r="M129" s="4" t="s">
        <v>144</v>
      </c>
      <c r="N129" s="5">
        <f>DATE(2022,3,22)</f>
        <v>44642</v>
      </c>
      <c r="O129" s="4" t="s">
        <v>125</v>
      </c>
      <c r="P129" s="5">
        <f>DATE(2020,7,21)</f>
        <v>44033</v>
      </c>
    </row>
    <row r="130" spans="1:26" ht="55.05" customHeight="1" x14ac:dyDescent="0.3">
      <c r="A130" s="4" t="s">
        <v>181</v>
      </c>
      <c r="B130" s="4" t="s">
        <v>119</v>
      </c>
      <c r="C130" s="4" t="s">
        <v>137</v>
      </c>
      <c r="D130" s="4" t="s">
        <v>20</v>
      </c>
      <c r="E130" s="4" t="s">
        <v>138</v>
      </c>
      <c r="F130" s="4" t="s">
        <v>22</v>
      </c>
      <c r="G130" s="4" t="s">
        <v>494</v>
      </c>
      <c r="H130" s="4" t="s">
        <v>24</v>
      </c>
      <c r="I130" s="4" t="s">
        <v>25</v>
      </c>
      <c r="K130" s="4" t="s">
        <v>26</v>
      </c>
      <c r="L130" s="4" t="s">
        <v>495</v>
      </c>
      <c r="M130" s="4" t="s">
        <v>144</v>
      </c>
      <c r="N130" s="5">
        <f>DATE(2022,3,22)</f>
        <v>44642</v>
      </c>
      <c r="O130" s="4" t="s">
        <v>125</v>
      </c>
      <c r="P130" s="5">
        <f>DATE(2020,7,21)</f>
        <v>44033</v>
      </c>
    </row>
    <row r="131" spans="1:26" ht="55.05" customHeight="1" x14ac:dyDescent="0.3">
      <c r="A131" s="4" t="s">
        <v>181</v>
      </c>
      <c r="B131" s="4" t="s">
        <v>119</v>
      </c>
      <c r="C131" s="4" t="s">
        <v>137</v>
      </c>
      <c r="D131" s="4" t="s">
        <v>20</v>
      </c>
      <c r="E131" s="4" t="s">
        <v>138</v>
      </c>
      <c r="F131" s="4" t="s">
        <v>22</v>
      </c>
      <c r="G131" s="4" t="s">
        <v>496</v>
      </c>
      <c r="H131" s="4" t="s">
        <v>24</v>
      </c>
      <c r="I131" s="4" t="s">
        <v>25</v>
      </c>
      <c r="K131" s="4" t="s">
        <v>26</v>
      </c>
      <c r="L131" s="4" t="s">
        <v>497</v>
      </c>
      <c r="O131" s="4" t="s">
        <v>498</v>
      </c>
      <c r="P131" s="5">
        <f>DATE(2023,4,21)</f>
        <v>45037</v>
      </c>
      <c r="Q131" s="4" t="s">
        <v>499</v>
      </c>
      <c r="R131" s="5">
        <f>DATE(2021,6,11)</f>
        <v>44358</v>
      </c>
    </row>
    <row r="132" spans="1:26" ht="55.05" customHeight="1" x14ac:dyDescent="0.3">
      <c r="A132" s="4" t="s">
        <v>181</v>
      </c>
      <c r="B132" s="4" t="s">
        <v>145</v>
      </c>
      <c r="C132" s="4" t="s">
        <v>20</v>
      </c>
      <c r="D132" s="4" t="s">
        <v>20</v>
      </c>
      <c r="E132" s="4" t="s">
        <v>500</v>
      </c>
      <c r="F132" s="4" t="s">
        <v>162</v>
      </c>
      <c r="G132" s="4" t="s">
        <v>501</v>
      </c>
      <c r="H132" s="4" t="s">
        <v>37</v>
      </c>
      <c r="I132" s="4" t="s">
        <v>25</v>
      </c>
      <c r="K132" s="4" t="s">
        <v>402</v>
      </c>
      <c r="L132" s="4" t="s">
        <v>502</v>
      </c>
      <c r="O132" s="4" t="s">
        <v>125</v>
      </c>
      <c r="P132" s="5">
        <f>DATE(2020,7,21)</f>
        <v>44033</v>
      </c>
      <c r="Q132" s="4" t="s">
        <v>503</v>
      </c>
      <c r="R132" s="5">
        <f>DATE(2020,3,10)</f>
        <v>43900</v>
      </c>
      <c r="S132" s="4" t="s">
        <v>504</v>
      </c>
      <c r="T132" s="5">
        <f>DATE(2019,2,28)</f>
        <v>43524</v>
      </c>
    </row>
    <row r="133" spans="1:26" ht="55.05" customHeight="1" x14ac:dyDescent="0.3">
      <c r="A133" s="4" t="s">
        <v>181</v>
      </c>
      <c r="B133" s="4" t="s">
        <v>145</v>
      </c>
      <c r="C133" s="4" t="s">
        <v>20</v>
      </c>
      <c r="D133" s="4" t="s">
        <v>146</v>
      </c>
      <c r="E133" s="4" t="s">
        <v>147</v>
      </c>
      <c r="F133" s="4" t="s">
        <v>122</v>
      </c>
      <c r="G133" s="4" t="s">
        <v>148</v>
      </c>
      <c r="H133" s="4" t="s">
        <v>24</v>
      </c>
      <c r="I133" s="4" t="s">
        <v>25</v>
      </c>
      <c r="K133" s="4" t="s">
        <v>26</v>
      </c>
      <c r="L133" s="4" t="s">
        <v>505</v>
      </c>
      <c r="O133" s="4" t="s">
        <v>150</v>
      </c>
      <c r="P133" s="5">
        <f>DATE(2023,6,27)</f>
        <v>45104</v>
      </c>
      <c r="Q133" s="4" t="s">
        <v>506</v>
      </c>
      <c r="R133" s="5">
        <f>DATE(2015,11,25)</f>
        <v>42333</v>
      </c>
    </row>
    <row r="134" spans="1:26" ht="55.05" customHeight="1" x14ac:dyDescent="0.3">
      <c r="A134" s="4" t="s">
        <v>181</v>
      </c>
      <c r="B134" s="4" t="s">
        <v>145</v>
      </c>
      <c r="C134" s="4" t="s">
        <v>20</v>
      </c>
      <c r="D134" s="4" t="s">
        <v>146</v>
      </c>
      <c r="E134" s="4" t="s">
        <v>147</v>
      </c>
      <c r="F134" s="4" t="s">
        <v>122</v>
      </c>
      <c r="G134" s="4" t="s">
        <v>153</v>
      </c>
      <c r="H134" s="4" t="s">
        <v>24</v>
      </c>
      <c r="I134" s="4" t="s">
        <v>25</v>
      </c>
      <c r="K134" s="4" t="s">
        <v>26</v>
      </c>
      <c r="L134" s="4" t="s">
        <v>507</v>
      </c>
      <c r="O134" s="4" t="s">
        <v>508</v>
      </c>
      <c r="P134" s="5">
        <f>DATE(2020,3,10)</f>
        <v>43900</v>
      </c>
    </row>
    <row r="135" spans="1:26" ht="55.05" customHeight="1" x14ac:dyDescent="0.3">
      <c r="A135" s="4" t="s">
        <v>181</v>
      </c>
      <c r="B135" s="4" t="s">
        <v>145</v>
      </c>
      <c r="C135" s="4" t="s">
        <v>20</v>
      </c>
      <c r="D135" s="4" t="s">
        <v>146</v>
      </c>
      <c r="E135" s="4" t="s">
        <v>147</v>
      </c>
      <c r="F135" s="4" t="s">
        <v>122</v>
      </c>
      <c r="G135" s="4" t="s">
        <v>509</v>
      </c>
      <c r="H135" s="4" t="s">
        <v>24</v>
      </c>
      <c r="I135" s="4" t="s">
        <v>25</v>
      </c>
      <c r="K135" s="4" t="s">
        <v>26</v>
      </c>
      <c r="L135" s="4" t="s">
        <v>510</v>
      </c>
      <c r="O135" s="4" t="s">
        <v>125</v>
      </c>
      <c r="P135" s="5">
        <f>DATE(2020,7,21)</f>
        <v>44033</v>
      </c>
    </row>
    <row r="136" spans="1:26" ht="55.05" customHeight="1" x14ac:dyDescent="0.3">
      <c r="A136" s="4" t="s">
        <v>181</v>
      </c>
      <c r="B136" s="4" t="s">
        <v>145</v>
      </c>
      <c r="C136" s="4" t="s">
        <v>160</v>
      </c>
      <c r="D136" s="4" t="s">
        <v>20</v>
      </c>
      <c r="E136" s="4" t="s">
        <v>161</v>
      </c>
      <c r="F136" s="4" t="s">
        <v>162</v>
      </c>
      <c r="G136" s="4" t="s">
        <v>511</v>
      </c>
      <c r="H136" s="4" t="s">
        <v>24</v>
      </c>
      <c r="I136" s="4" t="s">
        <v>25</v>
      </c>
      <c r="K136" s="4" t="s">
        <v>26</v>
      </c>
      <c r="L136" s="4" t="s">
        <v>512</v>
      </c>
      <c r="O136" s="4" t="s">
        <v>513</v>
      </c>
      <c r="P136" s="5">
        <f>DATE(2023,5,23)</f>
        <v>45069</v>
      </c>
      <c r="Q136" s="4" t="s">
        <v>514</v>
      </c>
      <c r="R136" s="5">
        <f>DATE(2023,4,28)</f>
        <v>45044</v>
      </c>
      <c r="S136" s="4" t="s">
        <v>515</v>
      </c>
      <c r="T136" s="5">
        <f>DATE(2023,4,21)</f>
        <v>45037</v>
      </c>
      <c r="U136" s="4" t="s">
        <v>516</v>
      </c>
      <c r="V136" s="5">
        <f>DATE(2022,11,24)</f>
        <v>44889</v>
      </c>
      <c r="W136" s="4" t="s">
        <v>517</v>
      </c>
      <c r="X136" s="5">
        <f>DATE(2022,10,6)</f>
        <v>44840</v>
      </c>
      <c r="Y136" s="4" t="s">
        <v>518</v>
      </c>
      <c r="Z136" s="5">
        <f>DATE(2021,9,9)</f>
        <v>44448</v>
      </c>
    </row>
    <row r="137" spans="1:26" ht="55.05" customHeight="1" x14ac:dyDescent="0.3">
      <c r="A137" s="4" t="s">
        <v>181</v>
      </c>
      <c r="B137" s="4" t="s">
        <v>145</v>
      </c>
      <c r="C137" s="4" t="s">
        <v>160</v>
      </c>
      <c r="D137" s="4" t="s">
        <v>20</v>
      </c>
      <c r="E137" s="4" t="s">
        <v>161</v>
      </c>
      <c r="F137" s="4" t="s">
        <v>162</v>
      </c>
      <c r="G137" s="4" t="s">
        <v>163</v>
      </c>
      <c r="H137" s="4" t="s">
        <v>24</v>
      </c>
      <c r="I137" s="4" t="s">
        <v>25</v>
      </c>
      <c r="K137" s="4" t="s">
        <v>26</v>
      </c>
      <c r="L137" s="4" t="s">
        <v>519</v>
      </c>
      <c r="O137" s="4" t="s">
        <v>492</v>
      </c>
      <c r="P137" s="5">
        <f>DATE(2023,1,10)</f>
        <v>44936</v>
      </c>
      <c r="Q137" s="4" t="s">
        <v>520</v>
      </c>
      <c r="R137" s="5">
        <f>DATE(2021,11,23)</f>
        <v>44523</v>
      </c>
    </row>
    <row r="138" spans="1:26" ht="55.05" customHeight="1" x14ac:dyDescent="0.3">
      <c r="A138" s="4" t="s">
        <v>181</v>
      </c>
      <c r="B138" s="4" t="s">
        <v>145</v>
      </c>
      <c r="C138" s="4" t="s">
        <v>521</v>
      </c>
      <c r="D138" s="4" t="s">
        <v>20</v>
      </c>
      <c r="E138" s="4" t="s">
        <v>522</v>
      </c>
      <c r="F138" s="4" t="s">
        <v>84</v>
      </c>
      <c r="G138" s="4" t="s">
        <v>523</v>
      </c>
      <c r="H138" s="4" t="s">
        <v>24</v>
      </c>
      <c r="I138" s="4" t="s">
        <v>25</v>
      </c>
      <c r="K138" s="4" t="s">
        <v>26</v>
      </c>
      <c r="L138" s="4" t="s">
        <v>524</v>
      </c>
      <c r="O138" s="4" t="s">
        <v>525</v>
      </c>
      <c r="P138" s="5">
        <f>DATE(2023,12,5)</f>
        <v>45265</v>
      </c>
      <c r="Q138" s="4" t="s">
        <v>526</v>
      </c>
      <c r="R138" s="5">
        <f>DATE(2023,7,13)</f>
        <v>45120</v>
      </c>
      <c r="S138" s="4" t="s">
        <v>527</v>
      </c>
      <c r="T138" s="5">
        <f>DATE(2022,12,21)</f>
        <v>44916</v>
      </c>
      <c r="U138" s="4" t="s">
        <v>528</v>
      </c>
      <c r="V138" s="5">
        <f>DATE(2021,8,17)</f>
        <v>44425</v>
      </c>
    </row>
    <row r="139" spans="1:26" ht="55.05" customHeight="1" x14ac:dyDescent="0.3">
      <c r="A139" s="4" t="s">
        <v>181</v>
      </c>
      <c r="B139" s="4" t="s">
        <v>145</v>
      </c>
      <c r="C139" s="4" t="s">
        <v>521</v>
      </c>
      <c r="D139" s="4" t="s">
        <v>20</v>
      </c>
      <c r="E139" s="4" t="s">
        <v>522</v>
      </c>
      <c r="F139" s="4" t="s">
        <v>84</v>
      </c>
      <c r="G139" s="4" t="s">
        <v>529</v>
      </c>
      <c r="H139" s="4" t="s">
        <v>24</v>
      </c>
      <c r="I139" s="4" t="s">
        <v>25</v>
      </c>
      <c r="K139" s="4" t="s">
        <v>26</v>
      </c>
      <c r="L139" s="4" t="s">
        <v>530</v>
      </c>
      <c r="M139" s="4" t="s">
        <v>25</v>
      </c>
      <c r="N139" s="5">
        <f>DATE(2023,5,19)</f>
        <v>45065</v>
      </c>
      <c r="O139" s="4" t="s">
        <v>125</v>
      </c>
      <c r="P139" s="5">
        <f>DATE(2020,7,21)</f>
        <v>44033</v>
      </c>
    </row>
    <row r="140" spans="1:26" ht="55.05" customHeight="1" x14ac:dyDescent="0.3">
      <c r="A140" s="4" t="s">
        <v>181</v>
      </c>
      <c r="B140" s="4" t="s">
        <v>145</v>
      </c>
      <c r="C140" s="4" t="s">
        <v>165</v>
      </c>
      <c r="D140" s="4" t="s">
        <v>20</v>
      </c>
      <c r="E140" s="4" t="s">
        <v>531</v>
      </c>
      <c r="F140" s="4" t="s">
        <v>122</v>
      </c>
      <c r="G140" s="4" t="s">
        <v>532</v>
      </c>
      <c r="H140" s="4" t="s">
        <v>32</v>
      </c>
      <c r="I140" s="4" t="s">
        <v>130</v>
      </c>
      <c r="J140" s="5">
        <f>DATE(2023,6,27)</f>
        <v>45104</v>
      </c>
      <c r="K140" s="4" t="s">
        <v>26</v>
      </c>
      <c r="L140" s="4" t="s">
        <v>533</v>
      </c>
      <c r="O140" s="4" t="s">
        <v>150</v>
      </c>
      <c r="P140" s="5">
        <f>DATE(2023,6,27)</f>
        <v>45104</v>
      </c>
      <c r="Q140" s="4" t="s">
        <v>150</v>
      </c>
      <c r="R140" s="5">
        <f>DATE(2023,6,27)</f>
        <v>45104</v>
      </c>
      <c r="S140" s="4" t="s">
        <v>150</v>
      </c>
      <c r="T140" s="5">
        <f>DATE(2023,6,27)</f>
        <v>45104</v>
      </c>
      <c r="U140" s="4" t="s">
        <v>136</v>
      </c>
      <c r="V140" s="5">
        <f>DATE(2022,6,28)</f>
        <v>44740</v>
      </c>
      <c r="W140" s="4" t="s">
        <v>221</v>
      </c>
      <c r="X140" s="5">
        <f>DATE(2021,1,12)</f>
        <v>44208</v>
      </c>
    </row>
    <row r="141" spans="1:26" ht="55.05" customHeight="1" x14ac:dyDescent="0.3">
      <c r="A141" s="4" t="s">
        <v>534</v>
      </c>
      <c r="B141" s="4" t="s">
        <v>18</v>
      </c>
      <c r="C141" s="4" t="s">
        <v>182</v>
      </c>
      <c r="D141" s="4" t="s">
        <v>20</v>
      </c>
      <c r="E141" s="4" t="s">
        <v>183</v>
      </c>
      <c r="F141" s="4" t="s">
        <v>42</v>
      </c>
      <c r="G141" s="4" t="s">
        <v>535</v>
      </c>
      <c r="H141" s="4" t="s">
        <v>32</v>
      </c>
      <c r="I141" s="4" t="s">
        <v>536</v>
      </c>
      <c r="J141" s="5">
        <f>DATE(2023,6,27)</f>
        <v>45104</v>
      </c>
      <c r="K141" s="4" t="s">
        <v>26</v>
      </c>
      <c r="L141" s="4" t="s">
        <v>537</v>
      </c>
      <c r="O141" s="4" t="s">
        <v>150</v>
      </c>
      <c r="P141" s="5">
        <f>DATE(2023,6,27)</f>
        <v>45104</v>
      </c>
      <c r="Q141" s="4" t="s">
        <v>150</v>
      </c>
      <c r="R141" s="5">
        <f>DATE(2023,6,27)</f>
        <v>45104</v>
      </c>
      <c r="S141" s="4" t="s">
        <v>100</v>
      </c>
      <c r="T141" s="5">
        <f>DATE(2020,7,21)</f>
        <v>44033</v>
      </c>
    </row>
    <row r="142" spans="1:26" ht="55.05" customHeight="1" x14ac:dyDescent="0.3">
      <c r="A142" s="4" t="s">
        <v>534</v>
      </c>
      <c r="B142" s="4" t="s">
        <v>18</v>
      </c>
      <c r="C142" s="4" t="s">
        <v>203</v>
      </c>
      <c r="D142" s="4" t="s">
        <v>20</v>
      </c>
      <c r="E142" s="4" t="s">
        <v>204</v>
      </c>
      <c r="F142" s="4" t="s">
        <v>22</v>
      </c>
      <c r="G142" s="4" t="s">
        <v>538</v>
      </c>
      <c r="H142" s="4" t="s">
        <v>24</v>
      </c>
      <c r="I142" s="4" t="s">
        <v>25</v>
      </c>
      <c r="K142" s="4" t="s">
        <v>26</v>
      </c>
      <c r="L142" s="4" t="s">
        <v>539</v>
      </c>
      <c r="O142" s="4" t="s">
        <v>540</v>
      </c>
      <c r="P142" s="5">
        <f>DATE(2023,8,4)</f>
        <v>45142</v>
      </c>
      <c r="Q142" s="4" t="s">
        <v>217</v>
      </c>
      <c r="R142" s="5">
        <f>DATE(2020,7,21)</f>
        <v>44033</v>
      </c>
    </row>
    <row r="143" spans="1:26" ht="55.05" customHeight="1" x14ac:dyDescent="0.3">
      <c r="A143" s="4" t="s">
        <v>534</v>
      </c>
      <c r="B143" s="4" t="s">
        <v>18</v>
      </c>
      <c r="C143" s="4" t="s">
        <v>19</v>
      </c>
      <c r="D143" s="4" t="s">
        <v>20</v>
      </c>
      <c r="E143" s="4" t="s">
        <v>218</v>
      </c>
      <c r="F143" s="4" t="s">
        <v>22</v>
      </c>
      <c r="G143" s="4" t="s">
        <v>541</v>
      </c>
      <c r="H143" s="4" t="s">
        <v>24</v>
      </c>
      <c r="I143" s="4" t="s">
        <v>25</v>
      </c>
      <c r="K143" s="4" t="s">
        <v>26</v>
      </c>
      <c r="L143" s="4" t="s">
        <v>542</v>
      </c>
      <c r="O143" s="4" t="s">
        <v>543</v>
      </c>
      <c r="P143" s="5">
        <f>DATE(2022,2,16)</f>
        <v>44608</v>
      </c>
      <c r="Q143" s="4" t="s">
        <v>544</v>
      </c>
      <c r="R143" s="5">
        <f>DATE(2020,10,30)</f>
        <v>44134</v>
      </c>
    </row>
    <row r="144" spans="1:26" ht="55.05" customHeight="1" x14ac:dyDescent="0.3">
      <c r="A144" s="4" t="s">
        <v>534</v>
      </c>
      <c r="B144" s="4" t="s">
        <v>18</v>
      </c>
      <c r="C144" s="4" t="s">
        <v>19</v>
      </c>
      <c r="D144" s="4" t="s">
        <v>20</v>
      </c>
      <c r="E144" s="4" t="s">
        <v>218</v>
      </c>
      <c r="F144" s="4" t="s">
        <v>22</v>
      </c>
      <c r="G144" s="4" t="s">
        <v>545</v>
      </c>
      <c r="H144" s="4" t="s">
        <v>24</v>
      </c>
      <c r="I144" s="4" t="s">
        <v>25</v>
      </c>
      <c r="K144" s="4" t="s">
        <v>26</v>
      </c>
      <c r="L144" s="4" t="s">
        <v>546</v>
      </c>
      <c r="O144" s="4" t="s">
        <v>547</v>
      </c>
      <c r="P144" s="5">
        <f>DATE(2023,2,28)</f>
        <v>44985</v>
      </c>
      <c r="Q144" s="4" t="s">
        <v>548</v>
      </c>
      <c r="R144" s="5">
        <f>DATE(2022,2,10)</f>
        <v>44602</v>
      </c>
      <c r="S144" s="4" t="s">
        <v>549</v>
      </c>
      <c r="T144" s="5">
        <f>DATE(2020,10,30)</f>
        <v>44134</v>
      </c>
    </row>
    <row r="145" spans="1:26" ht="55.05" customHeight="1" x14ac:dyDescent="0.3">
      <c r="A145" s="4" t="s">
        <v>534</v>
      </c>
      <c r="B145" s="4" t="s">
        <v>18</v>
      </c>
      <c r="C145" s="4" t="s">
        <v>19</v>
      </c>
      <c r="D145" s="4" t="s">
        <v>20</v>
      </c>
      <c r="E145" s="4" t="s">
        <v>218</v>
      </c>
      <c r="F145" s="4" t="s">
        <v>22</v>
      </c>
      <c r="G145" s="4" t="s">
        <v>550</v>
      </c>
      <c r="H145" s="4" t="s">
        <v>24</v>
      </c>
      <c r="I145" s="4" t="s">
        <v>25</v>
      </c>
      <c r="K145" s="4" t="s">
        <v>26</v>
      </c>
      <c r="L145" s="4" t="s">
        <v>551</v>
      </c>
      <c r="O145" s="4" t="s">
        <v>552</v>
      </c>
      <c r="P145" s="5">
        <f>DATE(2020,7,21)</f>
        <v>44033</v>
      </c>
    </row>
    <row r="146" spans="1:26" ht="55.05" customHeight="1" x14ac:dyDescent="0.3">
      <c r="A146" s="4" t="s">
        <v>534</v>
      </c>
      <c r="B146" s="4" t="s">
        <v>18</v>
      </c>
      <c r="C146" s="4" t="s">
        <v>19</v>
      </c>
      <c r="D146" s="4" t="s">
        <v>20</v>
      </c>
      <c r="E146" s="4" t="s">
        <v>218</v>
      </c>
      <c r="F146" s="4" t="s">
        <v>22</v>
      </c>
      <c r="G146" s="4" t="s">
        <v>553</v>
      </c>
      <c r="H146" s="4" t="s">
        <v>32</v>
      </c>
      <c r="I146" s="4" t="s">
        <v>33</v>
      </c>
      <c r="J146" s="5">
        <f>DATE(2022,2,10)</f>
        <v>44602</v>
      </c>
      <c r="K146" s="4" t="s">
        <v>26</v>
      </c>
      <c r="L146" s="4" t="s">
        <v>554</v>
      </c>
      <c r="O146" s="4" t="s">
        <v>552</v>
      </c>
      <c r="P146" s="5">
        <f>DATE(2020,7,21)</f>
        <v>44033</v>
      </c>
    </row>
    <row r="147" spans="1:26" ht="55.05" customHeight="1" x14ac:dyDescent="0.3">
      <c r="A147" s="4" t="s">
        <v>534</v>
      </c>
      <c r="B147" s="4" t="s">
        <v>18</v>
      </c>
      <c r="C147" s="4" t="s">
        <v>19</v>
      </c>
      <c r="D147" s="4" t="s">
        <v>20</v>
      </c>
      <c r="E147" s="4" t="s">
        <v>21</v>
      </c>
      <c r="F147" s="4" t="s">
        <v>22</v>
      </c>
      <c r="G147" s="4" t="s">
        <v>555</v>
      </c>
      <c r="H147" s="4" t="s">
        <v>24</v>
      </c>
      <c r="I147" s="4" t="s">
        <v>25</v>
      </c>
      <c r="K147" s="4" t="s">
        <v>26</v>
      </c>
      <c r="L147" s="4" t="s">
        <v>556</v>
      </c>
      <c r="O147" s="4" t="s">
        <v>525</v>
      </c>
      <c r="P147" s="5">
        <f>DATE(2023,11,23)</f>
        <v>45253</v>
      </c>
      <c r="Q147" s="4" t="s">
        <v>557</v>
      </c>
      <c r="R147" s="5">
        <f>DATE(2023,7,13)</f>
        <v>45120</v>
      </c>
      <c r="S147" s="4" t="s">
        <v>558</v>
      </c>
      <c r="T147" s="5">
        <f>DATE(2021,10,21)</f>
        <v>44490</v>
      </c>
      <c r="U147" s="4" t="s">
        <v>35</v>
      </c>
      <c r="V147" s="5">
        <f>DATE(2020,7,21)</f>
        <v>44033</v>
      </c>
    </row>
    <row r="148" spans="1:26" ht="55.05" customHeight="1" x14ac:dyDescent="0.3">
      <c r="A148" s="4" t="s">
        <v>534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22</v>
      </c>
      <c r="G148" s="4" t="s">
        <v>559</v>
      </c>
      <c r="H148" s="4" t="s">
        <v>24</v>
      </c>
      <c r="I148" s="4" t="s">
        <v>25</v>
      </c>
      <c r="K148" s="4" t="s">
        <v>26</v>
      </c>
      <c r="L148" s="4" t="s">
        <v>560</v>
      </c>
      <c r="O148" s="4" t="s">
        <v>561</v>
      </c>
      <c r="P148" s="5">
        <f>DATE(2022,5,2)</f>
        <v>44683</v>
      </c>
      <c r="Q148" s="4" t="s">
        <v>562</v>
      </c>
      <c r="R148" s="5">
        <f>DATE(2020,11,12)</f>
        <v>44147</v>
      </c>
    </row>
    <row r="149" spans="1:26" ht="55.05" customHeight="1" x14ac:dyDescent="0.3">
      <c r="A149" s="4" t="s">
        <v>534</v>
      </c>
      <c r="B149" s="4" t="s">
        <v>18</v>
      </c>
      <c r="C149" s="4" t="s">
        <v>19</v>
      </c>
      <c r="D149" s="4" t="s">
        <v>20</v>
      </c>
      <c r="E149" s="4" t="s">
        <v>21</v>
      </c>
      <c r="F149" s="4" t="s">
        <v>22</v>
      </c>
      <c r="G149" s="4" t="s">
        <v>563</v>
      </c>
      <c r="H149" s="4" t="s">
        <v>24</v>
      </c>
      <c r="I149" s="4" t="s">
        <v>25</v>
      </c>
      <c r="K149" s="4" t="s">
        <v>26</v>
      </c>
      <c r="L149" s="4" t="s">
        <v>564</v>
      </c>
      <c r="O149" s="4" t="s">
        <v>557</v>
      </c>
      <c r="P149" s="5">
        <f>DATE(2023,7,13)</f>
        <v>45120</v>
      </c>
      <c r="Q149" s="4" t="s">
        <v>558</v>
      </c>
      <c r="R149" s="5">
        <f>DATE(2021,10,21)</f>
        <v>44490</v>
      </c>
      <c r="S149" s="4" t="s">
        <v>35</v>
      </c>
      <c r="T149" s="5">
        <f>DATE(2020,7,21)</f>
        <v>44033</v>
      </c>
    </row>
    <row r="150" spans="1:26" ht="55.05" customHeight="1" x14ac:dyDescent="0.3">
      <c r="A150" s="4" t="s">
        <v>534</v>
      </c>
      <c r="B150" s="4" t="s">
        <v>18</v>
      </c>
      <c r="C150" s="4" t="s">
        <v>19</v>
      </c>
      <c r="D150" s="4" t="s">
        <v>20</v>
      </c>
      <c r="E150" s="4" t="s">
        <v>30</v>
      </c>
      <c r="F150" s="4" t="s">
        <v>22</v>
      </c>
      <c r="G150" s="4" t="s">
        <v>565</v>
      </c>
      <c r="H150" s="4" t="s">
        <v>37</v>
      </c>
      <c r="I150" s="4" t="s">
        <v>25</v>
      </c>
      <c r="K150" s="4" t="s">
        <v>26</v>
      </c>
      <c r="L150" s="4" t="s">
        <v>566</v>
      </c>
      <c r="O150" s="4" t="s">
        <v>567</v>
      </c>
      <c r="P150" s="5">
        <f>DATE(2023,9,19)</f>
        <v>45188</v>
      </c>
      <c r="Q150" s="4" t="s">
        <v>568</v>
      </c>
      <c r="R150" s="5">
        <f>DATE(2022,2,10)</f>
        <v>44602</v>
      </c>
      <c r="S150" s="4" t="s">
        <v>569</v>
      </c>
      <c r="T150" s="5">
        <f>DATE(2021,12,30)</f>
        <v>44560</v>
      </c>
    </row>
    <row r="151" spans="1:26" ht="55.05" customHeight="1" x14ac:dyDescent="0.3">
      <c r="A151" s="4" t="s">
        <v>534</v>
      </c>
      <c r="B151" s="4" t="s">
        <v>18</v>
      </c>
      <c r="C151" s="4" t="s">
        <v>19</v>
      </c>
      <c r="D151" s="4" t="s">
        <v>20</v>
      </c>
      <c r="E151" s="4" t="s">
        <v>30</v>
      </c>
      <c r="F151" s="4" t="s">
        <v>22</v>
      </c>
      <c r="G151" s="4" t="s">
        <v>570</v>
      </c>
      <c r="H151" s="4" t="s">
        <v>37</v>
      </c>
      <c r="I151" s="4" t="s">
        <v>25</v>
      </c>
      <c r="K151" s="4" t="s">
        <v>26</v>
      </c>
      <c r="L151" s="4" t="s">
        <v>571</v>
      </c>
      <c r="O151" s="4" t="s">
        <v>567</v>
      </c>
      <c r="P151" s="5">
        <f>DATE(2023,9,19)</f>
        <v>45188</v>
      </c>
      <c r="Q151" s="4" t="s">
        <v>572</v>
      </c>
      <c r="R151" s="5">
        <f>DATE(2022,7,1)</f>
        <v>44743</v>
      </c>
      <c r="S151" s="4" t="s">
        <v>568</v>
      </c>
      <c r="T151" s="5">
        <f>DATE(2022,2,10)</f>
        <v>44602</v>
      </c>
    </row>
    <row r="152" spans="1:26" ht="55.05" customHeight="1" x14ac:dyDescent="0.3">
      <c r="A152" s="4" t="s">
        <v>534</v>
      </c>
      <c r="B152" s="4" t="s">
        <v>18</v>
      </c>
      <c r="C152" s="4" t="s">
        <v>19</v>
      </c>
      <c r="D152" s="4" t="s">
        <v>20</v>
      </c>
      <c r="E152" s="4" t="s">
        <v>30</v>
      </c>
      <c r="F152" s="4" t="s">
        <v>22</v>
      </c>
      <c r="G152" s="4" t="s">
        <v>573</v>
      </c>
      <c r="H152" s="4" t="s">
        <v>37</v>
      </c>
      <c r="I152" s="4" t="s">
        <v>25</v>
      </c>
      <c r="K152" s="4" t="s">
        <v>26</v>
      </c>
      <c r="L152" s="4" t="s">
        <v>574</v>
      </c>
      <c r="O152" s="4" t="s">
        <v>568</v>
      </c>
      <c r="P152" s="5">
        <f>DATE(2022,2,10)</f>
        <v>44602</v>
      </c>
    </row>
    <row r="153" spans="1:26" ht="55.05" customHeight="1" x14ac:dyDescent="0.3">
      <c r="A153" s="4" t="s">
        <v>534</v>
      </c>
      <c r="B153" s="4" t="s">
        <v>18</v>
      </c>
      <c r="C153" s="4" t="s">
        <v>19</v>
      </c>
      <c r="D153" s="4" t="s">
        <v>20</v>
      </c>
      <c r="E153" s="4" t="s">
        <v>30</v>
      </c>
      <c r="F153" s="4" t="s">
        <v>22</v>
      </c>
      <c r="G153" s="4" t="s">
        <v>575</v>
      </c>
      <c r="H153" s="4" t="s">
        <v>24</v>
      </c>
      <c r="I153" s="4" t="s">
        <v>25</v>
      </c>
      <c r="K153" s="4" t="s">
        <v>26</v>
      </c>
      <c r="L153" s="4" t="s">
        <v>576</v>
      </c>
      <c r="O153" s="4" t="s">
        <v>577</v>
      </c>
      <c r="P153" s="5">
        <f>DATE(2023,12,14)</f>
        <v>45274</v>
      </c>
      <c r="Q153" s="4" t="s">
        <v>567</v>
      </c>
      <c r="R153" s="5">
        <f>DATE(2023,9,19)</f>
        <v>45188</v>
      </c>
      <c r="S153" s="4" t="s">
        <v>578</v>
      </c>
      <c r="T153" s="5">
        <f>DATE(2023,2,28)</f>
        <v>44985</v>
      </c>
      <c r="U153" s="4" t="s">
        <v>572</v>
      </c>
      <c r="V153" s="5">
        <f>DATE(2022,7,1)</f>
        <v>44743</v>
      </c>
      <c r="W153" s="4" t="s">
        <v>568</v>
      </c>
      <c r="X153" s="5">
        <f>DATE(2022,2,10)</f>
        <v>44602</v>
      </c>
      <c r="Y153" s="4" t="s">
        <v>579</v>
      </c>
      <c r="Z153" s="5">
        <f>DATE(2020,1,23)</f>
        <v>43853</v>
      </c>
    </row>
    <row r="154" spans="1:26" ht="55.05" customHeight="1" x14ac:dyDescent="0.3">
      <c r="A154" s="4" t="s">
        <v>534</v>
      </c>
      <c r="B154" s="4" t="s">
        <v>18</v>
      </c>
      <c r="C154" s="4" t="s">
        <v>19</v>
      </c>
      <c r="D154" s="4" t="s">
        <v>20</v>
      </c>
      <c r="E154" s="4" t="s">
        <v>30</v>
      </c>
      <c r="F154" s="4" t="s">
        <v>22</v>
      </c>
      <c r="G154" s="4" t="s">
        <v>580</v>
      </c>
      <c r="H154" s="4" t="s">
        <v>24</v>
      </c>
      <c r="I154" s="4" t="s">
        <v>25</v>
      </c>
      <c r="K154" s="4" t="s">
        <v>26</v>
      </c>
      <c r="L154" s="4" t="s">
        <v>581</v>
      </c>
      <c r="O154" s="4" t="s">
        <v>578</v>
      </c>
      <c r="P154" s="5">
        <f>DATE(2023,2,28)</f>
        <v>44985</v>
      </c>
      <c r="Q154" s="4" t="s">
        <v>568</v>
      </c>
      <c r="R154" s="5">
        <f>DATE(2022,2,10)</f>
        <v>44602</v>
      </c>
      <c r="S154" s="4" t="s">
        <v>35</v>
      </c>
      <c r="T154" s="5">
        <f>DATE(2020,7,21)</f>
        <v>44033</v>
      </c>
    </row>
    <row r="155" spans="1:26" ht="55.05" customHeight="1" x14ac:dyDescent="0.3">
      <c r="A155" s="4" t="s">
        <v>534</v>
      </c>
      <c r="B155" s="4" t="s">
        <v>18</v>
      </c>
      <c r="C155" s="4" t="s">
        <v>40</v>
      </c>
      <c r="D155" s="4" t="s">
        <v>20</v>
      </c>
      <c r="E155" s="4" t="s">
        <v>41</v>
      </c>
      <c r="F155" s="4" t="s">
        <v>42</v>
      </c>
      <c r="G155" s="4" t="s">
        <v>582</v>
      </c>
      <c r="H155" s="4" t="s">
        <v>24</v>
      </c>
      <c r="I155" s="4" t="s">
        <v>25</v>
      </c>
      <c r="K155" s="4" t="s">
        <v>26</v>
      </c>
      <c r="L155" s="4" t="s">
        <v>583</v>
      </c>
      <c r="O155" s="4" t="s">
        <v>584</v>
      </c>
      <c r="P155" s="5">
        <f>DATE(2022,4,26)</f>
        <v>44677</v>
      </c>
      <c r="Q155" s="4" t="s">
        <v>585</v>
      </c>
      <c r="R155" s="5">
        <f>DATE(2022,3,30)</f>
        <v>44650</v>
      </c>
      <c r="S155" s="4" t="s">
        <v>586</v>
      </c>
      <c r="T155" s="5">
        <f>DATE(2020,11,18)</f>
        <v>44153</v>
      </c>
    </row>
    <row r="156" spans="1:26" ht="55.05" customHeight="1" x14ac:dyDescent="0.3">
      <c r="A156" s="4" t="s">
        <v>534</v>
      </c>
      <c r="B156" s="4" t="s">
        <v>18</v>
      </c>
      <c r="C156" s="4" t="s">
        <v>40</v>
      </c>
      <c r="D156" s="4" t="s">
        <v>20</v>
      </c>
      <c r="E156" s="4" t="s">
        <v>41</v>
      </c>
      <c r="F156" s="4" t="s">
        <v>42</v>
      </c>
      <c r="G156" s="4" t="s">
        <v>587</v>
      </c>
      <c r="H156" s="4" t="s">
        <v>32</v>
      </c>
      <c r="I156" s="4" t="s">
        <v>25</v>
      </c>
      <c r="J156" s="5">
        <f>DATE(2021,11,23)</f>
        <v>44523</v>
      </c>
      <c r="K156" s="4" t="s">
        <v>26</v>
      </c>
      <c r="L156" s="4" t="s">
        <v>588</v>
      </c>
      <c r="O156" s="4" t="s">
        <v>562</v>
      </c>
      <c r="P156" s="5">
        <f>DATE(2020,11,12)</f>
        <v>44147</v>
      </c>
    </row>
    <row r="157" spans="1:26" ht="55.05" customHeight="1" x14ac:dyDescent="0.3">
      <c r="A157" s="4" t="s">
        <v>534</v>
      </c>
      <c r="B157" s="4" t="s">
        <v>18</v>
      </c>
      <c r="C157" s="4" t="s">
        <v>40</v>
      </c>
      <c r="D157" s="4" t="s">
        <v>20</v>
      </c>
      <c r="E157" s="4" t="s">
        <v>41</v>
      </c>
      <c r="F157" s="4" t="s">
        <v>42</v>
      </c>
      <c r="G157" s="4" t="s">
        <v>589</v>
      </c>
      <c r="H157" s="4" t="s">
        <v>24</v>
      </c>
      <c r="I157" s="4" t="s">
        <v>25</v>
      </c>
      <c r="K157" s="4" t="s">
        <v>26</v>
      </c>
      <c r="L157" s="4" t="s">
        <v>590</v>
      </c>
      <c r="O157" s="4" t="s">
        <v>591</v>
      </c>
      <c r="P157" s="5">
        <f>DATE(2023,8,29)</f>
        <v>45167</v>
      </c>
      <c r="Q157" s="4" t="s">
        <v>592</v>
      </c>
      <c r="R157" s="5">
        <f>DATE(2022,5,5)</f>
        <v>44686</v>
      </c>
      <c r="S157" s="4" t="s">
        <v>593</v>
      </c>
      <c r="T157" s="5">
        <f>DATE(2021,10,26)</f>
        <v>44495</v>
      </c>
    </row>
    <row r="158" spans="1:26" ht="55.05" customHeight="1" x14ac:dyDescent="0.3">
      <c r="A158" s="4" t="s">
        <v>534</v>
      </c>
      <c r="B158" s="4" t="s">
        <v>18</v>
      </c>
      <c r="C158" s="4" t="s">
        <v>40</v>
      </c>
      <c r="D158" s="4" t="s">
        <v>20</v>
      </c>
      <c r="E158" s="4" t="s">
        <v>41</v>
      </c>
      <c r="F158" s="4" t="s">
        <v>42</v>
      </c>
      <c r="G158" s="4" t="s">
        <v>594</v>
      </c>
      <c r="H158" s="4" t="s">
        <v>24</v>
      </c>
      <c r="I158" s="4" t="s">
        <v>25</v>
      </c>
      <c r="K158" s="4" t="s">
        <v>26</v>
      </c>
      <c r="L158" s="4" t="s">
        <v>595</v>
      </c>
      <c r="O158" s="4" t="s">
        <v>585</v>
      </c>
      <c r="P158" s="5">
        <f>DATE(2022,3,30)</f>
        <v>44650</v>
      </c>
      <c r="Q158" s="4" t="s">
        <v>596</v>
      </c>
      <c r="R158" s="5">
        <f>DATE(2020,7,7)</f>
        <v>44019</v>
      </c>
    </row>
    <row r="159" spans="1:26" ht="55.05" customHeight="1" x14ac:dyDescent="0.3">
      <c r="A159" s="4" t="s">
        <v>534</v>
      </c>
      <c r="B159" s="4" t="s">
        <v>18</v>
      </c>
      <c r="C159" s="4" t="s">
        <v>40</v>
      </c>
      <c r="D159" s="4" t="s">
        <v>20</v>
      </c>
      <c r="E159" s="4" t="s">
        <v>41</v>
      </c>
      <c r="F159" s="4" t="s">
        <v>42</v>
      </c>
      <c r="G159" s="4" t="s">
        <v>597</v>
      </c>
      <c r="H159" s="4" t="s">
        <v>24</v>
      </c>
      <c r="I159" s="4" t="s">
        <v>25</v>
      </c>
      <c r="K159" s="4" t="s">
        <v>26</v>
      </c>
      <c r="L159" s="4" t="s">
        <v>598</v>
      </c>
      <c r="O159" s="4" t="s">
        <v>599</v>
      </c>
      <c r="P159" s="5">
        <f>DATE(2023,11,28)</f>
        <v>45258</v>
      </c>
      <c r="Q159" s="4" t="s">
        <v>600</v>
      </c>
      <c r="R159" s="5">
        <f>DATE(2022,12,26)</f>
        <v>44921</v>
      </c>
      <c r="S159" s="4" t="s">
        <v>601</v>
      </c>
      <c r="T159" s="5">
        <f>DATE(2022,1,10)</f>
        <v>44571</v>
      </c>
      <c r="U159" s="4" t="s">
        <v>602</v>
      </c>
      <c r="V159" s="5">
        <f>DATE(2020,12,11)</f>
        <v>44176</v>
      </c>
    </row>
    <row r="160" spans="1:26" ht="55.05" customHeight="1" x14ac:dyDescent="0.3">
      <c r="A160" s="4" t="s">
        <v>534</v>
      </c>
      <c r="B160" s="4" t="s">
        <v>18</v>
      </c>
      <c r="C160" s="4" t="s">
        <v>40</v>
      </c>
      <c r="D160" s="4" t="s">
        <v>20</v>
      </c>
      <c r="E160" s="4" t="s">
        <v>41</v>
      </c>
      <c r="F160" s="4" t="s">
        <v>42</v>
      </c>
      <c r="G160" s="4" t="s">
        <v>603</v>
      </c>
      <c r="H160" s="4" t="s">
        <v>24</v>
      </c>
      <c r="I160" s="4" t="s">
        <v>25</v>
      </c>
      <c r="K160" s="4" t="s">
        <v>26</v>
      </c>
      <c r="L160" s="4" t="s">
        <v>604</v>
      </c>
      <c r="O160" s="4" t="s">
        <v>605</v>
      </c>
      <c r="P160" s="5">
        <f>DATE(2023,10,9)</f>
        <v>45208</v>
      </c>
      <c r="Q160" s="4" t="s">
        <v>606</v>
      </c>
      <c r="R160" s="5">
        <f>DATE(2022,12,23)</f>
        <v>44918</v>
      </c>
      <c r="S160" s="4" t="s">
        <v>607</v>
      </c>
      <c r="T160" s="5">
        <f>DATE(2022,4,7)</f>
        <v>44658</v>
      </c>
      <c r="U160" s="4" t="s">
        <v>608</v>
      </c>
      <c r="V160" s="5">
        <f>DATE(2021,10,12)</f>
        <v>44481</v>
      </c>
    </row>
    <row r="161" spans="1:26" ht="55.05" customHeight="1" x14ac:dyDescent="0.3">
      <c r="A161" s="4" t="s">
        <v>534</v>
      </c>
      <c r="B161" s="4" t="s">
        <v>18</v>
      </c>
      <c r="C161" s="4" t="s">
        <v>40</v>
      </c>
      <c r="D161" s="4" t="s">
        <v>20</v>
      </c>
      <c r="E161" s="4" t="s">
        <v>41</v>
      </c>
      <c r="F161" s="4" t="s">
        <v>42</v>
      </c>
      <c r="G161" s="4" t="s">
        <v>609</v>
      </c>
      <c r="H161" s="4" t="s">
        <v>37</v>
      </c>
      <c r="I161" s="4" t="s">
        <v>25</v>
      </c>
      <c r="K161" s="4" t="s">
        <v>26</v>
      </c>
      <c r="L161" s="4" t="s">
        <v>610</v>
      </c>
      <c r="O161" s="4" t="s">
        <v>611</v>
      </c>
      <c r="P161" s="5">
        <f>DATE(2022,12,28)</f>
        <v>44923</v>
      </c>
      <c r="Q161" s="4" t="s">
        <v>584</v>
      </c>
      <c r="R161" s="5">
        <f>DATE(2022,4,26)</f>
        <v>44677</v>
      </c>
      <c r="S161" s="4" t="s">
        <v>607</v>
      </c>
      <c r="T161" s="5">
        <f>DATE(2022,4,7)</f>
        <v>44658</v>
      </c>
      <c r="U161" s="4" t="s">
        <v>612</v>
      </c>
      <c r="V161" s="5">
        <f>DATE(2022,1,10)</f>
        <v>44571</v>
      </c>
    </row>
    <row r="162" spans="1:26" ht="55.05" customHeight="1" x14ac:dyDescent="0.3">
      <c r="A162" s="4" t="s">
        <v>534</v>
      </c>
      <c r="B162" s="4" t="s">
        <v>18</v>
      </c>
      <c r="C162" s="4" t="s">
        <v>40</v>
      </c>
      <c r="D162" s="4" t="s">
        <v>20</v>
      </c>
      <c r="E162" s="4" t="s">
        <v>41</v>
      </c>
      <c r="F162" s="4" t="s">
        <v>42</v>
      </c>
      <c r="G162" s="4" t="s">
        <v>613</v>
      </c>
      <c r="H162" s="4" t="s">
        <v>37</v>
      </c>
      <c r="I162" s="4" t="s">
        <v>25</v>
      </c>
      <c r="K162" s="4" t="s">
        <v>26</v>
      </c>
      <c r="L162" s="4" t="s">
        <v>614</v>
      </c>
      <c r="O162" s="4" t="s">
        <v>584</v>
      </c>
      <c r="P162" s="5">
        <f>DATE(2022,4,26)</f>
        <v>44677</v>
      </c>
      <c r="Q162" s="4" t="s">
        <v>607</v>
      </c>
      <c r="R162" s="5">
        <f>DATE(2022,4,7)</f>
        <v>44658</v>
      </c>
      <c r="S162" s="4" t="s">
        <v>612</v>
      </c>
      <c r="T162" s="5">
        <f>DATE(2022,1,10)</f>
        <v>44571</v>
      </c>
    </row>
    <row r="163" spans="1:26" ht="55.05" customHeight="1" x14ac:dyDescent="0.3">
      <c r="A163" s="4" t="s">
        <v>534</v>
      </c>
      <c r="B163" s="4" t="s">
        <v>18</v>
      </c>
      <c r="C163" s="4" t="s">
        <v>40</v>
      </c>
      <c r="D163" s="4" t="s">
        <v>20</v>
      </c>
      <c r="E163" s="4" t="s">
        <v>41</v>
      </c>
      <c r="F163" s="4" t="s">
        <v>42</v>
      </c>
      <c r="G163" s="4" t="s">
        <v>615</v>
      </c>
      <c r="H163" s="4" t="s">
        <v>37</v>
      </c>
      <c r="I163" s="4" t="s">
        <v>25</v>
      </c>
      <c r="K163" s="4" t="s">
        <v>26</v>
      </c>
      <c r="L163" s="4" t="s">
        <v>616</v>
      </c>
      <c r="O163" s="4" t="s">
        <v>601</v>
      </c>
      <c r="P163" s="5">
        <f>DATE(2022,1,10)</f>
        <v>44571</v>
      </c>
    </row>
    <row r="164" spans="1:26" ht="55.05" customHeight="1" x14ac:dyDescent="0.3">
      <c r="A164" s="4" t="s">
        <v>534</v>
      </c>
      <c r="B164" s="4" t="s">
        <v>18</v>
      </c>
      <c r="C164" s="4" t="s">
        <v>40</v>
      </c>
      <c r="D164" s="4" t="s">
        <v>20</v>
      </c>
      <c r="E164" s="4" t="s">
        <v>41</v>
      </c>
      <c r="F164" s="4" t="s">
        <v>42</v>
      </c>
      <c r="G164" s="4" t="s">
        <v>617</v>
      </c>
      <c r="H164" s="4" t="s">
        <v>37</v>
      </c>
      <c r="I164" s="4" t="s">
        <v>25</v>
      </c>
      <c r="K164" s="4" t="s">
        <v>26</v>
      </c>
      <c r="L164" s="4" t="s">
        <v>618</v>
      </c>
      <c r="O164" s="4" t="s">
        <v>619</v>
      </c>
      <c r="P164" s="5">
        <f>DATE(2023,9,13)</f>
        <v>45182</v>
      </c>
      <c r="Q164" s="4" t="s">
        <v>601</v>
      </c>
      <c r="R164" s="5">
        <f>DATE(2022,1,10)</f>
        <v>44571</v>
      </c>
    </row>
    <row r="165" spans="1:26" ht="55.05" customHeight="1" x14ac:dyDescent="0.3">
      <c r="A165" s="4" t="s">
        <v>534</v>
      </c>
      <c r="B165" s="4" t="s">
        <v>18</v>
      </c>
      <c r="C165" s="4" t="s">
        <v>40</v>
      </c>
      <c r="D165" s="4" t="s">
        <v>20</v>
      </c>
      <c r="E165" s="4" t="s">
        <v>45</v>
      </c>
      <c r="F165" s="4" t="s">
        <v>42</v>
      </c>
      <c r="G165" s="4" t="s">
        <v>620</v>
      </c>
      <c r="H165" s="4" t="s">
        <v>24</v>
      </c>
      <c r="I165" s="4" t="s">
        <v>25</v>
      </c>
      <c r="K165" s="4" t="s">
        <v>26</v>
      </c>
      <c r="L165" s="4" t="s">
        <v>621</v>
      </c>
      <c r="O165" s="4" t="s">
        <v>622</v>
      </c>
      <c r="P165" s="5">
        <f>DATE(2023,12,15)</f>
        <v>45275</v>
      </c>
      <c r="Q165" s="4" t="s">
        <v>623</v>
      </c>
      <c r="R165" s="5">
        <f>DATE(2023,9,29)</f>
        <v>45198</v>
      </c>
      <c r="S165" s="4" t="s">
        <v>624</v>
      </c>
      <c r="T165" s="5">
        <f>DATE(2022,9,7)</f>
        <v>44811</v>
      </c>
      <c r="U165" s="4" t="s">
        <v>625</v>
      </c>
      <c r="V165" s="5">
        <f>DATE(2022,8,10)</f>
        <v>44783</v>
      </c>
      <c r="W165" s="4" t="s">
        <v>626</v>
      </c>
      <c r="X165" s="5">
        <f>DATE(2022,8,9)</f>
        <v>44782</v>
      </c>
      <c r="Y165" s="4" t="s">
        <v>53</v>
      </c>
      <c r="Z165" s="5">
        <f>DATE(2021,12,21)</f>
        <v>44551</v>
      </c>
    </row>
    <row r="166" spans="1:26" ht="55.05" customHeight="1" x14ac:dyDescent="0.3">
      <c r="A166" s="4" t="s">
        <v>534</v>
      </c>
      <c r="B166" s="4" t="s">
        <v>18</v>
      </c>
      <c r="C166" s="4" t="s">
        <v>40</v>
      </c>
      <c r="D166" s="4" t="s">
        <v>20</v>
      </c>
      <c r="E166" s="4" t="s">
        <v>45</v>
      </c>
      <c r="F166" s="4" t="s">
        <v>42</v>
      </c>
      <c r="G166" s="4" t="s">
        <v>627</v>
      </c>
      <c r="H166" s="4" t="s">
        <v>24</v>
      </c>
      <c r="I166" s="4" t="s">
        <v>25</v>
      </c>
      <c r="K166" s="4" t="s">
        <v>26</v>
      </c>
      <c r="L166" s="4" t="s">
        <v>628</v>
      </c>
      <c r="O166" s="4" t="s">
        <v>629</v>
      </c>
      <c r="P166" s="5">
        <f>DATE(2023,12,20)</f>
        <v>45280</v>
      </c>
      <c r="Q166" s="4" t="s">
        <v>53</v>
      </c>
      <c r="R166" s="5">
        <f>DATE(2021,12,21)</f>
        <v>44551</v>
      </c>
    </row>
    <row r="167" spans="1:26" ht="55.05" customHeight="1" x14ac:dyDescent="0.3">
      <c r="A167" s="4" t="s">
        <v>534</v>
      </c>
      <c r="B167" s="4" t="s">
        <v>18</v>
      </c>
      <c r="C167" s="4" t="s">
        <v>40</v>
      </c>
      <c r="D167" s="4" t="s">
        <v>20</v>
      </c>
      <c r="E167" s="4" t="s">
        <v>45</v>
      </c>
      <c r="F167" s="4" t="s">
        <v>42</v>
      </c>
      <c r="G167" s="4" t="s">
        <v>630</v>
      </c>
      <c r="H167" s="4" t="s">
        <v>24</v>
      </c>
      <c r="I167" s="4" t="s">
        <v>25</v>
      </c>
      <c r="K167" s="4" t="s">
        <v>26</v>
      </c>
      <c r="L167" s="4" t="s">
        <v>631</v>
      </c>
      <c r="O167" s="4" t="s">
        <v>632</v>
      </c>
      <c r="P167" s="5">
        <f>DATE(2023,12,15)</f>
        <v>45275</v>
      </c>
      <c r="Q167" s="4" t="s">
        <v>633</v>
      </c>
      <c r="R167" s="5">
        <f>DATE(2023,4,17)</f>
        <v>45033</v>
      </c>
      <c r="S167" s="4" t="s">
        <v>634</v>
      </c>
      <c r="T167" s="5">
        <f>DATE(2023,1,23)</f>
        <v>44949</v>
      </c>
      <c r="U167" s="4" t="s">
        <v>635</v>
      </c>
      <c r="V167" s="5">
        <f>DATE(2022,5,20)</f>
        <v>44701</v>
      </c>
      <c r="W167" s="4" t="s">
        <v>53</v>
      </c>
      <c r="X167" s="5">
        <f>DATE(2021,12,21)</f>
        <v>44551</v>
      </c>
    </row>
    <row r="168" spans="1:26" ht="55.05" customHeight="1" x14ac:dyDescent="0.3">
      <c r="A168" s="4" t="s">
        <v>534</v>
      </c>
      <c r="B168" s="4" t="s">
        <v>18</v>
      </c>
      <c r="C168" s="4" t="s">
        <v>40</v>
      </c>
      <c r="D168" s="4" t="s">
        <v>20</v>
      </c>
      <c r="E168" s="4" t="s">
        <v>267</v>
      </c>
      <c r="F168" s="4" t="s">
        <v>42</v>
      </c>
      <c r="G168" s="4" t="s">
        <v>636</v>
      </c>
      <c r="H168" s="4" t="s">
        <v>24</v>
      </c>
      <c r="I168" s="4" t="s">
        <v>25</v>
      </c>
      <c r="K168" s="4" t="s">
        <v>26</v>
      </c>
      <c r="L168" s="4" t="s">
        <v>637</v>
      </c>
      <c r="O168" s="4" t="s">
        <v>638</v>
      </c>
      <c r="P168" s="5">
        <f>DATE(2023,6,5)</f>
        <v>45082</v>
      </c>
      <c r="Q168" s="4" t="s">
        <v>639</v>
      </c>
      <c r="R168" s="5">
        <f>DATE(2022,6,28)</f>
        <v>44740</v>
      </c>
      <c r="S168" s="4" t="s">
        <v>53</v>
      </c>
      <c r="T168" s="5">
        <f>DATE(2021,12,21)</f>
        <v>44551</v>
      </c>
    </row>
    <row r="169" spans="1:26" ht="55.05" customHeight="1" x14ac:dyDescent="0.3">
      <c r="A169" s="4" t="s">
        <v>534</v>
      </c>
      <c r="B169" s="4" t="s">
        <v>18</v>
      </c>
      <c r="C169" s="4" t="s">
        <v>40</v>
      </c>
      <c r="D169" s="4" t="s">
        <v>20</v>
      </c>
      <c r="E169" s="4" t="s">
        <v>267</v>
      </c>
      <c r="F169" s="4" t="s">
        <v>42</v>
      </c>
      <c r="G169" s="4" t="s">
        <v>640</v>
      </c>
      <c r="H169" s="4" t="s">
        <v>24</v>
      </c>
      <c r="I169" s="4" t="s">
        <v>25</v>
      </c>
      <c r="K169" s="4" t="s">
        <v>26</v>
      </c>
      <c r="L169" s="4" t="s">
        <v>641</v>
      </c>
      <c r="O169" s="4" t="s">
        <v>642</v>
      </c>
      <c r="P169" s="5">
        <f>DATE(2022,5,13)</f>
        <v>44694</v>
      </c>
      <c r="Q169" s="4" t="s">
        <v>53</v>
      </c>
      <c r="R169" s="5">
        <f>DATE(2021,12,21)</f>
        <v>44551</v>
      </c>
    </row>
    <row r="170" spans="1:26" ht="55.05" customHeight="1" x14ac:dyDescent="0.3">
      <c r="A170" s="4" t="s">
        <v>534</v>
      </c>
      <c r="B170" s="4" t="s">
        <v>18</v>
      </c>
      <c r="C170" s="4" t="s">
        <v>40</v>
      </c>
      <c r="D170" s="4" t="s">
        <v>20</v>
      </c>
      <c r="E170" s="4" t="s">
        <v>45</v>
      </c>
      <c r="F170" s="4" t="s">
        <v>42</v>
      </c>
      <c r="G170" s="4" t="s">
        <v>643</v>
      </c>
      <c r="H170" s="4" t="s">
        <v>24</v>
      </c>
      <c r="I170" s="4" t="s">
        <v>25</v>
      </c>
      <c r="K170" s="4" t="s">
        <v>26</v>
      </c>
      <c r="L170" s="4" t="s">
        <v>644</v>
      </c>
      <c r="O170" s="4" t="s">
        <v>645</v>
      </c>
      <c r="P170" s="5">
        <f>DATE(2023,8,22)</f>
        <v>45160</v>
      </c>
      <c r="Q170" s="4" t="s">
        <v>646</v>
      </c>
      <c r="R170" s="5">
        <f>DATE(2022,12,13)</f>
        <v>44908</v>
      </c>
      <c r="S170" s="4" t="s">
        <v>647</v>
      </c>
      <c r="T170" s="5">
        <f>DATE(2022,1,27)</f>
        <v>44588</v>
      </c>
      <c r="U170" s="4" t="s">
        <v>53</v>
      </c>
      <c r="V170" s="5">
        <f>DATE(2021,12,21)</f>
        <v>44551</v>
      </c>
    </row>
    <row r="171" spans="1:26" ht="55.05" customHeight="1" x14ac:dyDescent="0.3">
      <c r="A171" s="4" t="s">
        <v>534</v>
      </c>
      <c r="B171" s="4" t="s">
        <v>18</v>
      </c>
      <c r="C171" s="4" t="s">
        <v>40</v>
      </c>
      <c r="D171" s="4" t="s">
        <v>20</v>
      </c>
      <c r="E171" s="4" t="s">
        <v>267</v>
      </c>
      <c r="F171" s="4" t="s">
        <v>42</v>
      </c>
      <c r="G171" s="4" t="s">
        <v>648</v>
      </c>
      <c r="H171" s="4" t="s">
        <v>24</v>
      </c>
      <c r="I171" s="4" t="s">
        <v>25</v>
      </c>
      <c r="K171" s="4" t="s">
        <v>26</v>
      </c>
      <c r="L171" s="4" t="s">
        <v>649</v>
      </c>
      <c r="O171" s="4" t="s">
        <v>650</v>
      </c>
      <c r="P171" s="5">
        <f>DATE(2023,7,27)</f>
        <v>45134</v>
      </c>
      <c r="Q171" s="4" t="s">
        <v>53</v>
      </c>
      <c r="R171" s="5">
        <f>DATE(2021,12,21)</f>
        <v>44551</v>
      </c>
    </row>
    <row r="172" spans="1:26" ht="55.05" customHeight="1" x14ac:dyDescent="0.3">
      <c r="A172" s="4" t="s">
        <v>534</v>
      </c>
      <c r="B172" s="4" t="s">
        <v>18</v>
      </c>
      <c r="C172" s="4" t="s">
        <v>40</v>
      </c>
      <c r="D172" s="4" t="s">
        <v>20</v>
      </c>
      <c r="E172" s="4" t="s">
        <v>267</v>
      </c>
      <c r="F172" s="4" t="s">
        <v>42</v>
      </c>
      <c r="G172" s="4" t="s">
        <v>651</v>
      </c>
      <c r="H172" s="4" t="s">
        <v>32</v>
      </c>
      <c r="I172" s="4" t="s">
        <v>536</v>
      </c>
      <c r="J172" s="5">
        <f>DATE(2023,12,15)</f>
        <v>45275</v>
      </c>
      <c r="K172" s="4" t="s">
        <v>26</v>
      </c>
      <c r="L172" s="4" t="s">
        <v>652</v>
      </c>
      <c r="O172" s="4" t="s">
        <v>632</v>
      </c>
      <c r="P172" s="5">
        <f>DATE(2023,12,15)</f>
        <v>45275</v>
      </c>
      <c r="Q172" s="4" t="s">
        <v>632</v>
      </c>
      <c r="R172" s="5">
        <f>DATE(2023,12,15)</f>
        <v>45275</v>
      </c>
      <c r="S172" s="4" t="s">
        <v>53</v>
      </c>
      <c r="T172" s="5">
        <f>DATE(2021,12,21)</f>
        <v>44551</v>
      </c>
    </row>
    <row r="173" spans="1:26" ht="55.05" customHeight="1" x14ac:dyDescent="0.3">
      <c r="A173" s="4" t="s">
        <v>534</v>
      </c>
      <c r="B173" s="4" t="s">
        <v>18</v>
      </c>
      <c r="C173" s="4" t="s">
        <v>40</v>
      </c>
      <c r="D173" s="4" t="s">
        <v>20</v>
      </c>
      <c r="E173" s="4" t="s">
        <v>45</v>
      </c>
      <c r="F173" s="4" t="s">
        <v>42</v>
      </c>
      <c r="G173" s="4" t="s">
        <v>653</v>
      </c>
      <c r="H173" s="4" t="s">
        <v>24</v>
      </c>
      <c r="I173" s="4" t="s">
        <v>25</v>
      </c>
      <c r="K173" s="4" t="s">
        <v>26</v>
      </c>
      <c r="L173" s="4" t="s">
        <v>654</v>
      </c>
      <c r="O173" s="4" t="s">
        <v>655</v>
      </c>
      <c r="P173" s="5">
        <f>DATE(2023,10,10)</f>
        <v>45209</v>
      </c>
      <c r="Q173" s="4" t="s">
        <v>53</v>
      </c>
      <c r="R173" s="5">
        <f>DATE(2021,12,21)</f>
        <v>44551</v>
      </c>
    </row>
    <row r="174" spans="1:26" ht="55.05" customHeight="1" x14ac:dyDescent="0.3">
      <c r="A174" s="4" t="s">
        <v>534</v>
      </c>
      <c r="B174" s="4" t="s">
        <v>18</v>
      </c>
      <c r="C174" s="4" t="s">
        <v>40</v>
      </c>
      <c r="D174" s="4" t="s">
        <v>20</v>
      </c>
      <c r="E174" s="4" t="s">
        <v>267</v>
      </c>
      <c r="F174" s="4" t="s">
        <v>42</v>
      </c>
      <c r="G174" s="4" t="s">
        <v>656</v>
      </c>
      <c r="H174" s="4" t="s">
        <v>24</v>
      </c>
      <c r="I174" s="4" t="s">
        <v>25</v>
      </c>
      <c r="K174" s="4" t="s">
        <v>26</v>
      </c>
      <c r="L174" s="4" t="s">
        <v>657</v>
      </c>
      <c r="O174" s="4" t="s">
        <v>607</v>
      </c>
      <c r="P174" s="5">
        <f>DATE(2022,4,7)</f>
        <v>44658</v>
      </c>
      <c r="Q174" s="4" t="s">
        <v>53</v>
      </c>
      <c r="R174" s="5">
        <f>DATE(2021,12,21)</f>
        <v>44551</v>
      </c>
    </row>
    <row r="175" spans="1:26" ht="55.05" customHeight="1" x14ac:dyDescent="0.3">
      <c r="A175" s="4" t="s">
        <v>534</v>
      </c>
      <c r="B175" s="4" t="s">
        <v>18</v>
      </c>
      <c r="C175" s="4" t="s">
        <v>40</v>
      </c>
      <c r="D175" s="4" t="s">
        <v>20</v>
      </c>
      <c r="E175" s="4" t="s">
        <v>267</v>
      </c>
      <c r="F175" s="4" t="s">
        <v>42</v>
      </c>
      <c r="G175" s="4" t="s">
        <v>658</v>
      </c>
      <c r="H175" s="4" t="s">
        <v>24</v>
      </c>
      <c r="I175" s="4" t="s">
        <v>25</v>
      </c>
      <c r="K175" s="4" t="s">
        <v>26</v>
      </c>
      <c r="L175" s="4" t="s">
        <v>659</v>
      </c>
      <c r="O175" s="4" t="s">
        <v>607</v>
      </c>
      <c r="P175" s="5">
        <f>DATE(2022,4,7)</f>
        <v>44658</v>
      </c>
      <c r="Q175" s="4" t="s">
        <v>660</v>
      </c>
      <c r="R175" s="5">
        <f>DATE(2021,11,2)</f>
        <v>44502</v>
      </c>
    </row>
    <row r="176" spans="1:26" ht="55.05" customHeight="1" x14ac:dyDescent="0.3">
      <c r="A176" s="4" t="s">
        <v>534</v>
      </c>
      <c r="B176" s="4" t="s">
        <v>18</v>
      </c>
      <c r="C176" s="4" t="s">
        <v>40</v>
      </c>
      <c r="D176" s="4" t="s">
        <v>20</v>
      </c>
      <c r="E176" s="4" t="s">
        <v>267</v>
      </c>
      <c r="F176" s="4" t="s">
        <v>42</v>
      </c>
      <c r="G176" s="4" t="s">
        <v>661</v>
      </c>
      <c r="H176" s="4" t="s">
        <v>24</v>
      </c>
      <c r="I176" s="4" t="s">
        <v>25</v>
      </c>
      <c r="K176" s="4" t="s">
        <v>26</v>
      </c>
      <c r="L176" s="4" t="s">
        <v>662</v>
      </c>
      <c r="O176" s="4" t="s">
        <v>663</v>
      </c>
      <c r="P176" s="5">
        <f>DATE(2022,6,28)</f>
        <v>44740</v>
      </c>
      <c r="Q176" s="4" t="s">
        <v>53</v>
      </c>
      <c r="R176" s="5">
        <f>DATE(2021,12,21)</f>
        <v>44551</v>
      </c>
    </row>
    <row r="177" spans="1:26" ht="55.05" customHeight="1" x14ac:dyDescent="0.3">
      <c r="A177" s="4" t="s">
        <v>534</v>
      </c>
      <c r="B177" s="4" t="s">
        <v>18</v>
      </c>
      <c r="C177" s="4" t="s">
        <v>40</v>
      </c>
      <c r="D177" s="4" t="s">
        <v>58</v>
      </c>
      <c r="E177" s="4" t="s">
        <v>315</v>
      </c>
      <c r="F177" s="4" t="s">
        <v>42</v>
      </c>
      <c r="G177" s="4" t="s">
        <v>664</v>
      </c>
      <c r="H177" s="4" t="s">
        <v>24</v>
      </c>
      <c r="I177" s="4" t="s">
        <v>25</v>
      </c>
      <c r="K177" s="4" t="s">
        <v>26</v>
      </c>
      <c r="L177" s="4" t="s">
        <v>665</v>
      </c>
      <c r="O177" s="4" t="s">
        <v>666</v>
      </c>
      <c r="P177" s="5">
        <f>DATE(2022,6,13)</f>
        <v>44725</v>
      </c>
      <c r="Q177" s="4" t="s">
        <v>667</v>
      </c>
      <c r="R177" s="5">
        <f>DATE(2022,3,9)</f>
        <v>44629</v>
      </c>
      <c r="S177" s="4" t="s">
        <v>668</v>
      </c>
      <c r="T177" s="5">
        <f>DATE(2020,7,21)</f>
        <v>44033</v>
      </c>
    </row>
    <row r="178" spans="1:26" ht="55.05" customHeight="1" x14ac:dyDescent="0.3">
      <c r="A178" s="4" t="s">
        <v>534</v>
      </c>
      <c r="B178" s="4" t="s">
        <v>18</v>
      </c>
      <c r="C178" s="4" t="s">
        <v>40</v>
      </c>
      <c r="D178" s="4" t="s">
        <v>58</v>
      </c>
      <c r="E178" s="4" t="s">
        <v>315</v>
      </c>
      <c r="F178" s="4" t="s">
        <v>42</v>
      </c>
      <c r="G178" s="4" t="s">
        <v>669</v>
      </c>
      <c r="H178" s="4" t="s">
        <v>24</v>
      </c>
      <c r="I178" s="4" t="s">
        <v>25</v>
      </c>
      <c r="K178" s="4" t="s">
        <v>26</v>
      </c>
      <c r="L178" s="4" t="s">
        <v>670</v>
      </c>
      <c r="O178" s="4" t="s">
        <v>671</v>
      </c>
      <c r="P178" s="5">
        <f>DATE(2023,8,31)</f>
        <v>45169</v>
      </c>
      <c r="Q178" s="4" t="s">
        <v>672</v>
      </c>
      <c r="R178" s="5">
        <f>DATE(2022,9,29)</f>
        <v>44833</v>
      </c>
      <c r="S178" s="4" t="s">
        <v>673</v>
      </c>
      <c r="T178" s="5">
        <f>DATE(2022,3,9)</f>
        <v>44629</v>
      </c>
      <c r="U178" s="4" t="s">
        <v>125</v>
      </c>
      <c r="V178" s="5">
        <f>DATE(2020,7,21)</f>
        <v>44033</v>
      </c>
    </row>
    <row r="179" spans="1:26" ht="55.05" customHeight="1" x14ac:dyDescent="0.3">
      <c r="A179" s="4" t="s">
        <v>534</v>
      </c>
      <c r="B179" s="4" t="s">
        <v>18</v>
      </c>
      <c r="C179" s="4" t="s">
        <v>40</v>
      </c>
      <c r="D179" s="4" t="s">
        <v>58</v>
      </c>
      <c r="E179" s="4" t="s">
        <v>315</v>
      </c>
      <c r="F179" s="4" t="s">
        <v>42</v>
      </c>
      <c r="G179" s="4" t="s">
        <v>674</v>
      </c>
      <c r="H179" s="4" t="s">
        <v>24</v>
      </c>
      <c r="I179" s="4" t="s">
        <v>25</v>
      </c>
      <c r="K179" s="4" t="s">
        <v>26</v>
      </c>
      <c r="L179" s="4" t="s">
        <v>675</v>
      </c>
      <c r="O179" s="4" t="s">
        <v>676</v>
      </c>
      <c r="P179" s="5">
        <f>DATE(2023,9,1)</f>
        <v>45170</v>
      </c>
      <c r="Q179" s="4" t="s">
        <v>673</v>
      </c>
      <c r="R179" s="5">
        <f>DATE(2022,3,9)</f>
        <v>44629</v>
      </c>
      <c r="S179" s="4" t="s">
        <v>677</v>
      </c>
      <c r="T179" s="5">
        <f>DATE(2021,12,14)</f>
        <v>44544</v>
      </c>
    </row>
    <row r="180" spans="1:26" ht="55.05" customHeight="1" x14ac:dyDescent="0.3">
      <c r="A180" s="4" t="s">
        <v>534</v>
      </c>
      <c r="B180" s="4" t="s">
        <v>18</v>
      </c>
      <c r="C180" s="4" t="s">
        <v>40</v>
      </c>
      <c r="D180" s="4" t="s">
        <v>58</v>
      </c>
      <c r="E180" s="4" t="s">
        <v>59</v>
      </c>
      <c r="F180" s="4" t="s">
        <v>42</v>
      </c>
      <c r="G180" s="4" t="s">
        <v>678</v>
      </c>
      <c r="H180" s="4" t="s">
        <v>24</v>
      </c>
      <c r="I180" s="4" t="s">
        <v>25</v>
      </c>
      <c r="K180" s="4" t="s">
        <v>26</v>
      </c>
      <c r="L180" s="4" t="s">
        <v>679</v>
      </c>
      <c r="O180" s="4" t="s">
        <v>680</v>
      </c>
      <c r="P180" s="5">
        <f>DATE(2023,2,1)</f>
        <v>44958</v>
      </c>
      <c r="Q180" s="4" t="s">
        <v>681</v>
      </c>
      <c r="R180" s="5">
        <f>DATE(2022,6,17)</f>
        <v>44729</v>
      </c>
      <c r="S180" s="4" t="s">
        <v>682</v>
      </c>
      <c r="T180" s="5">
        <f>DATE(2021,10,21)</f>
        <v>44490</v>
      </c>
    </row>
    <row r="181" spans="1:26" ht="55.05" customHeight="1" x14ac:dyDescent="0.3">
      <c r="A181" s="4" t="s">
        <v>534</v>
      </c>
      <c r="B181" s="4" t="s">
        <v>18</v>
      </c>
      <c r="C181" s="4" t="s">
        <v>40</v>
      </c>
      <c r="D181" s="4" t="s">
        <v>58</v>
      </c>
      <c r="E181" s="4" t="s">
        <v>59</v>
      </c>
      <c r="F181" s="4" t="s">
        <v>42</v>
      </c>
      <c r="G181" s="4" t="s">
        <v>683</v>
      </c>
      <c r="H181" s="4" t="s">
        <v>24</v>
      </c>
      <c r="I181" s="4" t="s">
        <v>25</v>
      </c>
      <c r="K181" s="4" t="s">
        <v>26</v>
      </c>
      <c r="L181" s="4" t="s">
        <v>684</v>
      </c>
      <c r="O181" s="4" t="s">
        <v>642</v>
      </c>
      <c r="P181" s="5">
        <f>DATE(2022,5,13)</f>
        <v>44694</v>
      </c>
      <c r="Q181" s="4" t="s">
        <v>685</v>
      </c>
      <c r="R181" s="5">
        <f>DATE(2020,7,21)</f>
        <v>44033</v>
      </c>
    </row>
    <row r="182" spans="1:26" ht="55.05" customHeight="1" x14ac:dyDescent="0.3">
      <c r="A182" s="4" t="s">
        <v>534</v>
      </c>
      <c r="B182" s="4" t="s">
        <v>18</v>
      </c>
      <c r="C182" s="4" t="s">
        <v>40</v>
      </c>
      <c r="D182" s="4" t="s">
        <v>58</v>
      </c>
      <c r="E182" s="4" t="s">
        <v>59</v>
      </c>
      <c r="F182" s="4" t="s">
        <v>42</v>
      </c>
      <c r="G182" s="4" t="s">
        <v>686</v>
      </c>
      <c r="H182" s="4" t="s">
        <v>24</v>
      </c>
      <c r="I182" s="4" t="s">
        <v>25</v>
      </c>
      <c r="K182" s="4" t="s">
        <v>26</v>
      </c>
      <c r="L182" s="4" t="s">
        <v>687</v>
      </c>
      <c r="O182" s="4" t="s">
        <v>671</v>
      </c>
      <c r="P182" s="5">
        <f>DATE(2023,8,31)</f>
        <v>45169</v>
      </c>
      <c r="Q182" s="4" t="s">
        <v>642</v>
      </c>
      <c r="R182" s="5">
        <f>DATE(2022,5,13)</f>
        <v>44694</v>
      </c>
      <c r="S182" s="4" t="s">
        <v>125</v>
      </c>
      <c r="T182" s="5">
        <f>DATE(2020,7,21)</f>
        <v>44033</v>
      </c>
    </row>
    <row r="183" spans="1:26" ht="55.05" customHeight="1" x14ac:dyDescent="0.3">
      <c r="A183" s="4" t="s">
        <v>534</v>
      </c>
      <c r="B183" s="4" t="s">
        <v>18</v>
      </c>
      <c r="C183" s="4" t="s">
        <v>40</v>
      </c>
      <c r="D183" s="4" t="s">
        <v>58</v>
      </c>
      <c r="E183" s="4" t="s">
        <v>343</v>
      </c>
      <c r="F183" s="4" t="s">
        <v>42</v>
      </c>
      <c r="G183" s="4" t="s">
        <v>688</v>
      </c>
      <c r="H183" s="4" t="s">
        <v>24</v>
      </c>
      <c r="I183" s="4" t="s">
        <v>25</v>
      </c>
      <c r="K183" s="4" t="s">
        <v>26</v>
      </c>
      <c r="L183" s="4" t="s">
        <v>689</v>
      </c>
      <c r="O183" s="4" t="s">
        <v>690</v>
      </c>
      <c r="P183" s="5">
        <f>DATE(2022,4,12)</f>
        <v>44663</v>
      </c>
      <c r="Q183" s="4" t="s">
        <v>685</v>
      </c>
      <c r="R183" s="5">
        <f>DATE(2020,7,21)</f>
        <v>44033</v>
      </c>
    </row>
    <row r="184" spans="1:26" ht="55.05" customHeight="1" x14ac:dyDescent="0.3">
      <c r="A184" s="4" t="s">
        <v>534</v>
      </c>
      <c r="B184" s="4" t="s">
        <v>18</v>
      </c>
      <c r="C184" s="4" t="s">
        <v>40</v>
      </c>
      <c r="D184" s="4" t="s">
        <v>58</v>
      </c>
      <c r="E184" s="4" t="s">
        <v>343</v>
      </c>
      <c r="F184" s="4" t="s">
        <v>42</v>
      </c>
      <c r="G184" s="4" t="s">
        <v>691</v>
      </c>
      <c r="H184" s="4" t="s">
        <v>24</v>
      </c>
      <c r="I184" s="4" t="s">
        <v>25</v>
      </c>
      <c r="K184" s="4" t="s">
        <v>26</v>
      </c>
      <c r="L184" s="4" t="s">
        <v>692</v>
      </c>
      <c r="O184" s="4" t="s">
        <v>690</v>
      </c>
      <c r="P184" s="5">
        <f>DATE(2022,4,12)</f>
        <v>44663</v>
      </c>
      <c r="Q184" s="4" t="s">
        <v>682</v>
      </c>
      <c r="R184" s="5">
        <f>DATE(2021,10,21)</f>
        <v>44490</v>
      </c>
    </row>
    <row r="185" spans="1:26" ht="55.05" customHeight="1" x14ac:dyDescent="0.3">
      <c r="A185" s="4" t="s">
        <v>534</v>
      </c>
      <c r="B185" s="4" t="s">
        <v>18</v>
      </c>
      <c r="C185" s="4" t="s">
        <v>40</v>
      </c>
      <c r="D185" s="4" t="s">
        <v>58</v>
      </c>
      <c r="E185" s="4" t="s">
        <v>343</v>
      </c>
      <c r="F185" s="4" t="s">
        <v>42</v>
      </c>
      <c r="G185" s="4" t="s">
        <v>693</v>
      </c>
      <c r="H185" s="4" t="s">
        <v>24</v>
      </c>
      <c r="I185" s="4" t="s">
        <v>25</v>
      </c>
      <c r="K185" s="4" t="s">
        <v>26</v>
      </c>
      <c r="L185" s="4" t="s">
        <v>694</v>
      </c>
      <c r="O185" s="4" t="s">
        <v>695</v>
      </c>
      <c r="P185" s="5">
        <f>DATE(2022,5,30)</f>
        <v>44711</v>
      </c>
      <c r="Q185" s="4" t="s">
        <v>562</v>
      </c>
      <c r="R185" s="5">
        <f>DATE(2020,11,12)</f>
        <v>44147</v>
      </c>
    </row>
    <row r="186" spans="1:26" ht="55.05" customHeight="1" x14ac:dyDescent="0.3">
      <c r="A186" s="4" t="s">
        <v>534</v>
      </c>
      <c r="B186" s="4" t="s">
        <v>18</v>
      </c>
      <c r="C186" s="4" t="s">
        <v>40</v>
      </c>
      <c r="D186" s="4" t="s">
        <v>58</v>
      </c>
      <c r="E186" s="4" t="s">
        <v>343</v>
      </c>
      <c r="F186" s="4" t="s">
        <v>42</v>
      </c>
      <c r="G186" s="4" t="s">
        <v>696</v>
      </c>
      <c r="H186" s="4" t="s">
        <v>24</v>
      </c>
      <c r="I186" s="4" t="s">
        <v>25</v>
      </c>
      <c r="K186" s="4" t="s">
        <v>26</v>
      </c>
      <c r="L186" s="4" t="s">
        <v>697</v>
      </c>
      <c r="O186" s="4" t="s">
        <v>695</v>
      </c>
      <c r="P186" s="5">
        <f>DATE(2022,5,30)</f>
        <v>44711</v>
      </c>
      <c r="Q186" s="4" t="s">
        <v>217</v>
      </c>
      <c r="R186" s="5">
        <f>DATE(2020,7,21)</f>
        <v>44033</v>
      </c>
    </row>
    <row r="187" spans="1:26" ht="55.05" customHeight="1" x14ac:dyDescent="0.3">
      <c r="A187" s="4" t="s">
        <v>534</v>
      </c>
      <c r="B187" s="4" t="s">
        <v>18</v>
      </c>
      <c r="C187" s="4" t="s">
        <v>40</v>
      </c>
      <c r="D187" s="4" t="s">
        <v>58</v>
      </c>
      <c r="E187" s="4" t="s">
        <v>343</v>
      </c>
      <c r="F187" s="4" t="s">
        <v>42</v>
      </c>
      <c r="G187" s="4" t="s">
        <v>698</v>
      </c>
      <c r="H187" s="4" t="s">
        <v>24</v>
      </c>
      <c r="I187" s="4" t="s">
        <v>25</v>
      </c>
      <c r="K187" s="4" t="s">
        <v>26</v>
      </c>
      <c r="L187" s="4" t="s">
        <v>699</v>
      </c>
      <c r="M187" s="4" t="s">
        <v>700</v>
      </c>
      <c r="N187" s="5">
        <f>DATE(2022,5,11)</f>
        <v>44692</v>
      </c>
      <c r="O187" s="4" t="s">
        <v>217</v>
      </c>
      <c r="P187" s="5">
        <f>DATE(2020,7,21)</f>
        <v>44033</v>
      </c>
    </row>
    <row r="188" spans="1:26" ht="55.05" customHeight="1" x14ac:dyDescent="0.3">
      <c r="A188" s="4" t="s">
        <v>534</v>
      </c>
      <c r="B188" s="4" t="s">
        <v>18</v>
      </c>
      <c r="C188" s="4" t="s">
        <v>40</v>
      </c>
      <c r="D188" s="4" t="s">
        <v>58</v>
      </c>
      <c r="E188" s="4" t="s">
        <v>343</v>
      </c>
      <c r="F188" s="4" t="s">
        <v>42</v>
      </c>
      <c r="G188" s="4" t="s">
        <v>701</v>
      </c>
      <c r="H188" s="4" t="s">
        <v>24</v>
      </c>
      <c r="I188" s="4" t="s">
        <v>25</v>
      </c>
      <c r="K188" s="4" t="s">
        <v>26</v>
      </c>
      <c r="L188" s="4" t="s">
        <v>702</v>
      </c>
      <c r="O188" s="4" t="s">
        <v>703</v>
      </c>
      <c r="P188" s="5">
        <f>DATE(2023,10,31)</f>
        <v>45230</v>
      </c>
      <c r="Q188" s="4" t="s">
        <v>704</v>
      </c>
      <c r="R188" s="5">
        <f>DATE(2023,6,1)</f>
        <v>45078</v>
      </c>
      <c r="S188" s="4" t="s">
        <v>705</v>
      </c>
      <c r="T188" s="5">
        <f>DATE(2022,11,2)</f>
        <v>44867</v>
      </c>
      <c r="U188" s="4" t="s">
        <v>706</v>
      </c>
      <c r="V188" s="5">
        <f>DATE(2022,5,4)</f>
        <v>44685</v>
      </c>
      <c r="W188" s="4" t="s">
        <v>707</v>
      </c>
      <c r="X188" s="5">
        <f>DATE(2022,1,27)</f>
        <v>44588</v>
      </c>
      <c r="Y188" s="4" t="s">
        <v>708</v>
      </c>
      <c r="Z188" s="5">
        <f>DATE(2021,10,28)</f>
        <v>44497</v>
      </c>
    </row>
    <row r="189" spans="1:26" ht="55.05" customHeight="1" x14ac:dyDescent="0.3">
      <c r="A189" s="4" t="s">
        <v>534</v>
      </c>
      <c r="B189" s="4" t="s">
        <v>18</v>
      </c>
      <c r="C189" s="4" t="s">
        <v>357</v>
      </c>
      <c r="D189" s="4" t="s">
        <v>20</v>
      </c>
      <c r="E189" s="4" t="s">
        <v>358</v>
      </c>
      <c r="F189" s="4" t="s">
        <v>22</v>
      </c>
      <c r="G189" s="4" t="s">
        <v>709</v>
      </c>
      <c r="H189" s="4" t="s">
        <v>24</v>
      </c>
      <c r="I189" s="4" t="s">
        <v>25</v>
      </c>
      <c r="K189" s="4" t="s">
        <v>26</v>
      </c>
      <c r="L189" s="4" t="s">
        <v>710</v>
      </c>
      <c r="O189" s="4" t="s">
        <v>711</v>
      </c>
      <c r="P189" s="5">
        <f>DATE(2023,4,17)</f>
        <v>45033</v>
      </c>
      <c r="Q189" s="4" t="s">
        <v>712</v>
      </c>
      <c r="R189" s="5">
        <f>DATE(2018,11,13)</f>
        <v>43417</v>
      </c>
    </row>
    <row r="190" spans="1:26" ht="55.05" customHeight="1" x14ac:dyDescent="0.3">
      <c r="A190" s="4" t="s">
        <v>534</v>
      </c>
      <c r="B190" s="4" t="s">
        <v>18</v>
      </c>
      <c r="C190" s="4" t="s">
        <v>357</v>
      </c>
      <c r="D190" s="4" t="s">
        <v>20</v>
      </c>
      <c r="E190" s="4" t="s">
        <v>358</v>
      </c>
      <c r="F190" s="4" t="s">
        <v>22</v>
      </c>
      <c r="G190" s="4" t="s">
        <v>713</v>
      </c>
      <c r="H190" s="4" t="s">
        <v>24</v>
      </c>
      <c r="I190" s="4" t="s">
        <v>25</v>
      </c>
      <c r="K190" s="4" t="s">
        <v>78</v>
      </c>
      <c r="L190" s="4" t="s">
        <v>714</v>
      </c>
      <c r="O190" s="4" t="s">
        <v>715</v>
      </c>
      <c r="P190" s="5">
        <f>DATE(2023,6,28)</f>
        <v>45105</v>
      </c>
      <c r="Q190" s="4" t="s">
        <v>716</v>
      </c>
      <c r="R190" s="5">
        <f>DATE(2020,10,13)</f>
        <v>44117</v>
      </c>
    </row>
    <row r="191" spans="1:26" ht="55.05" customHeight="1" x14ac:dyDescent="0.3">
      <c r="A191" s="4" t="s">
        <v>534</v>
      </c>
      <c r="B191" s="4" t="s">
        <v>18</v>
      </c>
      <c r="C191" s="4" t="s">
        <v>357</v>
      </c>
      <c r="D191" s="4" t="s">
        <v>20</v>
      </c>
      <c r="E191" s="4" t="s">
        <v>358</v>
      </c>
      <c r="F191" s="4" t="s">
        <v>22</v>
      </c>
      <c r="G191" s="4" t="s">
        <v>717</v>
      </c>
      <c r="H191" s="4" t="s">
        <v>24</v>
      </c>
      <c r="I191" s="4" t="s">
        <v>25</v>
      </c>
      <c r="K191" s="4" t="s">
        <v>26</v>
      </c>
      <c r="L191" s="4" t="s">
        <v>718</v>
      </c>
      <c r="O191" s="4" t="s">
        <v>719</v>
      </c>
      <c r="P191" s="5">
        <f>DATE(2023,2,28)</f>
        <v>44985</v>
      </c>
      <c r="Q191" s="4" t="s">
        <v>720</v>
      </c>
      <c r="R191" s="5">
        <f>DATE(2021,11,16)</f>
        <v>44516</v>
      </c>
      <c r="S191" s="4" t="s">
        <v>552</v>
      </c>
      <c r="T191" s="5">
        <f>DATE(2020,7,21)</f>
        <v>44033</v>
      </c>
    </row>
    <row r="192" spans="1:26" ht="55.05" customHeight="1" x14ac:dyDescent="0.3">
      <c r="A192" s="4" t="s">
        <v>534</v>
      </c>
      <c r="B192" s="4" t="s">
        <v>18</v>
      </c>
      <c r="C192" s="4" t="s">
        <v>357</v>
      </c>
      <c r="D192" s="4" t="s">
        <v>20</v>
      </c>
      <c r="E192" s="4" t="s">
        <v>358</v>
      </c>
      <c r="F192" s="4" t="s">
        <v>22</v>
      </c>
      <c r="G192" s="4" t="s">
        <v>721</v>
      </c>
      <c r="H192" s="4" t="s">
        <v>24</v>
      </c>
      <c r="I192" s="4" t="s">
        <v>25</v>
      </c>
      <c r="K192" s="4" t="s">
        <v>78</v>
      </c>
      <c r="L192" s="4" t="s">
        <v>722</v>
      </c>
      <c r="O192" s="4" t="s">
        <v>711</v>
      </c>
      <c r="P192" s="5">
        <f>DATE(2023,4,17)</f>
        <v>45033</v>
      </c>
      <c r="Q192" s="4" t="s">
        <v>723</v>
      </c>
      <c r="R192" s="5">
        <f>DATE(2022,9,23)</f>
        <v>44827</v>
      </c>
      <c r="S192" s="4" t="s">
        <v>724</v>
      </c>
      <c r="T192" s="5">
        <f>DATE(2021,10,11)</f>
        <v>44480</v>
      </c>
    </row>
    <row r="193" spans="1:24" ht="55.05" customHeight="1" x14ac:dyDescent="0.3">
      <c r="A193" s="4" t="s">
        <v>534</v>
      </c>
      <c r="B193" s="4" t="s">
        <v>18</v>
      </c>
      <c r="C193" s="4" t="s">
        <v>357</v>
      </c>
      <c r="D193" s="4" t="s">
        <v>20</v>
      </c>
      <c r="E193" s="4" t="s">
        <v>358</v>
      </c>
      <c r="F193" s="4" t="s">
        <v>22</v>
      </c>
      <c r="G193" s="4" t="s">
        <v>725</v>
      </c>
      <c r="H193" s="4" t="s">
        <v>24</v>
      </c>
      <c r="I193" s="4" t="s">
        <v>25</v>
      </c>
      <c r="K193" s="4" t="s">
        <v>78</v>
      </c>
      <c r="L193" s="4" t="s">
        <v>726</v>
      </c>
      <c r="O193" s="4" t="s">
        <v>727</v>
      </c>
      <c r="P193" s="5">
        <f>DATE(2022,2,25)</f>
        <v>44617</v>
      </c>
      <c r="Q193" s="4" t="s">
        <v>552</v>
      </c>
      <c r="R193" s="5">
        <f>DATE(2020,7,21)</f>
        <v>44033</v>
      </c>
    </row>
    <row r="194" spans="1:24" ht="55.05" customHeight="1" x14ac:dyDescent="0.3">
      <c r="A194" s="4" t="s">
        <v>534</v>
      </c>
      <c r="B194" s="4" t="s">
        <v>18</v>
      </c>
      <c r="C194" s="4" t="s">
        <v>357</v>
      </c>
      <c r="D194" s="4" t="s">
        <v>20</v>
      </c>
      <c r="E194" s="4" t="s">
        <v>358</v>
      </c>
      <c r="F194" s="4" t="s">
        <v>22</v>
      </c>
      <c r="G194" s="4" t="s">
        <v>728</v>
      </c>
      <c r="H194" s="4" t="s">
        <v>24</v>
      </c>
      <c r="I194" s="4" t="s">
        <v>25</v>
      </c>
      <c r="K194" s="4" t="s">
        <v>26</v>
      </c>
      <c r="L194" s="4" t="s">
        <v>729</v>
      </c>
      <c r="O194" s="4" t="s">
        <v>730</v>
      </c>
      <c r="P194" s="5">
        <f>DATE(2023,10,5)</f>
        <v>45204</v>
      </c>
      <c r="Q194" s="4" t="s">
        <v>731</v>
      </c>
      <c r="R194" s="5">
        <f>DATE(2022,5,19)</f>
        <v>44700</v>
      </c>
      <c r="S194" s="4" t="s">
        <v>732</v>
      </c>
      <c r="T194" s="5">
        <f>DATE(2021,12,9)</f>
        <v>44539</v>
      </c>
    </row>
    <row r="195" spans="1:24" ht="55.05" customHeight="1" x14ac:dyDescent="0.3">
      <c r="A195" s="4" t="s">
        <v>534</v>
      </c>
      <c r="B195" s="4" t="s">
        <v>18</v>
      </c>
      <c r="C195" s="4" t="s">
        <v>357</v>
      </c>
      <c r="D195" s="4" t="s">
        <v>20</v>
      </c>
      <c r="E195" s="4" t="s">
        <v>358</v>
      </c>
      <c r="F195" s="4" t="s">
        <v>22</v>
      </c>
      <c r="G195" s="4" t="s">
        <v>733</v>
      </c>
      <c r="H195" s="4" t="s">
        <v>24</v>
      </c>
      <c r="I195" s="4" t="s">
        <v>25</v>
      </c>
      <c r="K195" s="4" t="s">
        <v>78</v>
      </c>
      <c r="L195" s="4" t="s">
        <v>734</v>
      </c>
      <c r="O195" s="4" t="s">
        <v>735</v>
      </c>
      <c r="P195" s="5">
        <f>DATE(2023,9,7)</f>
        <v>45176</v>
      </c>
      <c r="Q195" s="4" t="s">
        <v>736</v>
      </c>
      <c r="R195" s="5">
        <f>DATE(2022,12,12)</f>
        <v>44907</v>
      </c>
      <c r="S195" s="4" t="s">
        <v>731</v>
      </c>
      <c r="T195" s="5">
        <f>DATE(2022,5,19)</f>
        <v>44700</v>
      </c>
      <c r="U195" s="4" t="s">
        <v>737</v>
      </c>
      <c r="V195" s="5">
        <f>DATE(2022,1,27)</f>
        <v>44588</v>
      </c>
      <c r="W195" s="4" t="s">
        <v>738</v>
      </c>
      <c r="X195" s="5">
        <f>DATE(2021,11,9)</f>
        <v>44509</v>
      </c>
    </row>
    <row r="196" spans="1:24" ht="55.05" customHeight="1" x14ac:dyDescent="0.3">
      <c r="A196" s="4" t="s">
        <v>534</v>
      </c>
      <c r="B196" s="4" t="s">
        <v>18</v>
      </c>
      <c r="C196" s="4" t="s">
        <v>357</v>
      </c>
      <c r="D196" s="4" t="s">
        <v>20</v>
      </c>
      <c r="E196" s="4" t="s">
        <v>358</v>
      </c>
      <c r="F196" s="4" t="s">
        <v>22</v>
      </c>
      <c r="G196" s="4" t="s">
        <v>739</v>
      </c>
      <c r="H196" s="4" t="s">
        <v>24</v>
      </c>
      <c r="I196" s="4" t="s">
        <v>25</v>
      </c>
      <c r="K196" s="4" t="s">
        <v>26</v>
      </c>
      <c r="L196" s="4" t="s">
        <v>740</v>
      </c>
      <c r="O196" s="4" t="s">
        <v>741</v>
      </c>
      <c r="P196" s="5">
        <f>DATE(2023,3,24)</f>
        <v>45009</v>
      </c>
      <c r="Q196" s="4" t="s">
        <v>742</v>
      </c>
      <c r="R196" s="5">
        <f>DATE(2023,2,3)</f>
        <v>44960</v>
      </c>
      <c r="S196" s="4" t="s">
        <v>743</v>
      </c>
      <c r="T196" s="5">
        <f>DATE(2022,7,27)</f>
        <v>44769</v>
      </c>
      <c r="U196" s="4" t="s">
        <v>744</v>
      </c>
      <c r="V196" s="5">
        <f>DATE(2022,1,17)</f>
        <v>44578</v>
      </c>
      <c r="W196" s="4" t="s">
        <v>745</v>
      </c>
      <c r="X196" s="5">
        <f>DATE(2021,10,21)</f>
        <v>44490</v>
      </c>
    </row>
    <row r="197" spans="1:24" ht="55.05" customHeight="1" x14ac:dyDescent="0.3">
      <c r="A197" s="4" t="s">
        <v>534</v>
      </c>
      <c r="B197" s="4" t="s">
        <v>18</v>
      </c>
      <c r="C197" s="4" t="s">
        <v>357</v>
      </c>
      <c r="D197" s="4" t="s">
        <v>20</v>
      </c>
      <c r="E197" s="4" t="s">
        <v>358</v>
      </c>
      <c r="F197" s="4" t="s">
        <v>22</v>
      </c>
      <c r="G197" s="4" t="s">
        <v>746</v>
      </c>
      <c r="H197" s="4" t="s">
        <v>24</v>
      </c>
      <c r="I197" s="4" t="s">
        <v>25</v>
      </c>
      <c r="K197" s="4" t="s">
        <v>26</v>
      </c>
      <c r="L197" s="4" t="s">
        <v>747</v>
      </c>
      <c r="O197" s="4" t="s">
        <v>735</v>
      </c>
      <c r="P197" s="5">
        <f>DATE(2023,9,7)</f>
        <v>45176</v>
      </c>
      <c r="Q197" s="4" t="s">
        <v>748</v>
      </c>
      <c r="R197" s="5">
        <f>DATE(2022,2,23)</f>
        <v>44615</v>
      </c>
      <c r="S197" s="4" t="s">
        <v>749</v>
      </c>
      <c r="T197" s="5">
        <f>DATE(2019,1,29)</f>
        <v>43494</v>
      </c>
    </row>
    <row r="198" spans="1:24" ht="55.05" customHeight="1" x14ac:dyDescent="0.3">
      <c r="A198" s="4" t="s">
        <v>534</v>
      </c>
      <c r="B198" s="4" t="s">
        <v>18</v>
      </c>
      <c r="C198" s="4" t="s">
        <v>357</v>
      </c>
      <c r="D198" s="4" t="s">
        <v>20</v>
      </c>
      <c r="E198" s="4" t="s">
        <v>358</v>
      </c>
      <c r="F198" s="4" t="s">
        <v>22</v>
      </c>
      <c r="G198" s="4" t="s">
        <v>750</v>
      </c>
      <c r="H198" s="4" t="s">
        <v>37</v>
      </c>
      <c r="I198" s="4" t="s">
        <v>25</v>
      </c>
      <c r="K198" s="4" t="s">
        <v>26</v>
      </c>
      <c r="L198" s="4" t="s">
        <v>751</v>
      </c>
      <c r="O198" s="4" t="s">
        <v>723</v>
      </c>
      <c r="P198" s="5">
        <f>DATE(2022,9,23)</f>
        <v>44827</v>
      </c>
      <c r="Q198" s="4" t="s">
        <v>752</v>
      </c>
      <c r="R198" s="5">
        <f>DATE(2022,5,20)</f>
        <v>44701</v>
      </c>
      <c r="S198" s="4" t="s">
        <v>753</v>
      </c>
      <c r="T198" s="5">
        <f>DATE(2022,1,26)</f>
        <v>44587</v>
      </c>
    </row>
    <row r="199" spans="1:24" ht="55.05" customHeight="1" x14ac:dyDescent="0.3">
      <c r="A199" s="4" t="s">
        <v>534</v>
      </c>
      <c r="B199" s="4" t="s">
        <v>64</v>
      </c>
      <c r="C199" s="4" t="s">
        <v>65</v>
      </c>
      <c r="D199" s="4" t="s">
        <v>66</v>
      </c>
      <c r="E199" s="4" t="s">
        <v>754</v>
      </c>
      <c r="F199" s="4" t="s">
        <v>22</v>
      </c>
      <c r="G199" s="4" t="s">
        <v>755</v>
      </c>
      <c r="H199" s="4" t="s">
        <v>24</v>
      </c>
      <c r="I199" s="4" t="s">
        <v>25</v>
      </c>
      <c r="K199" s="4" t="s">
        <v>26</v>
      </c>
      <c r="L199" s="4" t="s">
        <v>756</v>
      </c>
      <c r="O199" s="4" t="s">
        <v>757</v>
      </c>
      <c r="P199" s="5">
        <f>DATE(2023,2,3)</f>
        <v>44960</v>
      </c>
      <c r="Q199" s="4" t="s">
        <v>758</v>
      </c>
      <c r="R199" s="5">
        <f>DATE(2021,10,21)</f>
        <v>44490</v>
      </c>
      <c r="S199" s="4" t="s">
        <v>759</v>
      </c>
      <c r="T199" s="5">
        <f>DATE(2019,12,30)</f>
        <v>43829</v>
      </c>
    </row>
    <row r="200" spans="1:24" ht="55.05" customHeight="1" x14ac:dyDescent="0.3">
      <c r="A200" s="4" t="s">
        <v>534</v>
      </c>
      <c r="B200" s="4" t="s">
        <v>64</v>
      </c>
      <c r="C200" s="4" t="s">
        <v>65</v>
      </c>
      <c r="D200" s="4" t="s">
        <v>66</v>
      </c>
      <c r="E200" s="4" t="s">
        <v>754</v>
      </c>
      <c r="F200" s="4" t="s">
        <v>22</v>
      </c>
      <c r="G200" s="4" t="s">
        <v>760</v>
      </c>
      <c r="H200" s="4" t="s">
        <v>24</v>
      </c>
      <c r="I200" s="4" t="s">
        <v>25</v>
      </c>
      <c r="K200" s="4" t="s">
        <v>26</v>
      </c>
      <c r="L200" s="4" t="s">
        <v>761</v>
      </c>
      <c r="O200" s="4" t="s">
        <v>762</v>
      </c>
      <c r="P200" s="5">
        <f>DATE(2023,6,27)</f>
        <v>45104</v>
      </c>
      <c r="Q200" s="4" t="s">
        <v>758</v>
      </c>
      <c r="R200" s="5">
        <f>DATE(2021,10,21)</f>
        <v>44490</v>
      </c>
      <c r="S200" s="4" t="s">
        <v>763</v>
      </c>
      <c r="T200" s="5">
        <f>DATE(2020,3,9)</f>
        <v>43899</v>
      </c>
    </row>
    <row r="201" spans="1:24" ht="55.05" customHeight="1" x14ac:dyDescent="0.3">
      <c r="A201" s="4" t="s">
        <v>534</v>
      </c>
      <c r="B201" s="4" t="s">
        <v>64</v>
      </c>
      <c r="C201" s="4" t="s">
        <v>65</v>
      </c>
      <c r="D201" s="4" t="s">
        <v>66</v>
      </c>
      <c r="E201" s="4" t="s">
        <v>754</v>
      </c>
      <c r="F201" s="4" t="s">
        <v>22</v>
      </c>
      <c r="G201" s="4" t="s">
        <v>764</v>
      </c>
      <c r="H201" s="4" t="s">
        <v>24</v>
      </c>
      <c r="I201" s="4" t="s">
        <v>25</v>
      </c>
      <c r="K201" s="4" t="s">
        <v>26</v>
      </c>
      <c r="L201" s="4" t="s">
        <v>765</v>
      </c>
      <c r="O201" s="4" t="s">
        <v>758</v>
      </c>
      <c r="P201" s="5">
        <f>DATE(2021,10,21)</f>
        <v>44490</v>
      </c>
      <c r="Q201" s="4" t="s">
        <v>685</v>
      </c>
      <c r="R201" s="5">
        <f>DATE(2020,7,21)</f>
        <v>44033</v>
      </c>
    </row>
    <row r="202" spans="1:24" ht="55.05" customHeight="1" x14ac:dyDescent="0.3">
      <c r="A202" s="4" t="s">
        <v>534</v>
      </c>
      <c r="B202" s="4" t="s">
        <v>64</v>
      </c>
      <c r="C202" s="4" t="s">
        <v>65</v>
      </c>
      <c r="D202" s="4" t="s">
        <v>66</v>
      </c>
      <c r="E202" s="4" t="s">
        <v>754</v>
      </c>
      <c r="F202" s="4" t="s">
        <v>22</v>
      </c>
      <c r="G202" s="4" t="s">
        <v>766</v>
      </c>
      <c r="H202" s="4" t="s">
        <v>24</v>
      </c>
      <c r="I202" s="4" t="s">
        <v>25</v>
      </c>
      <c r="K202" s="4" t="s">
        <v>26</v>
      </c>
      <c r="L202" s="4" t="s">
        <v>767</v>
      </c>
      <c r="O202" s="4" t="s">
        <v>768</v>
      </c>
      <c r="P202" s="5">
        <f>DATE(2023,12,22)</f>
        <v>45282</v>
      </c>
      <c r="Q202" s="4" t="s">
        <v>758</v>
      </c>
      <c r="R202" s="5">
        <f>DATE(2021,10,21)</f>
        <v>44490</v>
      </c>
      <c r="S202" s="4" t="s">
        <v>685</v>
      </c>
      <c r="T202" s="5">
        <f>DATE(2020,7,21)</f>
        <v>44033</v>
      </c>
    </row>
    <row r="203" spans="1:24" ht="55.05" customHeight="1" x14ac:dyDescent="0.3">
      <c r="A203" s="4" t="s">
        <v>534</v>
      </c>
      <c r="B203" s="4" t="s">
        <v>64</v>
      </c>
      <c r="C203" s="4" t="s">
        <v>65</v>
      </c>
      <c r="D203" s="4" t="s">
        <v>66</v>
      </c>
      <c r="E203" s="4" t="s">
        <v>754</v>
      </c>
      <c r="F203" s="4" t="s">
        <v>22</v>
      </c>
      <c r="G203" s="4" t="s">
        <v>769</v>
      </c>
      <c r="H203" s="4" t="s">
        <v>24</v>
      </c>
      <c r="I203" s="4" t="s">
        <v>25</v>
      </c>
      <c r="K203" s="4" t="s">
        <v>26</v>
      </c>
      <c r="L203" s="4" t="s">
        <v>770</v>
      </c>
      <c r="O203" s="4" t="s">
        <v>768</v>
      </c>
      <c r="P203" s="5">
        <f>DATE(2023,12,22)</f>
        <v>45282</v>
      </c>
      <c r="Q203" s="4" t="s">
        <v>685</v>
      </c>
      <c r="R203" s="5">
        <f>DATE(2020,7,21)</f>
        <v>44033</v>
      </c>
    </row>
    <row r="204" spans="1:24" ht="55.05" customHeight="1" x14ac:dyDescent="0.3">
      <c r="A204" s="4" t="s">
        <v>534</v>
      </c>
      <c r="B204" s="4" t="s">
        <v>64</v>
      </c>
      <c r="C204" s="4" t="s">
        <v>65</v>
      </c>
      <c r="D204" s="4" t="s">
        <v>66</v>
      </c>
      <c r="E204" s="4" t="s">
        <v>754</v>
      </c>
      <c r="F204" s="4" t="s">
        <v>22</v>
      </c>
      <c r="G204" s="4" t="s">
        <v>771</v>
      </c>
      <c r="H204" s="4" t="s">
        <v>24</v>
      </c>
      <c r="I204" s="4" t="s">
        <v>25</v>
      </c>
      <c r="K204" s="4" t="s">
        <v>26</v>
      </c>
      <c r="L204" s="4" t="s">
        <v>772</v>
      </c>
      <c r="O204" s="4" t="s">
        <v>773</v>
      </c>
      <c r="P204" s="5">
        <f>DATE(2023,9,11)</f>
        <v>45180</v>
      </c>
      <c r="Q204" s="4" t="s">
        <v>774</v>
      </c>
      <c r="R204" s="5">
        <f>DATE(2023,6,9)</f>
        <v>45086</v>
      </c>
      <c r="S204" s="4" t="s">
        <v>775</v>
      </c>
      <c r="T204" s="5">
        <f>DATE(2021,10,28)</f>
        <v>44497</v>
      </c>
    </row>
    <row r="205" spans="1:24" ht="55.05" customHeight="1" x14ac:dyDescent="0.3">
      <c r="A205" s="4" t="s">
        <v>534</v>
      </c>
      <c r="B205" s="4" t="s">
        <v>64</v>
      </c>
      <c r="C205" s="4" t="s">
        <v>65</v>
      </c>
      <c r="D205" s="4" t="s">
        <v>66</v>
      </c>
      <c r="E205" s="4" t="s">
        <v>754</v>
      </c>
      <c r="F205" s="4" t="s">
        <v>22</v>
      </c>
      <c r="G205" s="4" t="s">
        <v>776</v>
      </c>
      <c r="H205" s="4" t="s">
        <v>24</v>
      </c>
      <c r="I205" s="4" t="s">
        <v>25</v>
      </c>
      <c r="K205" s="4" t="s">
        <v>26</v>
      </c>
      <c r="L205" s="4" t="s">
        <v>777</v>
      </c>
      <c r="O205" s="4" t="s">
        <v>768</v>
      </c>
      <c r="P205" s="5">
        <f>DATE(2023,12,22)</f>
        <v>45282</v>
      </c>
      <c r="Q205" s="4" t="s">
        <v>758</v>
      </c>
      <c r="R205" s="5">
        <f>DATE(2021,10,21)</f>
        <v>44490</v>
      </c>
      <c r="S205" s="4" t="s">
        <v>778</v>
      </c>
      <c r="T205" s="5">
        <f>DATE(2021,5,5)</f>
        <v>44321</v>
      </c>
    </row>
    <row r="206" spans="1:24" ht="55.05" customHeight="1" x14ac:dyDescent="0.3">
      <c r="A206" s="4" t="s">
        <v>534</v>
      </c>
      <c r="B206" s="4" t="s">
        <v>64</v>
      </c>
      <c r="C206" s="4" t="s">
        <v>65</v>
      </c>
      <c r="D206" s="4" t="s">
        <v>66</v>
      </c>
      <c r="E206" s="4" t="s">
        <v>67</v>
      </c>
      <c r="F206" s="4" t="s">
        <v>22</v>
      </c>
      <c r="G206" s="4" t="s">
        <v>779</v>
      </c>
      <c r="H206" s="4" t="s">
        <v>24</v>
      </c>
      <c r="I206" s="4" t="s">
        <v>25</v>
      </c>
      <c r="K206" s="4" t="s">
        <v>26</v>
      </c>
      <c r="L206" s="4" t="s">
        <v>780</v>
      </c>
      <c r="O206" s="4" t="s">
        <v>758</v>
      </c>
      <c r="P206" s="5">
        <f>DATE(2021,10,21)</f>
        <v>44490</v>
      </c>
      <c r="Q206" s="4" t="s">
        <v>685</v>
      </c>
      <c r="R206" s="5">
        <f>DATE(2020,7,21)</f>
        <v>44033</v>
      </c>
    </row>
    <row r="207" spans="1:24" ht="55.05" customHeight="1" x14ac:dyDescent="0.3">
      <c r="A207" s="4" t="s">
        <v>534</v>
      </c>
      <c r="B207" s="4" t="s">
        <v>64</v>
      </c>
      <c r="C207" s="4" t="s">
        <v>65</v>
      </c>
      <c r="D207" s="4" t="s">
        <v>66</v>
      </c>
      <c r="E207" s="4" t="s">
        <v>67</v>
      </c>
      <c r="F207" s="4" t="s">
        <v>22</v>
      </c>
      <c r="G207" s="4" t="s">
        <v>781</v>
      </c>
      <c r="H207" s="4" t="s">
        <v>24</v>
      </c>
      <c r="I207" s="4" t="s">
        <v>25</v>
      </c>
      <c r="K207" s="4" t="s">
        <v>26</v>
      </c>
      <c r="L207" s="4" t="s">
        <v>782</v>
      </c>
      <c r="O207" s="4" t="s">
        <v>758</v>
      </c>
      <c r="P207" s="5">
        <f>DATE(2021,10,21)</f>
        <v>44490</v>
      </c>
      <c r="Q207" s="4" t="s">
        <v>685</v>
      </c>
      <c r="R207" s="5">
        <f>DATE(2020,7,21)</f>
        <v>44033</v>
      </c>
    </row>
    <row r="208" spans="1:24" ht="55.05" customHeight="1" x14ac:dyDescent="0.3">
      <c r="A208" s="4" t="s">
        <v>534</v>
      </c>
      <c r="B208" s="4" t="s">
        <v>64</v>
      </c>
      <c r="C208" s="4" t="s">
        <v>65</v>
      </c>
      <c r="D208" s="4" t="s">
        <v>66</v>
      </c>
      <c r="E208" s="4" t="s">
        <v>67</v>
      </c>
      <c r="F208" s="4" t="s">
        <v>22</v>
      </c>
      <c r="G208" s="4" t="s">
        <v>783</v>
      </c>
      <c r="H208" s="4" t="s">
        <v>24</v>
      </c>
      <c r="I208" s="4" t="s">
        <v>25</v>
      </c>
      <c r="K208" s="4" t="s">
        <v>26</v>
      </c>
      <c r="L208" s="4" t="s">
        <v>784</v>
      </c>
      <c r="O208" s="4" t="s">
        <v>785</v>
      </c>
      <c r="P208" s="5">
        <f>DATE(2022,10,28)</f>
        <v>44862</v>
      </c>
      <c r="Q208" s="4" t="s">
        <v>786</v>
      </c>
      <c r="R208" s="5">
        <f>DATE(2022,7,18)</f>
        <v>44760</v>
      </c>
      <c r="S208" s="4" t="s">
        <v>787</v>
      </c>
      <c r="T208" s="5">
        <f>DATE(2022,3,15)</f>
        <v>44635</v>
      </c>
      <c r="U208" s="4" t="s">
        <v>788</v>
      </c>
      <c r="V208" s="5">
        <f>DATE(2021,12,30)</f>
        <v>44560</v>
      </c>
    </row>
    <row r="209" spans="1:28" ht="55.05" customHeight="1" x14ac:dyDescent="0.3">
      <c r="A209" s="4" t="s">
        <v>534</v>
      </c>
      <c r="B209" s="4" t="s">
        <v>81</v>
      </c>
      <c r="C209" s="4" t="s">
        <v>82</v>
      </c>
      <c r="D209" s="4" t="s">
        <v>20</v>
      </c>
      <c r="E209" s="4" t="s">
        <v>83</v>
      </c>
      <c r="F209" s="4" t="s">
        <v>84</v>
      </c>
      <c r="G209" s="4" t="s">
        <v>789</v>
      </c>
      <c r="H209" s="4" t="s">
        <v>24</v>
      </c>
      <c r="I209" s="4" t="s">
        <v>25</v>
      </c>
      <c r="K209" s="4" t="s">
        <v>26</v>
      </c>
      <c r="L209" s="4" t="s">
        <v>790</v>
      </c>
      <c r="O209" s="4" t="s">
        <v>791</v>
      </c>
      <c r="P209" s="5">
        <f>DATE(2023,1,5)</f>
        <v>44931</v>
      </c>
      <c r="Q209" s="4" t="s">
        <v>792</v>
      </c>
      <c r="R209" s="5">
        <f>DATE(2022,12,28)</f>
        <v>44923</v>
      </c>
      <c r="S209" s="4" t="s">
        <v>793</v>
      </c>
      <c r="T209" s="5">
        <f>DATE(2021,12,8)</f>
        <v>44538</v>
      </c>
    </row>
    <row r="210" spans="1:28" ht="55.05" customHeight="1" x14ac:dyDescent="0.3">
      <c r="A210" s="4" t="s">
        <v>534</v>
      </c>
      <c r="B210" s="4" t="s">
        <v>81</v>
      </c>
      <c r="C210" s="4" t="s">
        <v>82</v>
      </c>
      <c r="D210" s="4" t="s">
        <v>20</v>
      </c>
      <c r="E210" s="4" t="s">
        <v>83</v>
      </c>
      <c r="F210" s="4" t="s">
        <v>84</v>
      </c>
      <c r="G210" s="4" t="s">
        <v>794</v>
      </c>
      <c r="H210" s="4" t="s">
        <v>24</v>
      </c>
      <c r="I210" s="4" t="s">
        <v>25</v>
      </c>
      <c r="K210" s="4" t="s">
        <v>26</v>
      </c>
      <c r="L210" s="4" t="s">
        <v>795</v>
      </c>
      <c r="O210" s="4" t="s">
        <v>796</v>
      </c>
      <c r="P210" s="5">
        <f>DATE(2023,11,30)</f>
        <v>45260</v>
      </c>
      <c r="Q210" s="4" t="s">
        <v>797</v>
      </c>
      <c r="R210" s="5">
        <f>DATE(2022,12,28)</f>
        <v>44923</v>
      </c>
      <c r="S210" s="4" t="s">
        <v>793</v>
      </c>
      <c r="T210" s="5">
        <f>DATE(2021,12,8)</f>
        <v>44538</v>
      </c>
    </row>
    <row r="211" spans="1:28" ht="55.05" customHeight="1" x14ac:dyDescent="0.3">
      <c r="A211" s="4" t="s">
        <v>534</v>
      </c>
      <c r="B211" s="4" t="s">
        <v>81</v>
      </c>
      <c r="C211" s="4" t="s">
        <v>82</v>
      </c>
      <c r="D211" s="4" t="s">
        <v>20</v>
      </c>
      <c r="E211" s="4" t="s">
        <v>83</v>
      </c>
      <c r="F211" s="4" t="s">
        <v>84</v>
      </c>
      <c r="G211" s="4" t="s">
        <v>798</v>
      </c>
      <c r="H211" s="4" t="s">
        <v>24</v>
      </c>
      <c r="I211" s="4" t="s">
        <v>25</v>
      </c>
      <c r="K211" s="4" t="s">
        <v>26</v>
      </c>
      <c r="L211" s="4" t="s">
        <v>799</v>
      </c>
      <c r="O211" s="4" t="s">
        <v>800</v>
      </c>
      <c r="P211" s="5">
        <f>DATE(2022,4,7)</f>
        <v>44658</v>
      </c>
      <c r="Q211" s="4" t="s">
        <v>801</v>
      </c>
      <c r="R211" s="5">
        <f>DATE(2020,10,23)</f>
        <v>44127</v>
      </c>
    </row>
    <row r="212" spans="1:28" ht="55.05" customHeight="1" x14ac:dyDescent="0.3">
      <c r="A212" s="4" t="s">
        <v>534</v>
      </c>
      <c r="B212" s="4" t="s">
        <v>81</v>
      </c>
      <c r="C212" s="4" t="s">
        <v>82</v>
      </c>
      <c r="D212" s="4" t="s">
        <v>20</v>
      </c>
      <c r="E212" s="4" t="s">
        <v>83</v>
      </c>
      <c r="F212" s="4" t="s">
        <v>84</v>
      </c>
      <c r="G212" s="4" t="s">
        <v>802</v>
      </c>
      <c r="H212" s="4" t="s">
        <v>24</v>
      </c>
      <c r="I212" s="4" t="s">
        <v>25</v>
      </c>
      <c r="K212" s="4" t="s">
        <v>26</v>
      </c>
      <c r="L212" s="4" t="s">
        <v>803</v>
      </c>
      <c r="O212" s="4" t="s">
        <v>796</v>
      </c>
      <c r="P212" s="5">
        <f>DATE(2023,11,30)</f>
        <v>45260</v>
      </c>
      <c r="Q212" s="4" t="s">
        <v>804</v>
      </c>
      <c r="R212" s="5">
        <f>DATE(2023,5,22)</f>
        <v>45068</v>
      </c>
      <c r="S212" s="4" t="s">
        <v>793</v>
      </c>
      <c r="T212" s="5">
        <f>DATE(2021,12,8)</f>
        <v>44538</v>
      </c>
    </row>
    <row r="213" spans="1:28" ht="55.05" customHeight="1" x14ac:dyDescent="0.3">
      <c r="A213" s="4" t="s">
        <v>534</v>
      </c>
      <c r="B213" s="4" t="s">
        <v>81</v>
      </c>
      <c r="C213" s="4" t="s">
        <v>82</v>
      </c>
      <c r="D213" s="4" t="s">
        <v>20</v>
      </c>
      <c r="E213" s="4" t="s">
        <v>83</v>
      </c>
      <c r="F213" s="4" t="s">
        <v>84</v>
      </c>
      <c r="G213" s="4" t="s">
        <v>805</v>
      </c>
      <c r="H213" s="4" t="s">
        <v>24</v>
      </c>
      <c r="I213" s="4" t="s">
        <v>25</v>
      </c>
      <c r="K213" s="4" t="s">
        <v>26</v>
      </c>
      <c r="L213" s="4" t="s">
        <v>806</v>
      </c>
      <c r="O213" s="4" t="s">
        <v>800</v>
      </c>
      <c r="P213" s="5">
        <f>DATE(2022,4,7)</f>
        <v>44658</v>
      </c>
      <c r="Q213" s="4" t="s">
        <v>801</v>
      </c>
      <c r="R213" s="5">
        <f>DATE(2020,10,23)</f>
        <v>44127</v>
      </c>
    </row>
    <row r="214" spans="1:28" ht="55.05" customHeight="1" x14ac:dyDescent="0.3">
      <c r="A214" s="4" t="s">
        <v>534</v>
      </c>
      <c r="B214" s="4" t="s">
        <v>81</v>
      </c>
      <c r="C214" s="4" t="s">
        <v>82</v>
      </c>
      <c r="D214" s="4" t="s">
        <v>20</v>
      </c>
      <c r="E214" s="4" t="s">
        <v>83</v>
      </c>
      <c r="F214" s="4" t="s">
        <v>84</v>
      </c>
      <c r="G214" s="4" t="s">
        <v>807</v>
      </c>
      <c r="H214" s="4" t="s">
        <v>24</v>
      </c>
      <c r="I214" s="4" t="s">
        <v>25</v>
      </c>
      <c r="K214" s="4" t="s">
        <v>26</v>
      </c>
      <c r="L214" s="4" t="s">
        <v>808</v>
      </c>
      <c r="O214" s="4" t="s">
        <v>804</v>
      </c>
      <c r="P214" s="5">
        <f>DATE(2023,5,22)</f>
        <v>45068</v>
      </c>
      <c r="Q214" s="4" t="s">
        <v>793</v>
      </c>
      <c r="R214" s="5">
        <f>DATE(2021,12,8)</f>
        <v>44538</v>
      </c>
    </row>
    <row r="215" spans="1:28" ht="55.05" customHeight="1" x14ac:dyDescent="0.3">
      <c r="A215" s="4" t="s">
        <v>534</v>
      </c>
      <c r="B215" s="4" t="s">
        <v>81</v>
      </c>
      <c r="C215" s="4" t="s">
        <v>82</v>
      </c>
      <c r="D215" s="4" t="s">
        <v>20</v>
      </c>
      <c r="E215" s="4" t="s">
        <v>83</v>
      </c>
      <c r="F215" s="4" t="s">
        <v>84</v>
      </c>
      <c r="G215" s="4" t="s">
        <v>809</v>
      </c>
      <c r="H215" s="4" t="s">
        <v>24</v>
      </c>
      <c r="I215" s="4" t="s">
        <v>25</v>
      </c>
      <c r="K215" s="4" t="s">
        <v>26</v>
      </c>
      <c r="L215" s="4" t="s">
        <v>810</v>
      </c>
      <c r="O215" s="4" t="s">
        <v>800</v>
      </c>
      <c r="P215" s="5">
        <f>DATE(2022,4,7)</f>
        <v>44658</v>
      </c>
      <c r="Q215" s="4" t="s">
        <v>801</v>
      </c>
      <c r="R215" s="5">
        <f>DATE(2020,10,23)</f>
        <v>44127</v>
      </c>
    </row>
    <row r="216" spans="1:28" ht="55.05" customHeight="1" x14ac:dyDescent="0.3">
      <c r="A216" s="4" t="s">
        <v>534</v>
      </c>
      <c r="B216" s="4" t="s">
        <v>81</v>
      </c>
      <c r="C216" s="4" t="s">
        <v>82</v>
      </c>
      <c r="D216" s="4" t="s">
        <v>20</v>
      </c>
      <c r="E216" s="4" t="s">
        <v>83</v>
      </c>
      <c r="F216" s="4" t="s">
        <v>84</v>
      </c>
      <c r="G216" s="4" t="s">
        <v>811</v>
      </c>
      <c r="H216" s="4" t="s">
        <v>24</v>
      </c>
      <c r="I216" s="4" t="s">
        <v>25</v>
      </c>
      <c r="K216" s="4" t="s">
        <v>26</v>
      </c>
      <c r="L216" s="4" t="s">
        <v>812</v>
      </c>
      <c r="O216" s="4" t="s">
        <v>813</v>
      </c>
      <c r="P216" s="5">
        <f>DATE(2023,2,8)</f>
        <v>44965</v>
      </c>
      <c r="Q216" s="4" t="s">
        <v>797</v>
      </c>
      <c r="R216" s="5">
        <f>DATE(2022,12,28)</f>
        <v>44923</v>
      </c>
      <c r="S216" s="4" t="s">
        <v>801</v>
      </c>
      <c r="T216" s="5">
        <f>DATE(2020,10,23)</f>
        <v>44127</v>
      </c>
    </row>
    <row r="217" spans="1:28" ht="55.05" customHeight="1" x14ac:dyDescent="0.3">
      <c r="A217" s="4" t="s">
        <v>534</v>
      </c>
      <c r="B217" s="4" t="s">
        <v>81</v>
      </c>
      <c r="C217" s="4" t="s">
        <v>82</v>
      </c>
      <c r="D217" s="4" t="s">
        <v>20</v>
      </c>
      <c r="E217" s="4" t="s">
        <v>83</v>
      </c>
      <c r="F217" s="4" t="s">
        <v>84</v>
      </c>
      <c r="G217" s="4" t="s">
        <v>814</v>
      </c>
      <c r="H217" s="4" t="s">
        <v>24</v>
      </c>
      <c r="I217" s="4" t="s">
        <v>25</v>
      </c>
      <c r="K217" s="4" t="s">
        <v>26</v>
      </c>
      <c r="L217" s="4" t="s">
        <v>815</v>
      </c>
      <c r="O217" s="4" t="s">
        <v>816</v>
      </c>
      <c r="P217" s="5">
        <f>DATE(2023,5,2)</f>
        <v>45048</v>
      </c>
      <c r="Q217" s="4" t="s">
        <v>791</v>
      </c>
      <c r="R217" s="5">
        <f>DATE(2023,1,5)</f>
        <v>44931</v>
      </c>
      <c r="S217" s="4" t="s">
        <v>792</v>
      </c>
      <c r="T217" s="5">
        <f>DATE(2022,12,28)</f>
        <v>44923</v>
      </c>
      <c r="U217" s="4" t="s">
        <v>800</v>
      </c>
      <c r="V217" s="5">
        <f>DATE(2022,4,7)</f>
        <v>44658</v>
      </c>
      <c r="W217" s="4" t="s">
        <v>558</v>
      </c>
      <c r="X217" s="5">
        <f>DATE(2021,10,21)</f>
        <v>44490</v>
      </c>
    </row>
    <row r="218" spans="1:28" ht="55.05" customHeight="1" x14ac:dyDescent="0.3">
      <c r="A218" s="4" t="s">
        <v>534</v>
      </c>
      <c r="B218" s="4" t="s">
        <v>81</v>
      </c>
      <c r="C218" s="4" t="s">
        <v>82</v>
      </c>
      <c r="D218" s="4" t="s">
        <v>20</v>
      </c>
      <c r="E218" s="4" t="s">
        <v>83</v>
      </c>
      <c r="F218" s="4" t="s">
        <v>84</v>
      </c>
      <c r="G218" s="4" t="s">
        <v>817</v>
      </c>
      <c r="H218" s="4" t="s">
        <v>24</v>
      </c>
      <c r="I218" s="4" t="s">
        <v>25</v>
      </c>
      <c r="K218" s="4" t="s">
        <v>26</v>
      </c>
      <c r="L218" s="4" t="s">
        <v>818</v>
      </c>
      <c r="O218" s="4" t="s">
        <v>819</v>
      </c>
      <c r="P218" s="5">
        <f>DATE(2022,12,10)</f>
        <v>44905</v>
      </c>
      <c r="Q218" s="4" t="s">
        <v>800</v>
      </c>
      <c r="R218" s="5">
        <f>DATE(2022,4,7)</f>
        <v>44658</v>
      </c>
      <c r="S218" s="4" t="s">
        <v>820</v>
      </c>
      <c r="T218" s="5">
        <f>DATE(2019,10,14)</f>
        <v>43752</v>
      </c>
    </row>
    <row r="219" spans="1:28" ht="55.05" customHeight="1" x14ac:dyDescent="0.3">
      <c r="A219" s="4" t="s">
        <v>534</v>
      </c>
      <c r="B219" s="4" t="s">
        <v>81</v>
      </c>
      <c r="C219" s="4" t="s">
        <v>82</v>
      </c>
      <c r="D219" s="4" t="s">
        <v>20</v>
      </c>
      <c r="E219" s="4" t="s">
        <v>83</v>
      </c>
      <c r="F219" s="4" t="s">
        <v>84</v>
      </c>
      <c r="G219" s="4" t="s">
        <v>821</v>
      </c>
      <c r="H219" s="4" t="s">
        <v>32</v>
      </c>
      <c r="I219" s="4" t="s">
        <v>822</v>
      </c>
      <c r="J219" s="5">
        <f>DATE(2022,12,28)</f>
        <v>44923</v>
      </c>
      <c r="K219" s="4" t="s">
        <v>26</v>
      </c>
      <c r="L219" s="4" t="s">
        <v>823</v>
      </c>
      <c r="O219" s="4" t="s">
        <v>797</v>
      </c>
      <c r="P219" s="5">
        <f>DATE(2022,12,28)</f>
        <v>44923</v>
      </c>
      <c r="Q219" s="4" t="s">
        <v>797</v>
      </c>
      <c r="R219" s="5">
        <f>DATE(2022,12,28)</f>
        <v>44923</v>
      </c>
      <c r="S219" s="4" t="s">
        <v>801</v>
      </c>
      <c r="T219" s="5">
        <f>DATE(2020,10,23)</f>
        <v>44127</v>
      </c>
    </row>
    <row r="220" spans="1:28" ht="55.05" customHeight="1" x14ac:dyDescent="0.3">
      <c r="A220" s="4" t="s">
        <v>534</v>
      </c>
      <c r="B220" s="4" t="s">
        <v>81</v>
      </c>
      <c r="C220" s="4" t="s">
        <v>82</v>
      </c>
      <c r="D220" s="4" t="s">
        <v>20</v>
      </c>
      <c r="E220" s="4" t="s">
        <v>83</v>
      </c>
      <c r="F220" s="4" t="s">
        <v>84</v>
      </c>
      <c r="G220" s="4" t="s">
        <v>824</v>
      </c>
      <c r="H220" s="4" t="s">
        <v>24</v>
      </c>
      <c r="I220" s="4" t="s">
        <v>25</v>
      </c>
      <c r="K220" s="4" t="s">
        <v>26</v>
      </c>
      <c r="L220" s="4" t="s">
        <v>825</v>
      </c>
      <c r="O220" s="4" t="s">
        <v>826</v>
      </c>
      <c r="P220" s="5">
        <f>DATE(2023,6,23)</f>
        <v>45100</v>
      </c>
      <c r="Q220" s="4" t="s">
        <v>816</v>
      </c>
      <c r="R220" s="5">
        <f>DATE(2023,5,2)</f>
        <v>45048</v>
      </c>
      <c r="S220" s="4" t="s">
        <v>827</v>
      </c>
      <c r="T220" s="5">
        <f>DATE(2023,2,23)</f>
        <v>44980</v>
      </c>
      <c r="U220" s="4" t="s">
        <v>791</v>
      </c>
      <c r="V220" s="5">
        <f>DATE(2023,1,5)</f>
        <v>44931</v>
      </c>
      <c r="W220" s="4" t="s">
        <v>792</v>
      </c>
      <c r="X220" s="5">
        <f>DATE(2022,12,28)</f>
        <v>44923</v>
      </c>
      <c r="Y220" s="4" t="s">
        <v>800</v>
      </c>
      <c r="Z220" s="5">
        <f>DATE(2022,4,7)</f>
        <v>44658</v>
      </c>
      <c r="AA220" s="4" t="s">
        <v>828</v>
      </c>
      <c r="AB220" s="5">
        <f>DATE(2022,1,29)</f>
        <v>44590</v>
      </c>
    </row>
    <row r="221" spans="1:28" ht="55.05" customHeight="1" x14ac:dyDescent="0.3">
      <c r="A221" s="4" t="s">
        <v>534</v>
      </c>
      <c r="B221" s="4" t="s">
        <v>81</v>
      </c>
      <c r="C221" s="4" t="s">
        <v>82</v>
      </c>
      <c r="D221" s="4" t="s">
        <v>20</v>
      </c>
      <c r="E221" s="4" t="s">
        <v>83</v>
      </c>
      <c r="F221" s="4" t="s">
        <v>84</v>
      </c>
      <c r="G221" s="4" t="s">
        <v>829</v>
      </c>
      <c r="H221" s="4" t="s">
        <v>24</v>
      </c>
      <c r="I221" s="4" t="s">
        <v>25</v>
      </c>
      <c r="K221" s="4" t="s">
        <v>26</v>
      </c>
      <c r="L221" s="4" t="s">
        <v>830</v>
      </c>
      <c r="O221" s="4" t="s">
        <v>813</v>
      </c>
      <c r="P221" s="5">
        <f>DATE(2023,2,8)</f>
        <v>44965</v>
      </c>
      <c r="Q221" s="4" t="s">
        <v>797</v>
      </c>
      <c r="R221" s="5">
        <f>DATE(2022,12,28)</f>
        <v>44923</v>
      </c>
      <c r="S221" s="4" t="s">
        <v>801</v>
      </c>
      <c r="T221" s="5">
        <f>DATE(2020,10,23)</f>
        <v>44127</v>
      </c>
    </row>
    <row r="222" spans="1:28" ht="55.05" customHeight="1" x14ac:dyDescent="0.3">
      <c r="A222" s="4" t="s">
        <v>534</v>
      </c>
      <c r="B222" s="4" t="s">
        <v>81</v>
      </c>
      <c r="C222" s="4" t="s">
        <v>82</v>
      </c>
      <c r="D222" s="4" t="s">
        <v>20</v>
      </c>
      <c r="E222" s="4" t="s">
        <v>83</v>
      </c>
      <c r="F222" s="4" t="s">
        <v>84</v>
      </c>
      <c r="G222" s="4" t="s">
        <v>831</v>
      </c>
      <c r="H222" s="4" t="s">
        <v>24</v>
      </c>
      <c r="I222" s="4" t="s">
        <v>25</v>
      </c>
      <c r="K222" s="4" t="s">
        <v>26</v>
      </c>
      <c r="L222" s="4" t="s">
        <v>832</v>
      </c>
      <c r="M222" s="4" t="s">
        <v>87</v>
      </c>
      <c r="N222" s="5">
        <f>DATE(2022,7,25)</f>
        <v>44767</v>
      </c>
      <c r="O222" s="4" t="s">
        <v>820</v>
      </c>
      <c r="P222" s="5">
        <f>DATE(2019,10,14)</f>
        <v>43752</v>
      </c>
    </row>
    <row r="223" spans="1:28" ht="55.05" customHeight="1" x14ac:dyDescent="0.3">
      <c r="A223" s="4" t="s">
        <v>534</v>
      </c>
      <c r="B223" s="4" t="s">
        <v>81</v>
      </c>
      <c r="C223" s="4" t="s">
        <v>82</v>
      </c>
      <c r="D223" s="4" t="s">
        <v>20</v>
      </c>
      <c r="E223" s="4" t="s">
        <v>373</v>
      </c>
      <c r="F223" s="4" t="s">
        <v>84</v>
      </c>
      <c r="G223" s="4" t="s">
        <v>833</v>
      </c>
      <c r="H223" s="4" t="s">
        <v>24</v>
      </c>
      <c r="I223" s="4" t="s">
        <v>25</v>
      </c>
      <c r="K223" s="4" t="s">
        <v>26</v>
      </c>
      <c r="L223" s="4" t="s">
        <v>834</v>
      </c>
      <c r="O223" s="4" t="s">
        <v>835</v>
      </c>
      <c r="P223" s="5">
        <f>DATE(2023,12,5)</f>
        <v>45265</v>
      </c>
      <c r="Q223" s="4" t="s">
        <v>836</v>
      </c>
      <c r="R223" s="5">
        <f>DATE(2022,6,28)</f>
        <v>44740</v>
      </c>
      <c r="S223" s="4" t="s">
        <v>558</v>
      </c>
      <c r="T223" s="5">
        <f>DATE(2021,10,21)</f>
        <v>44490</v>
      </c>
    </row>
    <row r="224" spans="1:28" ht="55.05" customHeight="1" x14ac:dyDescent="0.3">
      <c r="A224" s="4" t="s">
        <v>534</v>
      </c>
      <c r="B224" s="4" t="s">
        <v>81</v>
      </c>
      <c r="C224" s="4" t="s">
        <v>82</v>
      </c>
      <c r="D224" s="4" t="s">
        <v>20</v>
      </c>
      <c r="E224" s="4" t="s">
        <v>373</v>
      </c>
      <c r="F224" s="4" t="s">
        <v>84</v>
      </c>
      <c r="G224" s="4" t="s">
        <v>376</v>
      </c>
      <c r="H224" s="4" t="s">
        <v>24</v>
      </c>
      <c r="I224" s="4" t="s">
        <v>25</v>
      </c>
      <c r="K224" s="4" t="s">
        <v>26</v>
      </c>
      <c r="L224" s="4" t="s">
        <v>837</v>
      </c>
      <c r="O224" s="4" t="s">
        <v>826</v>
      </c>
      <c r="P224" s="5">
        <f>DATE(2023,6,23)</f>
        <v>45100</v>
      </c>
      <c r="Q224" s="4" t="s">
        <v>838</v>
      </c>
      <c r="R224" s="5">
        <f>DATE(2021,12,14)</f>
        <v>44544</v>
      </c>
    </row>
    <row r="225" spans="1:22" ht="55.05" customHeight="1" x14ac:dyDescent="0.3">
      <c r="A225" s="4" t="s">
        <v>534</v>
      </c>
      <c r="B225" s="4" t="s">
        <v>81</v>
      </c>
      <c r="C225" s="4" t="s">
        <v>82</v>
      </c>
      <c r="D225" s="4" t="s">
        <v>20</v>
      </c>
      <c r="E225" s="4" t="s">
        <v>373</v>
      </c>
      <c r="F225" s="4" t="s">
        <v>84</v>
      </c>
      <c r="G225" s="4" t="s">
        <v>839</v>
      </c>
      <c r="H225" s="4" t="s">
        <v>24</v>
      </c>
      <c r="I225" s="4" t="s">
        <v>25</v>
      </c>
      <c r="K225" s="4" t="s">
        <v>26</v>
      </c>
      <c r="L225" s="4" t="s">
        <v>840</v>
      </c>
      <c r="O225" s="4" t="s">
        <v>841</v>
      </c>
      <c r="P225" s="5">
        <f>DATE(2023,1,26)</f>
        <v>44952</v>
      </c>
      <c r="Q225" s="4" t="s">
        <v>842</v>
      </c>
      <c r="R225" s="5">
        <f>DATE(2022,12,29)</f>
        <v>44924</v>
      </c>
      <c r="S225" s="4" t="s">
        <v>838</v>
      </c>
      <c r="T225" s="5">
        <f>DATE(2021,12,14)</f>
        <v>44544</v>
      </c>
    </row>
    <row r="226" spans="1:22" ht="55.05" customHeight="1" x14ac:dyDescent="0.3">
      <c r="A226" s="4" t="s">
        <v>534</v>
      </c>
      <c r="B226" s="4" t="s">
        <v>81</v>
      </c>
      <c r="C226" s="4" t="s">
        <v>82</v>
      </c>
      <c r="D226" s="4" t="s">
        <v>20</v>
      </c>
      <c r="E226" s="4" t="s">
        <v>373</v>
      </c>
      <c r="F226" s="4" t="s">
        <v>84</v>
      </c>
      <c r="G226" s="4" t="s">
        <v>843</v>
      </c>
      <c r="H226" s="4" t="s">
        <v>24</v>
      </c>
      <c r="I226" s="4" t="s">
        <v>25</v>
      </c>
      <c r="K226" s="4" t="s">
        <v>26</v>
      </c>
      <c r="L226" s="4" t="s">
        <v>844</v>
      </c>
      <c r="O226" s="4" t="s">
        <v>845</v>
      </c>
      <c r="P226" s="5">
        <f>DATE(2021,12,30)</f>
        <v>44560</v>
      </c>
    </row>
    <row r="227" spans="1:22" ht="55.05" customHeight="1" x14ac:dyDescent="0.3">
      <c r="A227" s="4" t="s">
        <v>534</v>
      </c>
      <c r="B227" s="4" t="s">
        <v>81</v>
      </c>
      <c r="C227" s="4" t="s">
        <v>82</v>
      </c>
      <c r="D227" s="4" t="s">
        <v>20</v>
      </c>
      <c r="E227" s="4" t="s">
        <v>373</v>
      </c>
      <c r="F227" s="4" t="s">
        <v>84</v>
      </c>
      <c r="G227" s="4" t="s">
        <v>846</v>
      </c>
      <c r="H227" s="4" t="s">
        <v>24</v>
      </c>
      <c r="I227" s="4" t="s">
        <v>25</v>
      </c>
      <c r="K227" s="4" t="s">
        <v>26</v>
      </c>
      <c r="L227" s="4" t="s">
        <v>847</v>
      </c>
      <c r="O227" s="4" t="s">
        <v>848</v>
      </c>
      <c r="P227" s="5">
        <f>DATE(2023,2,24)</f>
        <v>44981</v>
      </c>
      <c r="Q227" s="4" t="s">
        <v>800</v>
      </c>
      <c r="R227" s="5">
        <f>DATE(2022,4,7)</f>
        <v>44658</v>
      </c>
      <c r="S227" s="4" t="s">
        <v>845</v>
      </c>
      <c r="T227" s="5">
        <f>DATE(2021,12,30)</f>
        <v>44560</v>
      </c>
    </row>
    <row r="228" spans="1:22" ht="55.05" customHeight="1" x14ac:dyDescent="0.3">
      <c r="A228" s="4" t="s">
        <v>534</v>
      </c>
      <c r="B228" s="4" t="s">
        <v>81</v>
      </c>
      <c r="C228" s="4" t="s">
        <v>82</v>
      </c>
      <c r="D228" s="4" t="s">
        <v>20</v>
      </c>
      <c r="E228" s="4" t="s">
        <v>373</v>
      </c>
      <c r="F228" s="4" t="s">
        <v>84</v>
      </c>
      <c r="G228" s="4" t="s">
        <v>849</v>
      </c>
      <c r="H228" s="4" t="s">
        <v>24</v>
      </c>
      <c r="I228" s="4" t="s">
        <v>25</v>
      </c>
      <c r="K228" s="4" t="s">
        <v>26</v>
      </c>
      <c r="L228" s="4" t="s">
        <v>850</v>
      </c>
      <c r="O228" s="4" t="s">
        <v>841</v>
      </c>
      <c r="P228" s="5">
        <f>DATE(2023,1,26)</f>
        <v>44952</v>
      </c>
      <c r="Q228" s="4" t="s">
        <v>851</v>
      </c>
      <c r="R228" s="5">
        <f>DATE(2022,12,29)</f>
        <v>44924</v>
      </c>
      <c r="S228" s="4" t="s">
        <v>558</v>
      </c>
      <c r="T228" s="5">
        <f>DATE(2021,10,21)</f>
        <v>44490</v>
      </c>
    </row>
    <row r="229" spans="1:22" ht="55.05" customHeight="1" x14ac:dyDescent="0.3">
      <c r="A229" s="4" t="s">
        <v>534</v>
      </c>
      <c r="B229" s="4" t="s">
        <v>81</v>
      </c>
      <c r="C229" s="4" t="s">
        <v>82</v>
      </c>
      <c r="D229" s="4" t="s">
        <v>20</v>
      </c>
      <c r="E229" s="4" t="s">
        <v>373</v>
      </c>
      <c r="F229" s="4" t="s">
        <v>84</v>
      </c>
      <c r="G229" s="4" t="s">
        <v>374</v>
      </c>
      <c r="H229" s="4" t="s">
        <v>24</v>
      </c>
      <c r="I229" s="4" t="s">
        <v>25</v>
      </c>
      <c r="K229" s="4" t="s">
        <v>26</v>
      </c>
      <c r="L229" s="4" t="s">
        <v>852</v>
      </c>
      <c r="O229" s="4" t="s">
        <v>853</v>
      </c>
      <c r="P229" s="5">
        <f>DATE(2022,12,29)</f>
        <v>44924</v>
      </c>
      <c r="Q229" s="4" t="s">
        <v>854</v>
      </c>
      <c r="R229" s="5">
        <f>DATE(2022,11,30)</f>
        <v>44895</v>
      </c>
      <c r="S229" s="4" t="s">
        <v>845</v>
      </c>
      <c r="T229" s="5">
        <f>DATE(2021,12,30)</f>
        <v>44560</v>
      </c>
    </row>
    <row r="230" spans="1:22" ht="55.05" customHeight="1" x14ac:dyDescent="0.3">
      <c r="A230" s="4" t="s">
        <v>534</v>
      </c>
      <c r="B230" s="4" t="s">
        <v>81</v>
      </c>
      <c r="C230" s="4" t="s">
        <v>82</v>
      </c>
      <c r="D230" s="4" t="s">
        <v>20</v>
      </c>
      <c r="E230" s="4" t="s">
        <v>373</v>
      </c>
      <c r="F230" s="4" t="s">
        <v>84</v>
      </c>
      <c r="G230" s="4" t="s">
        <v>855</v>
      </c>
      <c r="H230" s="4" t="s">
        <v>24</v>
      </c>
      <c r="I230" s="4" t="s">
        <v>25</v>
      </c>
      <c r="K230" s="4" t="s">
        <v>26</v>
      </c>
      <c r="L230" s="4" t="s">
        <v>856</v>
      </c>
      <c r="O230" s="4" t="s">
        <v>851</v>
      </c>
      <c r="P230" s="5">
        <f>DATE(2022,12,29)</f>
        <v>44924</v>
      </c>
      <c r="Q230" s="4" t="s">
        <v>800</v>
      </c>
      <c r="R230" s="5">
        <f>DATE(2022,4,7)</f>
        <v>44658</v>
      </c>
      <c r="S230" s="4" t="s">
        <v>857</v>
      </c>
      <c r="T230" s="5">
        <f>DATE(2020,12,15)</f>
        <v>44180</v>
      </c>
    </row>
    <row r="231" spans="1:22" ht="55.05" customHeight="1" x14ac:dyDescent="0.3">
      <c r="A231" s="4" t="s">
        <v>534</v>
      </c>
      <c r="B231" s="4" t="s">
        <v>81</v>
      </c>
      <c r="C231" s="4" t="s">
        <v>82</v>
      </c>
      <c r="D231" s="4" t="s">
        <v>20</v>
      </c>
      <c r="E231" s="4" t="s">
        <v>373</v>
      </c>
      <c r="F231" s="4" t="s">
        <v>84</v>
      </c>
      <c r="G231" s="4" t="s">
        <v>858</v>
      </c>
      <c r="H231" s="4" t="s">
        <v>24</v>
      </c>
      <c r="I231" s="4" t="s">
        <v>25</v>
      </c>
      <c r="K231" s="4" t="s">
        <v>26</v>
      </c>
      <c r="L231" s="4" t="s">
        <v>859</v>
      </c>
      <c r="O231" s="4" t="s">
        <v>860</v>
      </c>
      <c r="P231" s="5">
        <f>DATE(2023,12,5)</f>
        <v>45265</v>
      </c>
      <c r="Q231" s="4" t="s">
        <v>861</v>
      </c>
      <c r="R231" s="5">
        <f>DATE(2020,3,30)</f>
        <v>43920</v>
      </c>
    </row>
    <row r="232" spans="1:22" ht="55.05" customHeight="1" x14ac:dyDescent="0.3">
      <c r="A232" s="4" t="s">
        <v>534</v>
      </c>
      <c r="B232" s="4" t="s">
        <v>81</v>
      </c>
      <c r="C232" s="4" t="s">
        <v>82</v>
      </c>
      <c r="D232" s="4" t="s">
        <v>20</v>
      </c>
      <c r="E232" s="4" t="s">
        <v>862</v>
      </c>
      <c r="F232" s="4" t="s">
        <v>96</v>
      </c>
      <c r="G232" s="4" t="s">
        <v>863</v>
      </c>
      <c r="H232" s="4" t="s">
        <v>24</v>
      </c>
      <c r="I232" s="4" t="s">
        <v>25</v>
      </c>
      <c r="K232" s="4" t="s">
        <v>26</v>
      </c>
      <c r="L232" s="4" t="s">
        <v>864</v>
      </c>
      <c r="O232" s="4" t="s">
        <v>865</v>
      </c>
      <c r="P232" s="5">
        <f>DATE(2023,10,9)</f>
        <v>45208</v>
      </c>
      <c r="Q232" s="4" t="s">
        <v>866</v>
      </c>
      <c r="R232" s="5">
        <f>DATE(2009,5,6)</f>
        <v>39939</v>
      </c>
    </row>
    <row r="233" spans="1:22" ht="55.05" customHeight="1" x14ac:dyDescent="0.3">
      <c r="A233" s="4" t="s">
        <v>534</v>
      </c>
      <c r="B233" s="4" t="s">
        <v>81</v>
      </c>
      <c r="C233" s="4" t="s">
        <v>82</v>
      </c>
      <c r="D233" s="4" t="s">
        <v>20</v>
      </c>
      <c r="E233" s="4" t="s">
        <v>89</v>
      </c>
      <c r="F233" s="4" t="s">
        <v>84</v>
      </c>
      <c r="G233" s="4" t="s">
        <v>867</v>
      </c>
      <c r="H233" s="4" t="s">
        <v>24</v>
      </c>
      <c r="I233" s="4" t="s">
        <v>25</v>
      </c>
      <c r="K233" s="4" t="s">
        <v>26</v>
      </c>
      <c r="L233" s="4" t="s">
        <v>868</v>
      </c>
      <c r="O233" s="4" t="s">
        <v>558</v>
      </c>
      <c r="P233" s="5">
        <f>DATE(2021,10,21)</f>
        <v>44490</v>
      </c>
    </row>
    <row r="234" spans="1:22" ht="55.05" customHeight="1" x14ac:dyDescent="0.3">
      <c r="A234" s="4" t="s">
        <v>534</v>
      </c>
      <c r="B234" s="4" t="s">
        <v>81</v>
      </c>
      <c r="C234" s="4" t="s">
        <v>82</v>
      </c>
      <c r="D234" s="4" t="s">
        <v>20</v>
      </c>
      <c r="E234" s="4" t="s">
        <v>89</v>
      </c>
      <c r="F234" s="4" t="s">
        <v>84</v>
      </c>
      <c r="G234" s="4" t="s">
        <v>869</v>
      </c>
      <c r="H234" s="4" t="s">
        <v>24</v>
      </c>
      <c r="I234" s="4" t="s">
        <v>25</v>
      </c>
      <c r="K234" s="4" t="s">
        <v>26</v>
      </c>
      <c r="L234" s="4" t="s">
        <v>870</v>
      </c>
      <c r="O234" s="4" t="s">
        <v>871</v>
      </c>
      <c r="P234" s="5">
        <f>DATE(2023,6,8)</f>
        <v>45085</v>
      </c>
      <c r="Q234" s="4" t="s">
        <v>872</v>
      </c>
      <c r="R234" s="5">
        <f>DATE(2022,1,24)</f>
        <v>44585</v>
      </c>
      <c r="S234" s="4" t="s">
        <v>558</v>
      </c>
      <c r="T234" s="5">
        <f>DATE(2021,10,21)</f>
        <v>44490</v>
      </c>
    </row>
    <row r="235" spans="1:22" ht="55.05" customHeight="1" x14ac:dyDescent="0.3">
      <c r="A235" s="4" t="s">
        <v>534</v>
      </c>
      <c r="B235" s="4" t="s">
        <v>81</v>
      </c>
      <c r="C235" s="4" t="s">
        <v>82</v>
      </c>
      <c r="D235" s="4" t="s">
        <v>20</v>
      </c>
      <c r="E235" s="4" t="s">
        <v>89</v>
      </c>
      <c r="F235" s="4" t="s">
        <v>84</v>
      </c>
      <c r="G235" s="4" t="s">
        <v>873</v>
      </c>
      <c r="H235" s="4" t="s">
        <v>24</v>
      </c>
      <c r="I235" s="4" t="s">
        <v>25</v>
      </c>
      <c r="K235" s="4" t="s">
        <v>26</v>
      </c>
      <c r="L235" s="4" t="s">
        <v>874</v>
      </c>
      <c r="O235" s="4" t="s">
        <v>558</v>
      </c>
      <c r="P235" s="5">
        <f>DATE(2021,10,21)</f>
        <v>44490</v>
      </c>
    </row>
    <row r="236" spans="1:22" ht="55.05" customHeight="1" x14ac:dyDescent="0.3">
      <c r="A236" s="4" t="s">
        <v>534</v>
      </c>
      <c r="B236" s="4" t="s">
        <v>81</v>
      </c>
      <c r="C236" s="4" t="s">
        <v>82</v>
      </c>
      <c r="D236" s="4" t="s">
        <v>20</v>
      </c>
      <c r="E236" s="4" t="s">
        <v>89</v>
      </c>
      <c r="F236" s="4" t="s">
        <v>84</v>
      </c>
      <c r="G236" s="4" t="s">
        <v>90</v>
      </c>
      <c r="H236" s="4" t="s">
        <v>24</v>
      </c>
      <c r="I236" s="4" t="s">
        <v>25</v>
      </c>
      <c r="K236" s="4" t="s">
        <v>26</v>
      </c>
      <c r="L236" s="4" t="s">
        <v>875</v>
      </c>
      <c r="M236" s="4" t="s">
        <v>92</v>
      </c>
      <c r="N236" s="5">
        <f>DATE(2022,8,16)</f>
        <v>44789</v>
      </c>
      <c r="O236" s="4" t="s">
        <v>876</v>
      </c>
      <c r="P236" s="5">
        <f>DATE(2020,6,30)</f>
        <v>44012</v>
      </c>
    </row>
    <row r="237" spans="1:22" ht="55.05" customHeight="1" x14ac:dyDescent="0.3">
      <c r="A237" s="4" t="s">
        <v>534</v>
      </c>
      <c r="B237" s="4" t="s">
        <v>81</v>
      </c>
      <c r="C237" s="4" t="s">
        <v>82</v>
      </c>
      <c r="D237" s="4" t="s">
        <v>20</v>
      </c>
      <c r="E237" s="4" t="s">
        <v>877</v>
      </c>
      <c r="F237" s="4" t="s">
        <v>84</v>
      </c>
      <c r="G237" s="4" t="s">
        <v>878</v>
      </c>
      <c r="H237" s="4" t="s">
        <v>24</v>
      </c>
      <c r="I237" s="4" t="s">
        <v>25</v>
      </c>
      <c r="K237" s="4" t="s">
        <v>26</v>
      </c>
      <c r="L237" s="4" t="s">
        <v>879</v>
      </c>
      <c r="O237" s="4" t="s">
        <v>880</v>
      </c>
      <c r="P237" s="5">
        <f>DATE(2023,10,5)</f>
        <v>45204</v>
      </c>
      <c r="Q237" s="4" t="s">
        <v>881</v>
      </c>
      <c r="R237" s="5">
        <f>DATE(2021,10,20)</f>
        <v>44489</v>
      </c>
    </row>
    <row r="238" spans="1:22" ht="55.05" customHeight="1" x14ac:dyDescent="0.3">
      <c r="A238" s="4" t="s">
        <v>534</v>
      </c>
      <c r="B238" s="4" t="s">
        <v>81</v>
      </c>
      <c r="C238" s="4" t="s">
        <v>82</v>
      </c>
      <c r="D238" s="4" t="s">
        <v>20</v>
      </c>
      <c r="E238" s="4" t="s">
        <v>877</v>
      </c>
      <c r="F238" s="4" t="s">
        <v>84</v>
      </c>
      <c r="G238" s="4" t="s">
        <v>882</v>
      </c>
      <c r="H238" s="4" t="s">
        <v>24</v>
      </c>
      <c r="I238" s="4" t="s">
        <v>25</v>
      </c>
      <c r="K238" s="4" t="s">
        <v>26</v>
      </c>
      <c r="L238" s="4" t="s">
        <v>883</v>
      </c>
      <c r="O238" s="4" t="s">
        <v>884</v>
      </c>
      <c r="P238" s="5">
        <f>DATE(2022,4,12)</f>
        <v>44663</v>
      </c>
      <c r="Q238" s="4" t="s">
        <v>558</v>
      </c>
      <c r="R238" s="5">
        <f>DATE(2021,10,21)</f>
        <v>44490</v>
      </c>
    </row>
    <row r="239" spans="1:22" ht="55.05" customHeight="1" x14ac:dyDescent="0.3">
      <c r="A239" s="4" t="s">
        <v>534</v>
      </c>
      <c r="B239" s="4" t="s">
        <v>81</v>
      </c>
      <c r="C239" s="4" t="s">
        <v>82</v>
      </c>
      <c r="D239" s="4" t="s">
        <v>20</v>
      </c>
      <c r="E239" s="4" t="s">
        <v>877</v>
      </c>
      <c r="F239" s="4" t="s">
        <v>84</v>
      </c>
      <c r="G239" s="4" t="s">
        <v>885</v>
      </c>
      <c r="H239" s="4" t="s">
        <v>24</v>
      </c>
      <c r="I239" s="4" t="s">
        <v>25</v>
      </c>
      <c r="K239" s="4" t="s">
        <v>26</v>
      </c>
      <c r="L239" s="4" t="s">
        <v>886</v>
      </c>
      <c r="O239" s="4" t="s">
        <v>887</v>
      </c>
      <c r="P239" s="5">
        <f>DATE(2023,12,20)</f>
        <v>45280</v>
      </c>
      <c r="Q239" s="4" t="s">
        <v>845</v>
      </c>
      <c r="R239" s="5">
        <f>DATE(2021,12,30)</f>
        <v>44560</v>
      </c>
    </row>
    <row r="240" spans="1:22" ht="55.05" customHeight="1" x14ac:dyDescent="0.3">
      <c r="A240" s="4" t="s">
        <v>534</v>
      </c>
      <c r="B240" s="4" t="s">
        <v>81</v>
      </c>
      <c r="C240" s="4" t="s">
        <v>82</v>
      </c>
      <c r="D240" s="4" t="s">
        <v>20</v>
      </c>
      <c r="E240" s="4" t="s">
        <v>877</v>
      </c>
      <c r="F240" s="4" t="s">
        <v>84</v>
      </c>
      <c r="G240" s="4" t="s">
        <v>888</v>
      </c>
      <c r="H240" s="4" t="s">
        <v>24</v>
      </c>
      <c r="I240" s="4" t="s">
        <v>25</v>
      </c>
      <c r="K240" s="4" t="s">
        <v>78</v>
      </c>
      <c r="L240" s="4" t="s">
        <v>889</v>
      </c>
      <c r="O240" s="4" t="s">
        <v>890</v>
      </c>
      <c r="P240" s="5">
        <f>DATE(2023,6,27)</f>
        <v>45104</v>
      </c>
      <c r="Q240" s="4" t="s">
        <v>891</v>
      </c>
      <c r="R240" s="5">
        <f>DATE(2022,6,9)</f>
        <v>44721</v>
      </c>
      <c r="S240" s="4" t="s">
        <v>892</v>
      </c>
      <c r="T240" s="5">
        <f>DATE(2022,5,30)</f>
        <v>44711</v>
      </c>
      <c r="U240" s="4" t="s">
        <v>893</v>
      </c>
      <c r="V240" s="5">
        <f>DATE(2021,10,21)</f>
        <v>44490</v>
      </c>
    </row>
    <row r="241" spans="1:24" ht="55.05" customHeight="1" x14ac:dyDescent="0.3">
      <c r="A241" s="4" t="s">
        <v>534</v>
      </c>
      <c r="B241" s="4" t="s">
        <v>81</v>
      </c>
      <c r="C241" s="4" t="s">
        <v>82</v>
      </c>
      <c r="D241" s="4" t="s">
        <v>20</v>
      </c>
      <c r="E241" s="4" t="s">
        <v>877</v>
      </c>
      <c r="F241" s="4" t="s">
        <v>84</v>
      </c>
      <c r="G241" s="4" t="s">
        <v>894</v>
      </c>
      <c r="H241" s="4" t="s">
        <v>24</v>
      </c>
      <c r="I241" s="4" t="s">
        <v>25</v>
      </c>
      <c r="K241" s="4" t="s">
        <v>26</v>
      </c>
      <c r="L241" s="4" t="s">
        <v>895</v>
      </c>
      <c r="O241" s="4" t="s">
        <v>896</v>
      </c>
      <c r="P241" s="5">
        <f>DATE(2023,12,26)</f>
        <v>45286</v>
      </c>
      <c r="Q241" s="4" t="s">
        <v>897</v>
      </c>
      <c r="R241" s="5">
        <f>DATE(2023,8,22)</f>
        <v>45160</v>
      </c>
      <c r="S241" s="4" t="s">
        <v>898</v>
      </c>
      <c r="T241" s="5">
        <f>DATE(2021,8,5)</f>
        <v>44413</v>
      </c>
    </row>
    <row r="242" spans="1:24" ht="55.05" customHeight="1" x14ac:dyDescent="0.3">
      <c r="A242" s="4" t="s">
        <v>534</v>
      </c>
      <c r="B242" s="4" t="s">
        <v>81</v>
      </c>
      <c r="C242" s="4" t="s">
        <v>82</v>
      </c>
      <c r="D242" s="4" t="s">
        <v>20</v>
      </c>
      <c r="E242" s="4" t="s">
        <v>877</v>
      </c>
      <c r="F242" s="4" t="s">
        <v>84</v>
      </c>
      <c r="G242" s="4" t="s">
        <v>899</v>
      </c>
      <c r="H242" s="4" t="s">
        <v>24</v>
      </c>
      <c r="I242" s="4" t="s">
        <v>25</v>
      </c>
      <c r="K242" s="4" t="s">
        <v>26</v>
      </c>
      <c r="L242" s="4" t="s">
        <v>900</v>
      </c>
      <c r="O242" s="4" t="s">
        <v>884</v>
      </c>
      <c r="P242" s="5">
        <f>DATE(2022,4,12)</f>
        <v>44663</v>
      </c>
      <c r="Q242" s="4" t="s">
        <v>558</v>
      </c>
      <c r="R242" s="5">
        <f>DATE(2021,10,21)</f>
        <v>44490</v>
      </c>
    </row>
    <row r="243" spans="1:24" ht="55.05" customHeight="1" x14ac:dyDescent="0.3">
      <c r="A243" s="4" t="s">
        <v>534</v>
      </c>
      <c r="B243" s="4" t="s">
        <v>81</v>
      </c>
      <c r="C243" s="4" t="s">
        <v>82</v>
      </c>
      <c r="D243" s="4" t="s">
        <v>20</v>
      </c>
      <c r="E243" s="4" t="s">
        <v>877</v>
      </c>
      <c r="F243" s="4" t="s">
        <v>84</v>
      </c>
      <c r="G243" s="4" t="s">
        <v>901</v>
      </c>
      <c r="H243" s="4" t="s">
        <v>32</v>
      </c>
      <c r="I243" s="4" t="s">
        <v>25</v>
      </c>
      <c r="J243" s="5">
        <f>DATE(2022,4,12)</f>
        <v>44663</v>
      </c>
      <c r="K243" s="4" t="s">
        <v>26</v>
      </c>
      <c r="L243" s="4" t="s">
        <v>902</v>
      </c>
      <c r="O243" s="4" t="s">
        <v>884</v>
      </c>
      <c r="P243" s="5">
        <f>DATE(2022,4,12)</f>
        <v>44663</v>
      </c>
      <c r="Q243" s="4" t="s">
        <v>558</v>
      </c>
      <c r="R243" s="5">
        <f>DATE(2021,10,21)</f>
        <v>44490</v>
      </c>
    </row>
    <row r="244" spans="1:24" ht="55.05" customHeight="1" x14ac:dyDescent="0.3">
      <c r="A244" s="4" t="s">
        <v>534</v>
      </c>
      <c r="B244" s="4" t="s">
        <v>81</v>
      </c>
      <c r="C244" s="4" t="s">
        <v>82</v>
      </c>
      <c r="D244" s="4" t="s">
        <v>20</v>
      </c>
      <c r="E244" s="4" t="s">
        <v>877</v>
      </c>
      <c r="F244" s="4" t="s">
        <v>84</v>
      </c>
      <c r="G244" s="4" t="s">
        <v>903</v>
      </c>
      <c r="H244" s="4" t="s">
        <v>32</v>
      </c>
      <c r="I244" s="4" t="s">
        <v>25</v>
      </c>
      <c r="J244" s="5">
        <f>DATE(2022,4,12)</f>
        <v>44663</v>
      </c>
      <c r="K244" s="4" t="s">
        <v>26</v>
      </c>
      <c r="L244" s="4" t="s">
        <v>904</v>
      </c>
      <c r="O244" s="4" t="s">
        <v>884</v>
      </c>
      <c r="P244" s="5">
        <f>DATE(2022,4,12)</f>
        <v>44663</v>
      </c>
      <c r="Q244" s="4" t="s">
        <v>558</v>
      </c>
      <c r="R244" s="5">
        <f>DATE(2021,10,21)</f>
        <v>44490</v>
      </c>
    </row>
    <row r="245" spans="1:24" ht="55.05" customHeight="1" x14ac:dyDescent="0.3">
      <c r="A245" s="4" t="s">
        <v>534</v>
      </c>
      <c r="B245" s="4" t="s">
        <v>81</v>
      </c>
      <c r="C245" s="4" t="s">
        <v>82</v>
      </c>
      <c r="D245" s="4" t="s">
        <v>20</v>
      </c>
      <c r="E245" s="4" t="s">
        <v>877</v>
      </c>
      <c r="F245" s="4" t="s">
        <v>84</v>
      </c>
      <c r="G245" s="4" t="s">
        <v>905</v>
      </c>
      <c r="H245" s="4" t="s">
        <v>24</v>
      </c>
      <c r="I245" s="4" t="s">
        <v>25</v>
      </c>
      <c r="K245" s="4" t="s">
        <v>26</v>
      </c>
      <c r="L245" s="4" t="s">
        <v>906</v>
      </c>
      <c r="O245" s="4" t="s">
        <v>907</v>
      </c>
      <c r="P245" s="5">
        <f>DATE(2023,9,11)</f>
        <v>45180</v>
      </c>
      <c r="Q245" s="4" t="s">
        <v>890</v>
      </c>
      <c r="R245" s="5">
        <f>DATE(2023,6,27)</f>
        <v>45104</v>
      </c>
      <c r="S245" s="4" t="s">
        <v>908</v>
      </c>
      <c r="T245" s="5">
        <f>DATE(2022,6,24)</f>
        <v>44736</v>
      </c>
      <c r="U245" s="4" t="s">
        <v>884</v>
      </c>
      <c r="V245" s="5">
        <f>DATE(2022,4,12)</f>
        <v>44663</v>
      </c>
      <c r="W245" s="4" t="s">
        <v>909</v>
      </c>
      <c r="X245" s="5">
        <f>DATE(2021,12,30)</f>
        <v>44560</v>
      </c>
    </row>
    <row r="246" spans="1:24" ht="55.05" customHeight="1" x14ac:dyDescent="0.3">
      <c r="A246" s="4" t="s">
        <v>534</v>
      </c>
      <c r="B246" s="4" t="s">
        <v>81</v>
      </c>
      <c r="C246" s="4" t="s">
        <v>82</v>
      </c>
      <c r="D246" s="4" t="s">
        <v>20</v>
      </c>
      <c r="E246" s="4" t="s">
        <v>877</v>
      </c>
      <c r="F246" s="4" t="s">
        <v>84</v>
      </c>
      <c r="G246" s="4" t="s">
        <v>910</v>
      </c>
      <c r="H246" s="4" t="s">
        <v>24</v>
      </c>
      <c r="I246" s="4" t="s">
        <v>25</v>
      </c>
      <c r="K246" s="4" t="s">
        <v>26</v>
      </c>
      <c r="L246" s="4" t="s">
        <v>911</v>
      </c>
      <c r="O246" s="4" t="s">
        <v>912</v>
      </c>
      <c r="P246" s="5">
        <f>DATE(2022,11,30)</f>
        <v>44895</v>
      </c>
      <c r="Q246" s="4" t="s">
        <v>913</v>
      </c>
      <c r="R246" s="5">
        <f>DATE(2022,8,9)</f>
        <v>44782</v>
      </c>
      <c r="S246" s="4" t="s">
        <v>558</v>
      </c>
      <c r="T246" s="5">
        <f>DATE(2021,10,21)</f>
        <v>44490</v>
      </c>
    </row>
    <row r="247" spans="1:24" ht="55.05" customHeight="1" x14ac:dyDescent="0.3">
      <c r="A247" s="4" t="s">
        <v>534</v>
      </c>
      <c r="B247" s="4" t="s">
        <v>81</v>
      </c>
      <c r="C247" s="4" t="s">
        <v>82</v>
      </c>
      <c r="D247" s="4" t="s">
        <v>20</v>
      </c>
      <c r="E247" s="4" t="s">
        <v>877</v>
      </c>
      <c r="F247" s="4" t="s">
        <v>84</v>
      </c>
      <c r="G247" s="4" t="s">
        <v>914</v>
      </c>
      <c r="H247" s="4" t="s">
        <v>24</v>
      </c>
      <c r="I247" s="4" t="s">
        <v>25</v>
      </c>
      <c r="K247" s="4" t="s">
        <v>78</v>
      </c>
      <c r="L247" s="4" t="s">
        <v>915</v>
      </c>
      <c r="O247" s="4" t="s">
        <v>880</v>
      </c>
      <c r="P247" s="5">
        <f>DATE(2023,10,5)</f>
        <v>45204</v>
      </c>
      <c r="Q247" s="4" t="s">
        <v>558</v>
      </c>
      <c r="R247" s="5">
        <f>DATE(2021,10,21)</f>
        <v>44490</v>
      </c>
    </row>
    <row r="248" spans="1:24" ht="55.05" customHeight="1" x14ac:dyDescent="0.3">
      <c r="A248" s="4" t="s">
        <v>534</v>
      </c>
      <c r="B248" s="4" t="s">
        <v>81</v>
      </c>
      <c r="C248" s="4" t="s">
        <v>82</v>
      </c>
      <c r="D248" s="4" t="s">
        <v>20</v>
      </c>
      <c r="E248" s="4" t="s">
        <v>877</v>
      </c>
      <c r="F248" s="4" t="s">
        <v>84</v>
      </c>
      <c r="G248" s="4" t="s">
        <v>916</v>
      </c>
      <c r="H248" s="4" t="s">
        <v>24</v>
      </c>
      <c r="I248" s="4" t="s">
        <v>25</v>
      </c>
      <c r="K248" s="4" t="s">
        <v>26</v>
      </c>
      <c r="L248" s="4" t="s">
        <v>917</v>
      </c>
      <c r="O248" s="4" t="s">
        <v>908</v>
      </c>
      <c r="P248" s="5">
        <f>DATE(2022,6,24)</f>
        <v>44736</v>
      </c>
      <c r="Q248" s="4" t="s">
        <v>884</v>
      </c>
      <c r="R248" s="5">
        <f>DATE(2022,4,12)</f>
        <v>44663</v>
      </c>
      <c r="S248" s="4" t="s">
        <v>893</v>
      </c>
      <c r="T248" s="5">
        <f>DATE(2021,10,21)</f>
        <v>44490</v>
      </c>
    </row>
    <row r="249" spans="1:24" ht="55.05" customHeight="1" x14ac:dyDescent="0.3">
      <c r="A249" s="4" t="s">
        <v>534</v>
      </c>
      <c r="B249" s="4" t="s">
        <v>81</v>
      </c>
      <c r="C249" s="4" t="s">
        <v>82</v>
      </c>
      <c r="D249" s="4" t="s">
        <v>20</v>
      </c>
      <c r="E249" s="4" t="s">
        <v>918</v>
      </c>
      <c r="F249" s="4" t="s">
        <v>84</v>
      </c>
      <c r="G249" s="4" t="s">
        <v>919</v>
      </c>
      <c r="H249" s="4" t="s">
        <v>24</v>
      </c>
      <c r="I249" s="4" t="s">
        <v>25</v>
      </c>
      <c r="K249" s="4" t="s">
        <v>26</v>
      </c>
      <c r="L249" s="4" t="s">
        <v>920</v>
      </c>
      <c r="O249" s="4" t="s">
        <v>921</v>
      </c>
      <c r="P249" s="5">
        <f>DATE(2023,8,22)</f>
        <v>45160</v>
      </c>
      <c r="Q249" s="4" t="s">
        <v>558</v>
      </c>
      <c r="R249" s="5">
        <f>DATE(2021,10,21)</f>
        <v>44490</v>
      </c>
    </row>
    <row r="250" spans="1:24" ht="55.05" customHeight="1" x14ac:dyDescent="0.3">
      <c r="A250" s="4" t="s">
        <v>534</v>
      </c>
      <c r="B250" s="4" t="s">
        <v>81</v>
      </c>
      <c r="C250" s="4" t="s">
        <v>82</v>
      </c>
      <c r="D250" s="4" t="s">
        <v>20</v>
      </c>
      <c r="E250" s="4" t="s">
        <v>918</v>
      </c>
      <c r="F250" s="4" t="s">
        <v>84</v>
      </c>
      <c r="G250" s="4" t="s">
        <v>922</v>
      </c>
      <c r="H250" s="4" t="s">
        <v>24</v>
      </c>
      <c r="I250" s="4" t="s">
        <v>25</v>
      </c>
      <c r="K250" s="4" t="s">
        <v>26</v>
      </c>
      <c r="L250" s="4" t="s">
        <v>923</v>
      </c>
      <c r="O250" s="4" t="s">
        <v>921</v>
      </c>
      <c r="P250" s="5">
        <f>DATE(2023,8,22)</f>
        <v>45160</v>
      </c>
      <c r="Q250" s="4" t="s">
        <v>800</v>
      </c>
      <c r="R250" s="5">
        <f>DATE(2022,4,7)</f>
        <v>44658</v>
      </c>
      <c r="S250" s="4" t="s">
        <v>924</v>
      </c>
      <c r="T250" s="5">
        <f>DATE(2019,10,4)</f>
        <v>43742</v>
      </c>
    </row>
    <row r="251" spans="1:24" ht="55.05" customHeight="1" x14ac:dyDescent="0.3">
      <c r="A251" s="4" t="s">
        <v>534</v>
      </c>
      <c r="B251" s="4" t="s">
        <v>81</v>
      </c>
      <c r="C251" s="4" t="s">
        <v>82</v>
      </c>
      <c r="D251" s="4" t="s">
        <v>20</v>
      </c>
      <c r="E251" s="4" t="s">
        <v>918</v>
      </c>
      <c r="F251" s="4" t="s">
        <v>84</v>
      </c>
      <c r="G251" s="4" t="s">
        <v>925</v>
      </c>
      <c r="H251" s="4" t="s">
        <v>24</v>
      </c>
      <c r="I251" s="4" t="s">
        <v>25</v>
      </c>
      <c r="K251" s="4" t="s">
        <v>26</v>
      </c>
      <c r="L251" s="4" t="s">
        <v>926</v>
      </c>
      <c r="O251" s="4" t="s">
        <v>921</v>
      </c>
      <c r="P251" s="5">
        <f>DATE(2023,8,22)</f>
        <v>45160</v>
      </c>
      <c r="Q251" s="4" t="s">
        <v>558</v>
      </c>
      <c r="R251" s="5">
        <f>DATE(2021,10,21)</f>
        <v>44490</v>
      </c>
    </row>
    <row r="252" spans="1:24" ht="55.05" customHeight="1" x14ac:dyDescent="0.3">
      <c r="A252" s="4" t="s">
        <v>534</v>
      </c>
      <c r="B252" s="4" t="s">
        <v>81</v>
      </c>
      <c r="C252" s="4" t="s">
        <v>82</v>
      </c>
      <c r="D252" s="4" t="s">
        <v>20</v>
      </c>
      <c r="E252" s="4" t="s">
        <v>918</v>
      </c>
      <c r="F252" s="4" t="s">
        <v>84</v>
      </c>
      <c r="G252" s="4" t="s">
        <v>927</v>
      </c>
      <c r="H252" s="4" t="s">
        <v>24</v>
      </c>
      <c r="I252" s="4" t="s">
        <v>25</v>
      </c>
      <c r="K252" s="4" t="s">
        <v>26</v>
      </c>
      <c r="L252" s="4" t="s">
        <v>928</v>
      </c>
      <c r="O252" s="4" t="s">
        <v>921</v>
      </c>
      <c r="P252" s="5">
        <f>DATE(2023,8,22)</f>
        <v>45160</v>
      </c>
      <c r="Q252" s="4" t="s">
        <v>558</v>
      </c>
      <c r="R252" s="5">
        <f>DATE(2021,10,21)</f>
        <v>44490</v>
      </c>
    </row>
    <row r="253" spans="1:24" ht="55.05" customHeight="1" x14ac:dyDescent="0.3">
      <c r="A253" s="4" t="s">
        <v>534</v>
      </c>
      <c r="B253" s="4" t="s">
        <v>81</v>
      </c>
      <c r="C253" s="4" t="s">
        <v>94</v>
      </c>
      <c r="D253" s="4" t="s">
        <v>20</v>
      </c>
      <c r="E253" s="4" t="s">
        <v>95</v>
      </c>
      <c r="F253" s="4" t="s">
        <v>96</v>
      </c>
      <c r="G253" s="4" t="s">
        <v>929</v>
      </c>
      <c r="H253" s="4" t="s">
        <v>24</v>
      </c>
      <c r="I253" s="4" t="s">
        <v>25</v>
      </c>
      <c r="K253" s="4" t="s">
        <v>26</v>
      </c>
      <c r="L253" s="4" t="s">
        <v>930</v>
      </c>
      <c r="O253" s="4" t="s">
        <v>931</v>
      </c>
      <c r="P253" s="5">
        <f>DATE(2022,3,23)</f>
        <v>44643</v>
      </c>
      <c r="Q253" s="4" t="s">
        <v>562</v>
      </c>
      <c r="R253" s="5">
        <f>DATE(2020,11,12)</f>
        <v>44147</v>
      </c>
    </row>
    <row r="254" spans="1:24" ht="55.05" customHeight="1" x14ac:dyDescent="0.3">
      <c r="A254" s="4" t="s">
        <v>534</v>
      </c>
      <c r="B254" s="4" t="s">
        <v>81</v>
      </c>
      <c r="C254" s="4" t="s">
        <v>94</v>
      </c>
      <c r="D254" s="4" t="s">
        <v>20</v>
      </c>
      <c r="E254" s="4" t="s">
        <v>95</v>
      </c>
      <c r="F254" s="4" t="s">
        <v>96</v>
      </c>
      <c r="G254" s="4" t="s">
        <v>932</v>
      </c>
      <c r="H254" s="4" t="s">
        <v>24</v>
      </c>
      <c r="I254" s="4" t="s">
        <v>25</v>
      </c>
      <c r="K254" s="4" t="s">
        <v>26</v>
      </c>
      <c r="L254" s="4" t="s">
        <v>933</v>
      </c>
      <c r="M254" s="4" t="s">
        <v>99</v>
      </c>
      <c r="N254" s="5">
        <f t="shared" ref="N254:N259" si="1">DATE(2022,3,9)</f>
        <v>44629</v>
      </c>
      <c r="O254" s="4" t="s">
        <v>934</v>
      </c>
      <c r="P254" s="5">
        <f>DATE(2023,11,27)</f>
        <v>45257</v>
      </c>
      <c r="Q254" s="4" t="s">
        <v>935</v>
      </c>
      <c r="R254" s="5">
        <f>DATE(2020,10,6)</f>
        <v>44110</v>
      </c>
    </row>
    <row r="255" spans="1:24" ht="55.05" customHeight="1" x14ac:dyDescent="0.3">
      <c r="A255" s="4" t="s">
        <v>534</v>
      </c>
      <c r="B255" s="4" t="s">
        <v>81</v>
      </c>
      <c r="C255" s="4" t="s">
        <v>94</v>
      </c>
      <c r="D255" s="4" t="s">
        <v>20</v>
      </c>
      <c r="E255" s="4" t="s">
        <v>95</v>
      </c>
      <c r="F255" s="4" t="s">
        <v>96</v>
      </c>
      <c r="G255" s="4" t="s">
        <v>936</v>
      </c>
      <c r="H255" s="4" t="s">
        <v>24</v>
      </c>
      <c r="I255" s="4" t="s">
        <v>25</v>
      </c>
      <c r="K255" s="4" t="s">
        <v>26</v>
      </c>
      <c r="L255" s="4" t="s">
        <v>937</v>
      </c>
      <c r="M255" s="4" t="s">
        <v>99</v>
      </c>
      <c r="N255" s="5">
        <f t="shared" si="1"/>
        <v>44629</v>
      </c>
      <c r="O255" s="4" t="s">
        <v>562</v>
      </c>
      <c r="P255" s="5">
        <f>DATE(2020,11,12)</f>
        <v>44147</v>
      </c>
    </row>
    <row r="256" spans="1:24" ht="55.05" customHeight="1" x14ac:dyDescent="0.3">
      <c r="A256" s="4" t="s">
        <v>534</v>
      </c>
      <c r="B256" s="4" t="s">
        <v>81</v>
      </c>
      <c r="C256" s="4" t="s">
        <v>94</v>
      </c>
      <c r="D256" s="4" t="s">
        <v>20</v>
      </c>
      <c r="E256" s="4" t="s">
        <v>95</v>
      </c>
      <c r="F256" s="4" t="s">
        <v>96</v>
      </c>
      <c r="G256" s="4" t="s">
        <v>938</v>
      </c>
      <c r="H256" s="4" t="s">
        <v>24</v>
      </c>
      <c r="I256" s="4" t="s">
        <v>25</v>
      </c>
      <c r="K256" s="4" t="s">
        <v>26</v>
      </c>
      <c r="L256" s="4" t="s">
        <v>939</v>
      </c>
      <c r="M256" s="4" t="s">
        <v>99</v>
      </c>
      <c r="N256" s="5">
        <f t="shared" si="1"/>
        <v>44629</v>
      </c>
      <c r="O256" s="4" t="s">
        <v>940</v>
      </c>
      <c r="P256" s="5">
        <f>DATE(2023,11,27)</f>
        <v>45257</v>
      </c>
      <c r="Q256" s="4" t="s">
        <v>941</v>
      </c>
      <c r="R256" s="5">
        <f>DATE(2022,8,25)</f>
        <v>44798</v>
      </c>
      <c r="S256" s="4" t="s">
        <v>942</v>
      </c>
      <c r="T256" s="5">
        <f>DATE(2021,9,30)</f>
        <v>44469</v>
      </c>
    </row>
    <row r="257" spans="1:22" ht="55.05" customHeight="1" x14ac:dyDescent="0.3">
      <c r="A257" s="4" t="s">
        <v>534</v>
      </c>
      <c r="B257" s="4" t="s">
        <v>81</v>
      </c>
      <c r="C257" s="4" t="s">
        <v>94</v>
      </c>
      <c r="D257" s="4" t="s">
        <v>20</v>
      </c>
      <c r="E257" s="4" t="s">
        <v>95</v>
      </c>
      <c r="F257" s="4" t="s">
        <v>96</v>
      </c>
      <c r="G257" s="4" t="s">
        <v>943</v>
      </c>
      <c r="H257" s="4" t="s">
        <v>24</v>
      </c>
      <c r="I257" s="4" t="s">
        <v>25</v>
      </c>
      <c r="K257" s="4" t="s">
        <v>26</v>
      </c>
      <c r="L257" s="4" t="s">
        <v>944</v>
      </c>
      <c r="M257" s="4" t="s">
        <v>99</v>
      </c>
      <c r="N257" s="5">
        <f t="shared" si="1"/>
        <v>44629</v>
      </c>
      <c r="O257" s="4" t="s">
        <v>945</v>
      </c>
      <c r="P257" s="5">
        <f>DATE(2022,8,26)</f>
        <v>44799</v>
      </c>
      <c r="Q257" s="4" t="s">
        <v>946</v>
      </c>
      <c r="R257" s="5">
        <f>DATE(2022,1,19)</f>
        <v>44580</v>
      </c>
      <c r="S257" s="4" t="s">
        <v>947</v>
      </c>
      <c r="T257" s="5">
        <f>DATE(2022,1,18)</f>
        <v>44579</v>
      </c>
      <c r="U257" s="4" t="s">
        <v>948</v>
      </c>
      <c r="V257" s="5">
        <f>DATE(2021,4,22)</f>
        <v>44308</v>
      </c>
    </row>
    <row r="258" spans="1:22" ht="55.05" customHeight="1" x14ac:dyDescent="0.3">
      <c r="A258" s="4" t="s">
        <v>534</v>
      </c>
      <c r="B258" s="4" t="s">
        <v>81</v>
      </c>
      <c r="C258" s="4" t="s">
        <v>94</v>
      </c>
      <c r="D258" s="4" t="s">
        <v>20</v>
      </c>
      <c r="E258" s="4" t="s">
        <v>95</v>
      </c>
      <c r="F258" s="4" t="s">
        <v>96</v>
      </c>
      <c r="G258" s="4" t="s">
        <v>949</v>
      </c>
      <c r="H258" s="4" t="s">
        <v>24</v>
      </c>
      <c r="I258" s="4" t="s">
        <v>25</v>
      </c>
      <c r="K258" s="4" t="s">
        <v>26</v>
      </c>
      <c r="L258" s="4" t="s">
        <v>950</v>
      </c>
      <c r="M258" s="4" t="s">
        <v>99</v>
      </c>
      <c r="N258" s="5">
        <f t="shared" si="1"/>
        <v>44629</v>
      </c>
      <c r="O258" s="4" t="s">
        <v>35</v>
      </c>
      <c r="P258" s="5">
        <f>DATE(2020,7,21)</f>
        <v>44033</v>
      </c>
      <c r="Q258" s="4" t="s">
        <v>951</v>
      </c>
      <c r="R258" s="5">
        <f>DATE(2020,6,27)</f>
        <v>44009</v>
      </c>
    </row>
    <row r="259" spans="1:22" ht="55.05" customHeight="1" x14ac:dyDescent="0.3">
      <c r="A259" s="4" t="s">
        <v>534</v>
      </c>
      <c r="B259" s="4" t="s">
        <v>81</v>
      </c>
      <c r="C259" s="4" t="s">
        <v>94</v>
      </c>
      <c r="D259" s="4" t="s">
        <v>20</v>
      </c>
      <c r="E259" s="4" t="s">
        <v>95</v>
      </c>
      <c r="F259" s="4" t="s">
        <v>96</v>
      </c>
      <c r="G259" s="4" t="s">
        <v>952</v>
      </c>
      <c r="H259" s="4" t="s">
        <v>24</v>
      </c>
      <c r="I259" s="4" t="s">
        <v>25</v>
      </c>
      <c r="K259" s="4" t="s">
        <v>26</v>
      </c>
      <c r="L259" s="4" t="s">
        <v>953</v>
      </c>
      <c r="M259" s="4" t="s">
        <v>99</v>
      </c>
      <c r="N259" s="5">
        <f t="shared" si="1"/>
        <v>44629</v>
      </c>
      <c r="O259" s="4" t="s">
        <v>954</v>
      </c>
      <c r="P259" s="5">
        <f>DATE(2023,3,30)</f>
        <v>45015</v>
      </c>
      <c r="Q259" s="4" t="s">
        <v>955</v>
      </c>
      <c r="R259" s="5">
        <f>DATE(2021,8,31)</f>
        <v>44439</v>
      </c>
    </row>
    <row r="260" spans="1:22" ht="55.05" customHeight="1" x14ac:dyDescent="0.3">
      <c r="A260" s="4" t="s">
        <v>534</v>
      </c>
      <c r="B260" s="4" t="s">
        <v>81</v>
      </c>
      <c r="C260" s="4" t="s">
        <v>94</v>
      </c>
      <c r="D260" s="4" t="s">
        <v>20</v>
      </c>
      <c r="E260" s="4" t="s">
        <v>95</v>
      </c>
      <c r="F260" s="4" t="s">
        <v>96</v>
      </c>
      <c r="G260" s="4" t="s">
        <v>956</v>
      </c>
      <c r="H260" s="4" t="s">
        <v>24</v>
      </c>
      <c r="I260" s="4" t="s">
        <v>25</v>
      </c>
      <c r="K260" s="4" t="s">
        <v>26</v>
      </c>
      <c r="L260" s="4" t="s">
        <v>957</v>
      </c>
      <c r="O260" s="4" t="s">
        <v>958</v>
      </c>
      <c r="P260" s="5">
        <f>DATE(2022,3,23)</f>
        <v>44643</v>
      </c>
      <c r="Q260" s="4" t="s">
        <v>125</v>
      </c>
      <c r="R260" s="5">
        <f>DATE(2020,7,21)</f>
        <v>44033</v>
      </c>
    </row>
    <row r="261" spans="1:22" ht="55.05" customHeight="1" x14ac:dyDescent="0.3">
      <c r="A261" s="4" t="s">
        <v>534</v>
      </c>
      <c r="B261" s="4" t="s">
        <v>81</v>
      </c>
      <c r="C261" s="4" t="s">
        <v>94</v>
      </c>
      <c r="D261" s="4" t="s">
        <v>20</v>
      </c>
      <c r="E261" s="4" t="s">
        <v>95</v>
      </c>
      <c r="F261" s="4" t="s">
        <v>96</v>
      </c>
      <c r="G261" s="4" t="s">
        <v>959</v>
      </c>
      <c r="H261" s="4" t="s">
        <v>24</v>
      </c>
      <c r="I261" s="4" t="s">
        <v>25</v>
      </c>
      <c r="K261" s="4" t="s">
        <v>26</v>
      </c>
      <c r="L261" s="4" t="s">
        <v>960</v>
      </c>
      <c r="M261" s="4" t="s">
        <v>99</v>
      </c>
      <c r="N261" s="5">
        <f t="shared" ref="N261:N281" si="2">DATE(2022,3,9)</f>
        <v>44629</v>
      </c>
      <c r="O261" s="4" t="s">
        <v>961</v>
      </c>
      <c r="P261" s="5">
        <f>DATE(2022,7,5)</f>
        <v>44747</v>
      </c>
      <c r="Q261" s="4" t="s">
        <v>962</v>
      </c>
      <c r="R261" s="5">
        <f>DATE(2021,8,18)</f>
        <v>44426</v>
      </c>
    </row>
    <row r="262" spans="1:22" ht="55.05" customHeight="1" x14ac:dyDescent="0.3">
      <c r="A262" s="4" t="s">
        <v>534</v>
      </c>
      <c r="B262" s="4" t="s">
        <v>81</v>
      </c>
      <c r="C262" s="4" t="s">
        <v>94</v>
      </c>
      <c r="D262" s="4" t="s">
        <v>20</v>
      </c>
      <c r="E262" s="4" t="s">
        <v>95</v>
      </c>
      <c r="F262" s="4" t="s">
        <v>96</v>
      </c>
      <c r="G262" s="4" t="s">
        <v>963</v>
      </c>
      <c r="H262" s="4" t="s">
        <v>24</v>
      </c>
      <c r="I262" s="4" t="s">
        <v>25</v>
      </c>
      <c r="K262" s="4" t="s">
        <v>26</v>
      </c>
      <c r="L262" s="4" t="s">
        <v>964</v>
      </c>
      <c r="M262" s="4" t="s">
        <v>99</v>
      </c>
      <c r="N262" s="5">
        <f t="shared" si="2"/>
        <v>44629</v>
      </c>
      <c r="O262" s="4" t="s">
        <v>965</v>
      </c>
      <c r="P262" s="5">
        <f>DATE(2023,12,19)</f>
        <v>45279</v>
      </c>
      <c r="Q262" s="4" t="s">
        <v>966</v>
      </c>
      <c r="R262" s="5">
        <f>DATE(2022,11,4)</f>
        <v>44869</v>
      </c>
      <c r="S262" s="4" t="s">
        <v>35</v>
      </c>
      <c r="T262" s="5">
        <f>DATE(2020,7,21)</f>
        <v>44033</v>
      </c>
    </row>
    <row r="263" spans="1:22" ht="55.05" customHeight="1" x14ac:dyDescent="0.3">
      <c r="A263" s="4" t="s">
        <v>534</v>
      </c>
      <c r="B263" s="4" t="s">
        <v>81</v>
      </c>
      <c r="C263" s="4" t="s">
        <v>94</v>
      </c>
      <c r="D263" s="4" t="s">
        <v>20</v>
      </c>
      <c r="E263" s="4" t="s">
        <v>95</v>
      </c>
      <c r="F263" s="4" t="s">
        <v>96</v>
      </c>
      <c r="G263" s="4" t="s">
        <v>967</v>
      </c>
      <c r="H263" s="4" t="s">
        <v>24</v>
      </c>
      <c r="I263" s="4" t="s">
        <v>25</v>
      </c>
      <c r="K263" s="4" t="s">
        <v>26</v>
      </c>
      <c r="L263" s="4" t="s">
        <v>968</v>
      </c>
      <c r="M263" s="4" t="s">
        <v>99</v>
      </c>
      <c r="N263" s="5">
        <f t="shared" si="2"/>
        <v>44629</v>
      </c>
      <c r="O263" s="4" t="s">
        <v>942</v>
      </c>
      <c r="P263" s="5">
        <f>DATE(2021,9,30)</f>
        <v>44469</v>
      </c>
    </row>
    <row r="264" spans="1:22" ht="55.05" customHeight="1" x14ac:dyDescent="0.3">
      <c r="A264" s="4" t="s">
        <v>534</v>
      </c>
      <c r="B264" s="4" t="s">
        <v>81</v>
      </c>
      <c r="C264" s="4" t="s">
        <v>94</v>
      </c>
      <c r="D264" s="4" t="s">
        <v>20</v>
      </c>
      <c r="E264" s="4" t="s">
        <v>95</v>
      </c>
      <c r="F264" s="4" t="s">
        <v>96</v>
      </c>
      <c r="G264" s="4" t="s">
        <v>969</v>
      </c>
      <c r="H264" s="4" t="s">
        <v>24</v>
      </c>
      <c r="I264" s="4" t="s">
        <v>25</v>
      </c>
      <c r="K264" s="4" t="s">
        <v>26</v>
      </c>
      <c r="L264" s="4" t="s">
        <v>970</v>
      </c>
      <c r="M264" s="4" t="s">
        <v>99</v>
      </c>
      <c r="N264" s="5">
        <f t="shared" si="2"/>
        <v>44629</v>
      </c>
      <c r="O264" s="4" t="s">
        <v>971</v>
      </c>
      <c r="P264" s="5">
        <f>DATE(2023,1,24)</f>
        <v>44950</v>
      </c>
      <c r="Q264" s="4" t="s">
        <v>35</v>
      </c>
      <c r="R264" s="5">
        <f>DATE(2020,7,21)</f>
        <v>44033</v>
      </c>
    </row>
    <row r="265" spans="1:22" ht="55.05" customHeight="1" x14ac:dyDescent="0.3">
      <c r="A265" s="4" t="s">
        <v>534</v>
      </c>
      <c r="B265" s="4" t="s">
        <v>81</v>
      </c>
      <c r="C265" s="4" t="s">
        <v>94</v>
      </c>
      <c r="D265" s="4" t="s">
        <v>20</v>
      </c>
      <c r="E265" s="4" t="s">
        <v>95</v>
      </c>
      <c r="F265" s="4" t="s">
        <v>96</v>
      </c>
      <c r="G265" s="4" t="s">
        <v>972</v>
      </c>
      <c r="H265" s="4" t="s">
        <v>24</v>
      </c>
      <c r="I265" s="4" t="s">
        <v>25</v>
      </c>
      <c r="K265" s="4" t="s">
        <v>26</v>
      </c>
      <c r="L265" s="4" t="s">
        <v>973</v>
      </c>
      <c r="M265" s="4" t="s">
        <v>99</v>
      </c>
      <c r="N265" s="5">
        <f t="shared" si="2"/>
        <v>44629</v>
      </c>
      <c r="O265" s="4" t="s">
        <v>974</v>
      </c>
      <c r="P265" s="5">
        <f>DATE(2020,10,6)</f>
        <v>44110</v>
      </c>
    </row>
    <row r="266" spans="1:22" ht="55.05" customHeight="1" x14ac:dyDescent="0.3">
      <c r="A266" s="4" t="s">
        <v>534</v>
      </c>
      <c r="B266" s="4" t="s">
        <v>81</v>
      </c>
      <c r="C266" s="4" t="s">
        <v>94</v>
      </c>
      <c r="D266" s="4" t="s">
        <v>20</v>
      </c>
      <c r="E266" s="4" t="s">
        <v>95</v>
      </c>
      <c r="F266" s="4" t="s">
        <v>96</v>
      </c>
      <c r="G266" s="4" t="s">
        <v>975</v>
      </c>
      <c r="H266" s="4" t="s">
        <v>24</v>
      </c>
      <c r="I266" s="4" t="s">
        <v>25</v>
      </c>
      <c r="K266" s="4" t="s">
        <v>26</v>
      </c>
      <c r="L266" s="4" t="s">
        <v>976</v>
      </c>
      <c r="M266" s="4" t="s">
        <v>99</v>
      </c>
      <c r="N266" s="5">
        <f t="shared" si="2"/>
        <v>44629</v>
      </c>
      <c r="O266" s="4" t="s">
        <v>977</v>
      </c>
      <c r="P266" s="5">
        <f>DATE(2023,12,13)</f>
        <v>45273</v>
      </c>
      <c r="Q266" s="4" t="s">
        <v>978</v>
      </c>
      <c r="R266" s="5">
        <f>DATE(2022,4,29)</f>
        <v>44680</v>
      </c>
      <c r="S266" s="4" t="s">
        <v>979</v>
      </c>
      <c r="T266" s="5">
        <f>DATE(2021,7,22)</f>
        <v>44399</v>
      </c>
    </row>
    <row r="267" spans="1:22" ht="55.05" customHeight="1" x14ac:dyDescent="0.3">
      <c r="A267" s="4" t="s">
        <v>534</v>
      </c>
      <c r="B267" s="4" t="s">
        <v>81</v>
      </c>
      <c r="C267" s="4" t="s">
        <v>94</v>
      </c>
      <c r="D267" s="4" t="s">
        <v>20</v>
      </c>
      <c r="E267" s="4" t="s">
        <v>95</v>
      </c>
      <c r="F267" s="4" t="s">
        <v>96</v>
      </c>
      <c r="G267" s="4" t="s">
        <v>980</v>
      </c>
      <c r="H267" s="4" t="s">
        <v>24</v>
      </c>
      <c r="I267" s="4" t="s">
        <v>25</v>
      </c>
      <c r="K267" s="4" t="s">
        <v>26</v>
      </c>
      <c r="L267" s="4" t="s">
        <v>981</v>
      </c>
      <c r="M267" s="4" t="s">
        <v>99</v>
      </c>
      <c r="N267" s="5">
        <f t="shared" si="2"/>
        <v>44629</v>
      </c>
      <c r="O267" s="4" t="s">
        <v>982</v>
      </c>
      <c r="P267" s="5">
        <f>DATE(2022,9,20)</f>
        <v>44824</v>
      </c>
      <c r="Q267" s="4" t="s">
        <v>942</v>
      </c>
      <c r="R267" s="5">
        <f>DATE(2021,9,30)</f>
        <v>44469</v>
      </c>
    </row>
    <row r="268" spans="1:22" ht="55.05" customHeight="1" x14ac:dyDescent="0.3">
      <c r="A268" s="4" t="s">
        <v>534</v>
      </c>
      <c r="B268" s="4" t="s">
        <v>81</v>
      </c>
      <c r="C268" s="4" t="s">
        <v>94</v>
      </c>
      <c r="D268" s="4" t="s">
        <v>20</v>
      </c>
      <c r="E268" s="4" t="s">
        <v>95</v>
      </c>
      <c r="F268" s="4" t="s">
        <v>96</v>
      </c>
      <c r="G268" s="4" t="s">
        <v>983</v>
      </c>
      <c r="H268" s="4" t="s">
        <v>24</v>
      </c>
      <c r="I268" s="4" t="s">
        <v>25</v>
      </c>
      <c r="K268" s="4" t="s">
        <v>26</v>
      </c>
      <c r="L268" s="4" t="s">
        <v>984</v>
      </c>
      <c r="M268" s="4" t="s">
        <v>99</v>
      </c>
      <c r="N268" s="5">
        <f t="shared" si="2"/>
        <v>44629</v>
      </c>
      <c r="O268" s="4" t="s">
        <v>942</v>
      </c>
      <c r="P268" s="5">
        <f>DATE(2021,9,30)</f>
        <v>44469</v>
      </c>
    </row>
    <row r="269" spans="1:22" ht="55.05" customHeight="1" x14ac:dyDescent="0.3">
      <c r="A269" s="4" t="s">
        <v>534</v>
      </c>
      <c r="B269" s="4" t="s">
        <v>81</v>
      </c>
      <c r="C269" s="4" t="s">
        <v>94</v>
      </c>
      <c r="D269" s="4" t="s">
        <v>20</v>
      </c>
      <c r="E269" s="4" t="s">
        <v>95</v>
      </c>
      <c r="F269" s="4" t="s">
        <v>96</v>
      </c>
      <c r="G269" s="4" t="s">
        <v>985</v>
      </c>
      <c r="H269" s="4" t="s">
        <v>24</v>
      </c>
      <c r="I269" s="4" t="s">
        <v>25</v>
      </c>
      <c r="K269" s="4" t="s">
        <v>986</v>
      </c>
      <c r="L269" s="4" t="s">
        <v>987</v>
      </c>
      <c r="M269" s="4" t="s">
        <v>99</v>
      </c>
      <c r="N269" s="5">
        <f t="shared" si="2"/>
        <v>44629</v>
      </c>
      <c r="O269" s="4" t="s">
        <v>988</v>
      </c>
      <c r="P269" s="5">
        <f>DATE(2019,2,19)</f>
        <v>43515</v>
      </c>
      <c r="Q269" s="4" t="s">
        <v>989</v>
      </c>
      <c r="R269" s="5">
        <f>DATE(2016,1,26)</f>
        <v>42395</v>
      </c>
    </row>
    <row r="270" spans="1:22" ht="55.05" customHeight="1" x14ac:dyDescent="0.3">
      <c r="A270" s="4" t="s">
        <v>534</v>
      </c>
      <c r="B270" s="4" t="s">
        <v>81</v>
      </c>
      <c r="C270" s="4" t="s">
        <v>94</v>
      </c>
      <c r="D270" s="4" t="s">
        <v>20</v>
      </c>
      <c r="E270" s="4" t="s">
        <v>95</v>
      </c>
      <c r="F270" s="4" t="s">
        <v>96</v>
      </c>
      <c r="G270" s="4" t="s">
        <v>990</v>
      </c>
      <c r="H270" s="4" t="s">
        <v>24</v>
      </c>
      <c r="I270" s="4" t="s">
        <v>25</v>
      </c>
      <c r="K270" s="4" t="s">
        <v>26</v>
      </c>
      <c r="L270" s="4" t="s">
        <v>991</v>
      </c>
      <c r="M270" s="4" t="s">
        <v>99</v>
      </c>
      <c r="N270" s="5">
        <f t="shared" si="2"/>
        <v>44629</v>
      </c>
      <c r="O270" s="4" t="s">
        <v>992</v>
      </c>
      <c r="P270" s="5">
        <f>DATE(2017,6,6)</f>
        <v>42892</v>
      </c>
    </row>
    <row r="271" spans="1:22" ht="55.05" customHeight="1" x14ac:dyDescent="0.3">
      <c r="A271" s="4" t="s">
        <v>534</v>
      </c>
      <c r="B271" s="4" t="s">
        <v>81</v>
      </c>
      <c r="C271" s="4" t="s">
        <v>94</v>
      </c>
      <c r="D271" s="4" t="s">
        <v>20</v>
      </c>
      <c r="E271" s="4" t="s">
        <v>95</v>
      </c>
      <c r="F271" s="4" t="s">
        <v>96</v>
      </c>
      <c r="G271" s="4" t="s">
        <v>993</v>
      </c>
      <c r="H271" s="4" t="s">
        <v>24</v>
      </c>
      <c r="I271" s="4" t="s">
        <v>25</v>
      </c>
      <c r="K271" s="4" t="s">
        <v>26</v>
      </c>
      <c r="L271" s="4" t="s">
        <v>994</v>
      </c>
      <c r="M271" s="4" t="s">
        <v>99</v>
      </c>
      <c r="N271" s="5">
        <f t="shared" si="2"/>
        <v>44629</v>
      </c>
      <c r="O271" s="4" t="s">
        <v>995</v>
      </c>
      <c r="P271" s="5">
        <f>DATE(2019,11,21)</f>
        <v>43790</v>
      </c>
    </row>
    <row r="272" spans="1:22" ht="55.05" customHeight="1" x14ac:dyDescent="0.3">
      <c r="A272" s="4" t="s">
        <v>534</v>
      </c>
      <c r="B272" s="4" t="s">
        <v>81</v>
      </c>
      <c r="C272" s="4" t="s">
        <v>94</v>
      </c>
      <c r="D272" s="4" t="s">
        <v>20</v>
      </c>
      <c r="E272" s="4" t="s">
        <v>95</v>
      </c>
      <c r="F272" s="4" t="s">
        <v>96</v>
      </c>
      <c r="G272" s="4" t="s">
        <v>996</v>
      </c>
      <c r="H272" s="4" t="s">
        <v>24</v>
      </c>
      <c r="I272" s="4" t="s">
        <v>25</v>
      </c>
      <c r="K272" s="4" t="s">
        <v>26</v>
      </c>
      <c r="L272" s="4" t="s">
        <v>997</v>
      </c>
      <c r="M272" s="4" t="s">
        <v>99</v>
      </c>
      <c r="N272" s="5">
        <f t="shared" si="2"/>
        <v>44629</v>
      </c>
      <c r="O272" s="4" t="s">
        <v>125</v>
      </c>
      <c r="P272" s="5">
        <f>DATE(2020,7,21)</f>
        <v>44033</v>
      </c>
    </row>
    <row r="273" spans="1:28" ht="55.05" customHeight="1" x14ac:dyDescent="0.3">
      <c r="A273" s="4" t="s">
        <v>534</v>
      </c>
      <c r="B273" s="4" t="s">
        <v>81</v>
      </c>
      <c r="C273" s="4" t="s">
        <v>94</v>
      </c>
      <c r="D273" s="4" t="s">
        <v>20</v>
      </c>
      <c r="E273" s="4" t="s">
        <v>95</v>
      </c>
      <c r="F273" s="4" t="s">
        <v>96</v>
      </c>
      <c r="G273" s="4" t="s">
        <v>998</v>
      </c>
      <c r="H273" s="4" t="s">
        <v>24</v>
      </c>
      <c r="I273" s="4" t="s">
        <v>25</v>
      </c>
      <c r="K273" s="4" t="s">
        <v>26</v>
      </c>
      <c r="L273" s="4" t="s">
        <v>999</v>
      </c>
      <c r="M273" s="4" t="s">
        <v>99</v>
      </c>
      <c r="N273" s="5">
        <f t="shared" si="2"/>
        <v>44629</v>
      </c>
      <c r="O273" s="4" t="s">
        <v>1000</v>
      </c>
      <c r="P273" s="5">
        <f>DATE(2023,6,8)</f>
        <v>45085</v>
      </c>
      <c r="Q273" s="4" t="s">
        <v>1001</v>
      </c>
      <c r="R273" s="5">
        <f>DATE(2023,4,21)</f>
        <v>45037</v>
      </c>
      <c r="S273" s="4" t="s">
        <v>1002</v>
      </c>
      <c r="T273" s="5">
        <f>DATE(2022,1,18)</f>
        <v>44579</v>
      </c>
      <c r="U273" s="4" t="s">
        <v>1003</v>
      </c>
      <c r="V273" s="5">
        <f>DATE(2021,9,3)</f>
        <v>44442</v>
      </c>
    </row>
    <row r="274" spans="1:28" ht="55.05" customHeight="1" x14ac:dyDescent="0.3">
      <c r="A274" s="4" t="s">
        <v>534</v>
      </c>
      <c r="B274" s="4" t="s">
        <v>81</v>
      </c>
      <c r="C274" s="4" t="s">
        <v>94</v>
      </c>
      <c r="D274" s="4" t="s">
        <v>20</v>
      </c>
      <c r="E274" s="4" t="s">
        <v>95</v>
      </c>
      <c r="F274" s="4" t="s">
        <v>96</v>
      </c>
      <c r="G274" s="4" t="s">
        <v>1004</v>
      </c>
      <c r="H274" s="4" t="s">
        <v>24</v>
      </c>
      <c r="I274" s="4" t="s">
        <v>25</v>
      </c>
      <c r="K274" s="4" t="s">
        <v>26</v>
      </c>
      <c r="L274" s="4" t="s">
        <v>1005</v>
      </c>
      <c r="M274" s="4" t="s">
        <v>99</v>
      </c>
      <c r="N274" s="5">
        <f t="shared" si="2"/>
        <v>44629</v>
      </c>
      <c r="O274" s="4" t="s">
        <v>1006</v>
      </c>
      <c r="P274" s="5">
        <f>DATE(2021,10,21)</f>
        <v>44490</v>
      </c>
    </row>
    <row r="275" spans="1:28" ht="55.05" customHeight="1" x14ac:dyDescent="0.3">
      <c r="A275" s="4" t="s">
        <v>534</v>
      </c>
      <c r="B275" s="4" t="s">
        <v>81</v>
      </c>
      <c r="C275" s="4" t="s">
        <v>94</v>
      </c>
      <c r="D275" s="4" t="s">
        <v>20</v>
      </c>
      <c r="E275" s="4" t="s">
        <v>95</v>
      </c>
      <c r="F275" s="4" t="s">
        <v>96</v>
      </c>
      <c r="G275" s="4" t="s">
        <v>1007</v>
      </c>
      <c r="H275" s="4" t="s">
        <v>24</v>
      </c>
      <c r="I275" s="4" t="s">
        <v>25</v>
      </c>
      <c r="K275" s="4" t="s">
        <v>26</v>
      </c>
      <c r="L275" s="4" t="s">
        <v>1008</v>
      </c>
      <c r="M275" s="4" t="s">
        <v>99</v>
      </c>
      <c r="N275" s="5">
        <f t="shared" si="2"/>
        <v>44629</v>
      </c>
      <c r="O275" s="4" t="s">
        <v>125</v>
      </c>
      <c r="P275" s="5">
        <f>DATE(2020,7,21)</f>
        <v>44033</v>
      </c>
    </row>
    <row r="276" spans="1:28" ht="55.05" customHeight="1" x14ac:dyDescent="0.3">
      <c r="A276" s="4" t="s">
        <v>534</v>
      </c>
      <c r="B276" s="4" t="s">
        <v>81</v>
      </c>
      <c r="C276" s="4" t="s">
        <v>94</v>
      </c>
      <c r="D276" s="4" t="s">
        <v>20</v>
      </c>
      <c r="E276" s="4" t="s">
        <v>95</v>
      </c>
      <c r="F276" s="4" t="s">
        <v>96</v>
      </c>
      <c r="G276" s="4" t="s">
        <v>1009</v>
      </c>
      <c r="H276" s="4" t="s">
        <v>24</v>
      </c>
      <c r="I276" s="4" t="s">
        <v>25</v>
      </c>
      <c r="K276" s="4" t="s">
        <v>26</v>
      </c>
      <c r="L276" s="4" t="s">
        <v>1010</v>
      </c>
      <c r="M276" s="4" t="s">
        <v>99</v>
      </c>
      <c r="N276" s="5">
        <f t="shared" si="2"/>
        <v>44629</v>
      </c>
      <c r="O276" s="4" t="s">
        <v>1011</v>
      </c>
      <c r="P276" s="5">
        <f>DATE(2020,10,30)</f>
        <v>44134</v>
      </c>
    </row>
    <row r="277" spans="1:28" ht="55.05" customHeight="1" x14ac:dyDescent="0.3">
      <c r="A277" s="4" t="s">
        <v>534</v>
      </c>
      <c r="B277" s="4" t="s">
        <v>81</v>
      </c>
      <c r="C277" s="4" t="s">
        <v>94</v>
      </c>
      <c r="D277" s="4" t="s">
        <v>20</v>
      </c>
      <c r="E277" s="4" t="s">
        <v>95</v>
      </c>
      <c r="F277" s="4" t="s">
        <v>96</v>
      </c>
      <c r="G277" s="4" t="s">
        <v>1012</v>
      </c>
      <c r="H277" s="4" t="s">
        <v>24</v>
      </c>
      <c r="I277" s="4" t="s">
        <v>25</v>
      </c>
      <c r="K277" s="4" t="s">
        <v>26</v>
      </c>
      <c r="L277" s="4" t="s">
        <v>1013</v>
      </c>
      <c r="M277" s="4" t="s">
        <v>99</v>
      </c>
      <c r="N277" s="5">
        <f t="shared" si="2"/>
        <v>44629</v>
      </c>
      <c r="O277" s="4" t="s">
        <v>1014</v>
      </c>
      <c r="P277" s="5">
        <f>DATE(2022,10,14)</f>
        <v>44848</v>
      </c>
      <c r="Q277" s="4" t="s">
        <v>1015</v>
      </c>
      <c r="R277" s="5">
        <f>DATE(2022,3,9)</f>
        <v>44629</v>
      </c>
      <c r="S277" s="4" t="s">
        <v>1016</v>
      </c>
      <c r="T277" s="5">
        <f>DATE(2021,4,22)</f>
        <v>44308</v>
      </c>
    </row>
    <row r="278" spans="1:28" ht="55.05" customHeight="1" x14ac:dyDescent="0.3">
      <c r="A278" s="4" t="s">
        <v>534</v>
      </c>
      <c r="B278" s="4" t="s">
        <v>81</v>
      </c>
      <c r="C278" s="4" t="s">
        <v>94</v>
      </c>
      <c r="D278" s="4" t="s">
        <v>20</v>
      </c>
      <c r="E278" s="4" t="s">
        <v>95</v>
      </c>
      <c r="F278" s="4" t="s">
        <v>96</v>
      </c>
      <c r="G278" s="4" t="s">
        <v>1017</v>
      </c>
      <c r="H278" s="4" t="s">
        <v>37</v>
      </c>
      <c r="I278" s="4" t="s">
        <v>25</v>
      </c>
      <c r="K278" s="4" t="s">
        <v>26</v>
      </c>
      <c r="L278" s="4" t="s">
        <v>1018</v>
      </c>
      <c r="M278" s="4" t="s">
        <v>99</v>
      </c>
      <c r="N278" s="5">
        <f t="shared" si="2"/>
        <v>44629</v>
      </c>
      <c r="O278" s="4" t="s">
        <v>1002</v>
      </c>
      <c r="P278" s="5">
        <f>DATE(2022,1,18)</f>
        <v>44579</v>
      </c>
    </row>
    <row r="279" spans="1:28" ht="55.05" customHeight="1" x14ac:dyDescent="0.3">
      <c r="A279" s="4" t="s">
        <v>534</v>
      </c>
      <c r="B279" s="4" t="s">
        <v>81</v>
      </c>
      <c r="C279" s="4" t="s">
        <v>94</v>
      </c>
      <c r="D279" s="4" t="s">
        <v>20</v>
      </c>
      <c r="E279" s="4" t="s">
        <v>95</v>
      </c>
      <c r="F279" s="4" t="s">
        <v>96</v>
      </c>
      <c r="G279" s="4" t="s">
        <v>1019</v>
      </c>
      <c r="H279" s="4" t="s">
        <v>24</v>
      </c>
      <c r="I279" s="4" t="s">
        <v>25</v>
      </c>
      <c r="K279" s="4" t="s">
        <v>26</v>
      </c>
      <c r="L279" s="4" t="s">
        <v>1020</v>
      </c>
      <c r="M279" s="4" t="s">
        <v>99</v>
      </c>
      <c r="N279" s="5">
        <f t="shared" si="2"/>
        <v>44629</v>
      </c>
      <c r="O279" s="4" t="s">
        <v>1021</v>
      </c>
      <c r="P279" s="5">
        <f>DATE(2023,4,21)</f>
        <v>45037</v>
      </c>
      <c r="Q279" s="4" t="s">
        <v>1002</v>
      </c>
      <c r="R279" s="5">
        <f>DATE(2022,1,18)</f>
        <v>44579</v>
      </c>
    </row>
    <row r="280" spans="1:28" ht="55.05" customHeight="1" x14ac:dyDescent="0.3">
      <c r="A280" s="4" t="s">
        <v>534</v>
      </c>
      <c r="B280" s="4" t="s">
        <v>81</v>
      </c>
      <c r="C280" s="4" t="s">
        <v>94</v>
      </c>
      <c r="D280" s="4" t="s">
        <v>20</v>
      </c>
      <c r="E280" s="4" t="s">
        <v>95</v>
      </c>
      <c r="F280" s="4" t="s">
        <v>96</v>
      </c>
      <c r="G280" s="4" t="s">
        <v>1022</v>
      </c>
      <c r="H280" s="4" t="s">
        <v>37</v>
      </c>
      <c r="I280" s="4" t="s">
        <v>25</v>
      </c>
      <c r="K280" s="4" t="s">
        <v>26</v>
      </c>
      <c r="L280" s="4" t="s">
        <v>1023</v>
      </c>
      <c r="M280" s="4" t="s">
        <v>99</v>
      </c>
      <c r="N280" s="5">
        <f t="shared" si="2"/>
        <v>44629</v>
      </c>
      <c r="O280" s="4" t="s">
        <v>946</v>
      </c>
      <c r="P280" s="5">
        <f>DATE(2022,1,19)</f>
        <v>44580</v>
      </c>
      <c r="Q280" s="4" t="s">
        <v>1002</v>
      </c>
      <c r="R280" s="5">
        <f>DATE(2022,1,18)</f>
        <v>44579</v>
      </c>
    </row>
    <row r="281" spans="1:28" ht="55.05" customHeight="1" x14ac:dyDescent="0.3">
      <c r="A281" s="4" t="s">
        <v>534</v>
      </c>
      <c r="B281" s="4" t="s">
        <v>81</v>
      </c>
      <c r="C281" s="4" t="s">
        <v>94</v>
      </c>
      <c r="D281" s="4" t="s">
        <v>20</v>
      </c>
      <c r="E281" s="4" t="s">
        <v>95</v>
      </c>
      <c r="F281" s="4" t="s">
        <v>96</v>
      </c>
      <c r="G281" s="4" t="s">
        <v>1024</v>
      </c>
      <c r="H281" s="4" t="s">
        <v>24</v>
      </c>
      <c r="I281" s="4" t="s">
        <v>25</v>
      </c>
      <c r="K281" s="4" t="s">
        <v>26</v>
      </c>
      <c r="L281" s="4" t="s">
        <v>1025</v>
      </c>
      <c r="M281" s="4" t="s">
        <v>99</v>
      </c>
      <c r="N281" s="5">
        <f t="shared" si="2"/>
        <v>44629</v>
      </c>
      <c r="O281" s="4" t="s">
        <v>1026</v>
      </c>
      <c r="P281" s="5">
        <f>DATE(2021,11,18)</f>
        <v>44518</v>
      </c>
    </row>
    <row r="282" spans="1:28" ht="55.05" customHeight="1" x14ac:dyDescent="0.3">
      <c r="A282" s="4" t="s">
        <v>534</v>
      </c>
      <c r="B282" s="4" t="s">
        <v>81</v>
      </c>
      <c r="C282" s="4" t="s">
        <v>399</v>
      </c>
      <c r="D282" s="4" t="s">
        <v>20</v>
      </c>
      <c r="E282" s="4" t="s">
        <v>400</v>
      </c>
      <c r="F282" s="4" t="s">
        <v>22</v>
      </c>
      <c r="G282" s="4" t="s">
        <v>1027</v>
      </c>
      <c r="H282" s="4" t="s">
        <v>24</v>
      </c>
      <c r="I282" s="4" t="s">
        <v>25</v>
      </c>
      <c r="K282" s="4" t="s">
        <v>26</v>
      </c>
      <c r="L282" s="4" t="s">
        <v>1028</v>
      </c>
      <c r="O282" s="4" t="s">
        <v>1029</v>
      </c>
      <c r="P282" s="5">
        <f>DATE(2023,10,30)</f>
        <v>45229</v>
      </c>
      <c r="Q282" s="4" t="s">
        <v>1030</v>
      </c>
      <c r="R282" s="5">
        <f>DATE(2023,5,11)</f>
        <v>45057</v>
      </c>
      <c r="S282" s="4" t="s">
        <v>1031</v>
      </c>
      <c r="T282" s="5">
        <f>DATE(2023,4,28)</f>
        <v>45044</v>
      </c>
      <c r="U282" s="4" t="s">
        <v>1032</v>
      </c>
      <c r="V282" s="5">
        <f>DATE(2022,12,19)</f>
        <v>44914</v>
      </c>
      <c r="W282" s="4" t="s">
        <v>1033</v>
      </c>
      <c r="X282" s="5">
        <f>DATE(2022,6,30)</f>
        <v>44742</v>
      </c>
      <c r="Y282" s="4" t="s">
        <v>1034</v>
      </c>
      <c r="Z282" s="5">
        <f>DATE(2022,6,6)</f>
        <v>44718</v>
      </c>
      <c r="AA282" s="4" t="s">
        <v>1035</v>
      </c>
      <c r="AB282" s="5">
        <f>DATE(2022,3,24)</f>
        <v>44644</v>
      </c>
    </row>
    <row r="283" spans="1:28" ht="55.05" customHeight="1" x14ac:dyDescent="0.3">
      <c r="A283" s="4" t="s">
        <v>534</v>
      </c>
      <c r="B283" s="4" t="s">
        <v>81</v>
      </c>
      <c r="C283" s="4" t="s">
        <v>399</v>
      </c>
      <c r="D283" s="4" t="s">
        <v>20</v>
      </c>
      <c r="E283" s="4" t="s">
        <v>400</v>
      </c>
      <c r="F283" s="4" t="s">
        <v>22</v>
      </c>
      <c r="G283" s="4" t="s">
        <v>1036</v>
      </c>
      <c r="H283" s="4" t="s">
        <v>24</v>
      </c>
      <c r="I283" s="4" t="s">
        <v>25</v>
      </c>
      <c r="K283" s="4" t="s">
        <v>26</v>
      </c>
      <c r="L283" s="4" t="s">
        <v>1037</v>
      </c>
      <c r="O283" s="4" t="s">
        <v>1038</v>
      </c>
      <c r="P283" s="5">
        <f>DATE(2023,12,21)</f>
        <v>45281</v>
      </c>
      <c r="Q283" s="4" t="s">
        <v>1039</v>
      </c>
      <c r="R283" s="5">
        <f>DATE(2022,5,30)</f>
        <v>44711</v>
      </c>
      <c r="S283" s="4" t="s">
        <v>1040</v>
      </c>
      <c r="T283" s="5">
        <f>DATE(2021,7,21)</f>
        <v>44398</v>
      </c>
    </row>
    <row r="284" spans="1:28" ht="55.05" customHeight="1" x14ac:dyDescent="0.3">
      <c r="A284" s="4" t="s">
        <v>534</v>
      </c>
      <c r="B284" s="4" t="s">
        <v>81</v>
      </c>
      <c r="C284" s="4" t="s">
        <v>399</v>
      </c>
      <c r="D284" s="4" t="s">
        <v>20</v>
      </c>
      <c r="E284" s="4" t="s">
        <v>400</v>
      </c>
      <c r="F284" s="4" t="s">
        <v>22</v>
      </c>
      <c r="G284" s="4" t="s">
        <v>1041</v>
      </c>
      <c r="H284" s="4" t="s">
        <v>24</v>
      </c>
      <c r="I284" s="4" t="s">
        <v>25</v>
      </c>
      <c r="K284" s="4" t="s">
        <v>26</v>
      </c>
      <c r="L284" s="4" t="s">
        <v>1042</v>
      </c>
      <c r="O284" s="4" t="s">
        <v>1038</v>
      </c>
      <c r="P284" s="5">
        <f>DATE(2023,12,21)</f>
        <v>45281</v>
      </c>
      <c r="Q284" s="4" t="s">
        <v>1039</v>
      </c>
      <c r="R284" s="5">
        <f>DATE(2022,5,30)</f>
        <v>44711</v>
      </c>
      <c r="S284" s="4" t="s">
        <v>1040</v>
      </c>
      <c r="T284" s="5">
        <f>DATE(2021,7,21)</f>
        <v>44398</v>
      </c>
    </row>
    <row r="285" spans="1:28" ht="55.05" customHeight="1" x14ac:dyDescent="0.3">
      <c r="A285" s="4" t="s">
        <v>534</v>
      </c>
      <c r="B285" s="4" t="s">
        <v>81</v>
      </c>
      <c r="C285" s="4" t="s">
        <v>399</v>
      </c>
      <c r="D285" s="4" t="s">
        <v>20</v>
      </c>
      <c r="E285" s="4" t="s">
        <v>400</v>
      </c>
      <c r="F285" s="4" t="s">
        <v>22</v>
      </c>
      <c r="G285" s="4" t="s">
        <v>1043</v>
      </c>
      <c r="H285" s="4" t="s">
        <v>32</v>
      </c>
      <c r="I285" s="4" t="s">
        <v>33</v>
      </c>
      <c r="J285" s="5">
        <f>DATE(2023,12,21)</f>
        <v>45281</v>
      </c>
      <c r="K285" s="4" t="s">
        <v>26</v>
      </c>
      <c r="L285" s="4" t="s">
        <v>1044</v>
      </c>
      <c r="O285" s="4" t="s">
        <v>1038</v>
      </c>
      <c r="P285" s="5">
        <f>DATE(2023,12,21)</f>
        <v>45281</v>
      </c>
      <c r="Q285" s="4" t="s">
        <v>1040</v>
      </c>
      <c r="R285" s="5">
        <f>DATE(2021,2,10)</f>
        <v>44237</v>
      </c>
    </row>
    <row r="286" spans="1:28" ht="55.05" customHeight="1" x14ac:dyDescent="0.3">
      <c r="A286" s="4" t="s">
        <v>534</v>
      </c>
      <c r="B286" s="4" t="s">
        <v>81</v>
      </c>
      <c r="C286" s="4" t="s">
        <v>405</v>
      </c>
      <c r="D286" s="4" t="s">
        <v>20</v>
      </c>
      <c r="E286" s="4" t="s">
        <v>1045</v>
      </c>
      <c r="F286" s="4" t="s">
        <v>407</v>
      </c>
      <c r="G286" s="4" t="s">
        <v>1046</v>
      </c>
      <c r="H286" s="4" t="s">
        <v>24</v>
      </c>
      <c r="I286" s="4" t="s">
        <v>25</v>
      </c>
      <c r="K286" s="4" t="s">
        <v>26</v>
      </c>
      <c r="L286" s="4" t="s">
        <v>1047</v>
      </c>
      <c r="O286" s="4" t="s">
        <v>1048</v>
      </c>
      <c r="P286" s="5">
        <f>DATE(2022,6,16)</f>
        <v>44728</v>
      </c>
      <c r="Q286" s="4" t="s">
        <v>1049</v>
      </c>
      <c r="R286" s="5">
        <f>DATE(2020,3,13)</f>
        <v>43903</v>
      </c>
    </row>
    <row r="287" spans="1:28" ht="55.05" customHeight="1" x14ac:dyDescent="0.3">
      <c r="A287" s="4" t="s">
        <v>534</v>
      </c>
      <c r="B287" s="4" t="s">
        <v>81</v>
      </c>
      <c r="C287" s="4" t="s">
        <v>405</v>
      </c>
      <c r="D287" s="4" t="s">
        <v>20</v>
      </c>
      <c r="E287" s="4" t="s">
        <v>1045</v>
      </c>
      <c r="F287" s="4" t="s">
        <v>407</v>
      </c>
      <c r="G287" s="4" t="s">
        <v>1050</v>
      </c>
      <c r="H287" s="4" t="s">
        <v>24</v>
      </c>
      <c r="I287" s="4" t="s">
        <v>25</v>
      </c>
      <c r="K287" s="4" t="s">
        <v>26</v>
      </c>
      <c r="L287" s="4" t="s">
        <v>1051</v>
      </c>
      <c r="O287" s="4" t="s">
        <v>1052</v>
      </c>
      <c r="P287" s="5">
        <f>DATE(2023,4,10)</f>
        <v>45026</v>
      </c>
      <c r="Q287" s="4" t="s">
        <v>1053</v>
      </c>
      <c r="R287" s="5">
        <f>DATE(2022,9,26)</f>
        <v>44830</v>
      </c>
      <c r="S287" s="4" t="s">
        <v>1054</v>
      </c>
      <c r="T287" s="5">
        <f>DATE(2021,12,23)</f>
        <v>44553</v>
      </c>
    </row>
    <row r="288" spans="1:28" ht="55.05" customHeight="1" x14ac:dyDescent="0.3">
      <c r="A288" s="4" t="s">
        <v>534</v>
      </c>
      <c r="B288" s="4" t="s">
        <v>81</v>
      </c>
      <c r="C288" s="4" t="s">
        <v>405</v>
      </c>
      <c r="D288" s="4" t="s">
        <v>20</v>
      </c>
      <c r="E288" s="4" t="s">
        <v>1045</v>
      </c>
      <c r="F288" s="4" t="s">
        <v>407</v>
      </c>
      <c r="G288" s="4" t="s">
        <v>1055</v>
      </c>
      <c r="H288" s="4" t="s">
        <v>24</v>
      </c>
      <c r="I288" s="4" t="s">
        <v>25</v>
      </c>
      <c r="K288" s="4" t="s">
        <v>26</v>
      </c>
      <c r="L288" s="4" t="s">
        <v>1056</v>
      </c>
      <c r="O288" s="4" t="s">
        <v>1057</v>
      </c>
      <c r="P288" s="5">
        <f>DATE(2022,4,27)</f>
        <v>44678</v>
      </c>
      <c r="Q288" s="4" t="s">
        <v>1058</v>
      </c>
      <c r="R288" s="5">
        <f>DATE(2021,5,18)</f>
        <v>44334</v>
      </c>
    </row>
    <row r="289" spans="1:28" ht="55.05" customHeight="1" x14ac:dyDescent="0.3">
      <c r="A289" s="4" t="s">
        <v>534</v>
      </c>
      <c r="B289" s="4" t="s">
        <v>81</v>
      </c>
      <c r="C289" s="4" t="s">
        <v>405</v>
      </c>
      <c r="D289" s="4" t="s">
        <v>20</v>
      </c>
      <c r="E289" s="4" t="s">
        <v>1045</v>
      </c>
      <c r="F289" s="4" t="s">
        <v>407</v>
      </c>
      <c r="G289" s="4" t="s">
        <v>1059</v>
      </c>
      <c r="H289" s="4" t="s">
        <v>24</v>
      </c>
      <c r="I289" s="4" t="s">
        <v>25</v>
      </c>
      <c r="K289" s="4" t="s">
        <v>26</v>
      </c>
      <c r="L289" s="4" t="s">
        <v>1060</v>
      </c>
      <c r="O289" s="4" t="s">
        <v>1061</v>
      </c>
      <c r="P289" s="5">
        <f>DATE(2023,4,15)</f>
        <v>45031</v>
      </c>
      <c r="Q289" s="4" t="s">
        <v>125</v>
      </c>
      <c r="R289" s="5">
        <f>DATE(2020,7,21)</f>
        <v>44033</v>
      </c>
    </row>
    <row r="290" spans="1:28" ht="55.05" customHeight="1" x14ac:dyDescent="0.3">
      <c r="A290" s="4" t="s">
        <v>534</v>
      </c>
      <c r="B290" s="4" t="s">
        <v>81</v>
      </c>
      <c r="C290" s="4" t="s">
        <v>405</v>
      </c>
      <c r="D290" s="4" t="s">
        <v>20</v>
      </c>
      <c r="E290" s="4" t="s">
        <v>1045</v>
      </c>
      <c r="F290" s="4" t="s">
        <v>407</v>
      </c>
      <c r="G290" s="4" t="s">
        <v>1062</v>
      </c>
      <c r="H290" s="4" t="s">
        <v>24</v>
      </c>
      <c r="I290" s="4" t="s">
        <v>25</v>
      </c>
      <c r="K290" s="4" t="s">
        <v>26</v>
      </c>
      <c r="L290" s="4" t="s">
        <v>1063</v>
      </c>
      <c r="O290" s="4" t="s">
        <v>1064</v>
      </c>
      <c r="P290" s="5">
        <f>DATE(2023,12,15)</f>
        <v>45275</v>
      </c>
      <c r="Q290" s="4" t="s">
        <v>1048</v>
      </c>
      <c r="R290" s="5">
        <f>DATE(2022,6,16)</f>
        <v>44728</v>
      </c>
      <c r="S290" s="4" t="s">
        <v>372</v>
      </c>
      <c r="T290" s="5">
        <f>DATE(2020,7,21)</f>
        <v>44033</v>
      </c>
    </row>
    <row r="291" spans="1:28" ht="55.05" customHeight="1" x14ac:dyDescent="0.3">
      <c r="A291" s="4" t="s">
        <v>534</v>
      </c>
      <c r="B291" s="4" t="s">
        <v>81</v>
      </c>
      <c r="C291" s="4" t="s">
        <v>405</v>
      </c>
      <c r="D291" s="4" t="s">
        <v>20</v>
      </c>
      <c r="E291" s="4" t="s">
        <v>1045</v>
      </c>
      <c r="F291" s="4" t="s">
        <v>407</v>
      </c>
      <c r="G291" s="4" t="s">
        <v>1065</v>
      </c>
      <c r="H291" s="4" t="s">
        <v>24</v>
      </c>
      <c r="I291" s="4" t="s">
        <v>25</v>
      </c>
      <c r="K291" s="4" t="s">
        <v>26</v>
      </c>
      <c r="L291" s="4" t="s">
        <v>1066</v>
      </c>
      <c r="O291" s="4" t="s">
        <v>1048</v>
      </c>
      <c r="P291" s="5">
        <f>DATE(2022,6,16)</f>
        <v>44728</v>
      </c>
      <c r="Q291" s="4" t="s">
        <v>125</v>
      </c>
      <c r="R291" s="5">
        <f>DATE(2020,7,21)</f>
        <v>44033</v>
      </c>
    </row>
    <row r="292" spans="1:28" ht="55.05" customHeight="1" x14ac:dyDescent="0.3">
      <c r="A292" s="4" t="s">
        <v>534</v>
      </c>
      <c r="B292" s="4" t="s">
        <v>81</v>
      </c>
      <c r="C292" s="4" t="s">
        <v>405</v>
      </c>
      <c r="D292" s="4" t="s">
        <v>20</v>
      </c>
      <c r="E292" s="4" t="s">
        <v>1067</v>
      </c>
      <c r="F292" s="4" t="s">
        <v>407</v>
      </c>
      <c r="G292" s="4" t="s">
        <v>1068</v>
      </c>
      <c r="H292" s="4" t="s">
        <v>24</v>
      </c>
      <c r="I292" s="4" t="s">
        <v>25</v>
      </c>
      <c r="K292" s="4" t="s">
        <v>26</v>
      </c>
      <c r="L292" s="4" t="s">
        <v>1069</v>
      </c>
      <c r="O292" s="4" t="s">
        <v>1070</v>
      </c>
      <c r="P292" s="5">
        <f>DATE(2023,11,24)</f>
        <v>45254</v>
      </c>
      <c r="Q292" s="4" t="s">
        <v>1071</v>
      </c>
      <c r="R292" s="5">
        <f>DATE(2023,7,25)</f>
        <v>45132</v>
      </c>
      <c r="S292" s="4" t="s">
        <v>1072</v>
      </c>
      <c r="T292" s="5">
        <f>DATE(2023,6,27)</f>
        <v>45104</v>
      </c>
      <c r="U292" s="4" t="s">
        <v>1073</v>
      </c>
      <c r="V292" s="5">
        <f>DATE(2023,6,2)</f>
        <v>45079</v>
      </c>
      <c r="W292" s="4" t="s">
        <v>1074</v>
      </c>
      <c r="X292" s="5">
        <f>DATE(2023,2,27)</f>
        <v>44984</v>
      </c>
      <c r="Y292" s="4" t="s">
        <v>1075</v>
      </c>
      <c r="Z292" s="5">
        <f>DATE(2022,12,16)</f>
        <v>44911</v>
      </c>
      <c r="AA292" s="4" t="s">
        <v>1076</v>
      </c>
      <c r="AB292" s="5">
        <f>DATE(2022,8,29)</f>
        <v>44802</v>
      </c>
    </row>
    <row r="293" spans="1:28" ht="55.05" customHeight="1" x14ac:dyDescent="0.3">
      <c r="A293" s="4" t="s">
        <v>534</v>
      </c>
      <c r="B293" s="4" t="s">
        <v>81</v>
      </c>
      <c r="C293" s="4" t="s">
        <v>405</v>
      </c>
      <c r="D293" s="4" t="s">
        <v>20</v>
      </c>
      <c r="E293" s="4" t="s">
        <v>1067</v>
      </c>
      <c r="F293" s="4" t="s">
        <v>407</v>
      </c>
      <c r="G293" s="4" t="s">
        <v>1077</v>
      </c>
      <c r="H293" s="4" t="s">
        <v>24</v>
      </c>
      <c r="I293" s="4" t="s">
        <v>25</v>
      </c>
      <c r="K293" s="4" t="s">
        <v>26</v>
      </c>
      <c r="L293" s="4" t="s">
        <v>1078</v>
      </c>
      <c r="O293" s="4" t="s">
        <v>1079</v>
      </c>
      <c r="P293" s="5">
        <f>DATE(2023,12,15)</f>
        <v>45275</v>
      </c>
      <c r="Q293" s="4" t="s">
        <v>1080</v>
      </c>
      <c r="R293" s="5">
        <f>DATE(2023,11,28)</f>
        <v>45258</v>
      </c>
      <c r="S293" s="4" t="s">
        <v>1081</v>
      </c>
      <c r="T293" s="5">
        <f>DATE(2023,10,30)</f>
        <v>45229</v>
      </c>
      <c r="U293" s="4" t="s">
        <v>1082</v>
      </c>
      <c r="V293" s="5">
        <f>DATE(2023,9,8)</f>
        <v>45177</v>
      </c>
      <c r="W293" s="4" t="s">
        <v>1083</v>
      </c>
      <c r="X293" s="5">
        <f>DATE(2023,7,25)</f>
        <v>45132</v>
      </c>
      <c r="Y293" s="4" t="s">
        <v>1084</v>
      </c>
      <c r="Z293" s="5">
        <f>DATE(2023,5,30)</f>
        <v>45076</v>
      </c>
      <c r="AA293" s="4" t="s">
        <v>1085</v>
      </c>
      <c r="AB293" s="5">
        <f>DATE(2023,5,26)</f>
        <v>45072</v>
      </c>
    </row>
    <row r="294" spans="1:28" ht="55.05" customHeight="1" x14ac:dyDescent="0.3">
      <c r="A294" s="4" t="s">
        <v>534</v>
      </c>
      <c r="B294" s="4" t="s">
        <v>81</v>
      </c>
      <c r="C294" s="4" t="s">
        <v>405</v>
      </c>
      <c r="D294" s="4" t="s">
        <v>20</v>
      </c>
      <c r="E294" s="4" t="s">
        <v>1067</v>
      </c>
      <c r="F294" s="4" t="s">
        <v>407</v>
      </c>
      <c r="G294" s="4" t="s">
        <v>1086</v>
      </c>
      <c r="H294" s="4" t="s">
        <v>24</v>
      </c>
      <c r="I294" s="4" t="s">
        <v>25</v>
      </c>
      <c r="K294" s="4" t="s">
        <v>26</v>
      </c>
      <c r="L294" s="4" t="s">
        <v>1087</v>
      </c>
      <c r="O294" s="4" t="s">
        <v>1088</v>
      </c>
      <c r="P294" s="5">
        <f>DATE(2023,2,27)</f>
        <v>44984</v>
      </c>
      <c r="Q294" s="4" t="s">
        <v>1076</v>
      </c>
      <c r="R294" s="5">
        <f>DATE(2022,8,29)</f>
        <v>44802</v>
      </c>
      <c r="S294" s="4" t="s">
        <v>1089</v>
      </c>
      <c r="T294" s="5">
        <f>DATE(2022,5,30)</f>
        <v>44711</v>
      </c>
      <c r="U294" s="4" t="s">
        <v>1090</v>
      </c>
      <c r="V294" s="5">
        <f>DATE(2021,12,17)</f>
        <v>44547</v>
      </c>
    </row>
    <row r="295" spans="1:28" ht="55.05" customHeight="1" x14ac:dyDescent="0.3">
      <c r="A295" s="4" t="s">
        <v>534</v>
      </c>
      <c r="B295" s="4" t="s">
        <v>81</v>
      </c>
      <c r="C295" s="4" t="s">
        <v>405</v>
      </c>
      <c r="D295" s="4" t="s">
        <v>20</v>
      </c>
      <c r="E295" s="4" t="s">
        <v>1067</v>
      </c>
      <c r="F295" s="4" t="s">
        <v>407</v>
      </c>
      <c r="G295" s="4" t="s">
        <v>1091</v>
      </c>
      <c r="H295" s="4" t="s">
        <v>24</v>
      </c>
      <c r="I295" s="4" t="s">
        <v>25</v>
      </c>
      <c r="K295" s="4" t="s">
        <v>26</v>
      </c>
      <c r="L295" s="4" t="s">
        <v>1092</v>
      </c>
      <c r="O295" s="4" t="s">
        <v>1093</v>
      </c>
      <c r="P295" s="5">
        <f>DATE(2022,5,24)</f>
        <v>44705</v>
      </c>
      <c r="Q295" s="4" t="s">
        <v>1094</v>
      </c>
      <c r="R295" s="5">
        <f>DATE(2021,10,21)</f>
        <v>44490</v>
      </c>
    </row>
    <row r="296" spans="1:28" ht="55.05" customHeight="1" x14ac:dyDescent="0.3">
      <c r="A296" s="4" t="s">
        <v>534</v>
      </c>
      <c r="B296" s="4" t="s">
        <v>81</v>
      </c>
      <c r="C296" s="4" t="s">
        <v>405</v>
      </c>
      <c r="D296" s="4" t="s">
        <v>20</v>
      </c>
      <c r="E296" s="4" t="s">
        <v>1067</v>
      </c>
      <c r="F296" s="4" t="s">
        <v>407</v>
      </c>
      <c r="G296" s="4" t="s">
        <v>1095</v>
      </c>
      <c r="H296" s="4" t="s">
        <v>24</v>
      </c>
      <c r="I296" s="4" t="s">
        <v>25</v>
      </c>
      <c r="K296" s="4" t="s">
        <v>26</v>
      </c>
      <c r="L296" s="4" t="s">
        <v>1096</v>
      </c>
      <c r="O296" s="4" t="s">
        <v>1097</v>
      </c>
      <c r="P296" s="5">
        <f>DATE(2023,4,12)</f>
        <v>45028</v>
      </c>
      <c r="Q296" s="4" t="s">
        <v>1098</v>
      </c>
      <c r="R296" s="5">
        <f>DATE(2023,3,30)</f>
        <v>45015</v>
      </c>
      <c r="S296" s="4" t="s">
        <v>1093</v>
      </c>
      <c r="T296" s="5">
        <f>DATE(2022,5,24)</f>
        <v>44705</v>
      </c>
      <c r="U296" s="4" t="s">
        <v>125</v>
      </c>
      <c r="V296" s="5">
        <f>DATE(2020,7,21)</f>
        <v>44033</v>
      </c>
    </row>
    <row r="297" spans="1:28" ht="55.05" customHeight="1" x14ac:dyDescent="0.3">
      <c r="A297" s="4" t="s">
        <v>534</v>
      </c>
      <c r="B297" s="4" t="s">
        <v>81</v>
      </c>
      <c r="C297" s="4" t="s">
        <v>405</v>
      </c>
      <c r="D297" s="4" t="s">
        <v>20</v>
      </c>
      <c r="E297" s="4" t="s">
        <v>1067</v>
      </c>
      <c r="F297" s="4" t="s">
        <v>407</v>
      </c>
      <c r="G297" s="4" t="s">
        <v>1099</v>
      </c>
      <c r="H297" s="4" t="s">
        <v>24</v>
      </c>
      <c r="I297" s="4" t="s">
        <v>25</v>
      </c>
      <c r="K297" s="4" t="s">
        <v>26</v>
      </c>
      <c r="L297" s="4" t="s">
        <v>1100</v>
      </c>
      <c r="O297" s="4" t="s">
        <v>1101</v>
      </c>
      <c r="P297" s="5">
        <f>DATE(2023,4,30)</f>
        <v>45046</v>
      </c>
      <c r="Q297" s="4" t="s">
        <v>1089</v>
      </c>
      <c r="R297" s="5">
        <f>DATE(2022,5,30)</f>
        <v>44711</v>
      </c>
      <c r="S297" s="4" t="s">
        <v>1102</v>
      </c>
      <c r="T297" s="5">
        <f>DATE(2021,1,25)</f>
        <v>44221</v>
      </c>
    </row>
    <row r="298" spans="1:28" ht="55.05" customHeight="1" x14ac:dyDescent="0.3">
      <c r="A298" s="4" t="s">
        <v>534</v>
      </c>
      <c r="B298" s="4" t="s">
        <v>81</v>
      </c>
      <c r="C298" s="4" t="s">
        <v>405</v>
      </c>
      <c r="D298" s="4" t="s">
        <v>20</v>
      </c>
      <c r="E298" s="4" t="s">
        <v>1067</v>
      </c>
      <c r="F298" s="4" t="s">
        <v>407</v>
      </c>
      <c r="G298" s="4" t="s">
        <v>1103</v>
      </c>
      <c r="H298" s="4" t="s">
        <v>24</v>
      </c>
      <c r="I298" s="4" t="s">
        <v>25</v>
      </c>
      <c r="K298" s="4" t="s">
        <v>26</v>
      </c>
      <c r="L298" s="4" t="s">
        <v>1104</v>
      </c>
      <c r="O298" s="4" t="s">
        <v>1085</v>
      </c>
      <c r="P298" s="5">
        <f>DATE(2023,5,26)</f>
        <v>45072</v>
      </c>
      <c r="Q298" s="4" t="s">
        <v>1105</v>
      </c>
      <c r="R298" s="5">
        <f>DATE(2023,4,26)</f>
        <v>45042</v>
      </c>
      <c r="S298" s="4" t="s">
        <v>1106</v>
      </c>
      <c r="T298" s="5">
        <f>DATE(2022,5,12)</f>
        <v>44693</v>
      </c>
      <c r="U298" s="4" t="s">
        <v>1107</v>
      </c>
      <c r="V298" s="5">
        <f>DATE(2022,2,15)</f>
        <v>44607</v>
      </c>
      <c r="W298" s="4" t="s">
        <v>1108</v>
      </c>
      <c r="X298" s="5">
        <f>DATE(2021,5,18)</f>
        <v>44334</v>
      </c>
    </row>
    <row r="299" spans="1:28" ht="55.05" customHeight="1" x14ac:dyDescent="0.3">
      <c r="A299" s="4" t="s">
        <v>534</v>
      </c>
      <c r="B299" s="4" t="s">
        <v>81</v>
      </c>
      <c r="C299" s="4" t="s">
        <v>405</v>
      </c>
      <c r="D299" s="4" t="s">
        <v>20</v>
      </c>
      <c r="E299" s="4" t="s">
        <v>1067</v>
      </c>
      <c r="F299" s="4" t="s">
        <v>407</v>
      </c>
      <c r="G299" s="4" t="s">
        <v>1109</v>
      </c>
      <c r="H299" s="4" t="s">
        <v>24</v>
      </c>
      <c r="I299" s="4" t="s">
        <v>25</v>
      </c>
      <c r="K299" s="4" t="s">
        <v>26</v>
      </c>
      <c r="L299" s="4" t="s">
        <v>1110</v>
      </c>
      <c r="O299" s="4" t="s">
        <v>1111</v>
      </c>
      <c r="P299" s="5">
        <f>DATE(2022,11,14)</f>
        <v>44879</v>
      </c>
      <c r="Q299" s="4" t="s">
        <v>1089</v>
      </c>
      <c r="R299" s="5">
        <f>DATE(2022,5,30)</f>
        <v>44711</v>
      </c>
      <c r="S299" s="4" t="s">
        <v>1112</v>
      </c>
      <c r="T299" s="5">
        <f>DATE(2021,9,10)</f>
        <v>44449</v>
      </c>
    </row>
    <row r="300" spans="1:28" ht="55.05" customHeight="1" x14ac:dyDescent="0.3">
      <c r="A300" s="4" t="s">
        <v>534</v>
      </c>
      <c r="B300" s="4" t="s">
        <v>81</v>
      </c>
      <c r="C300" s="4" t="s">
        <v>405</v>
      </c>
      <c r="D300" s="4" t="s">
        <v>20</v>
      </c>
      <c r="E300" s="4" t="s">
        <v>1067</v>
      </c>
      <c r="F300" s="4" t="s">
        <v>407</v>
      </c>
      <c r="G300" s="4" t="s">
        <v>1113</v>
      </c>
      <c r="H300" s="4" t="s">
        <v>24</v>
      </c>
      <c r="I300" s="4" t="s">
        <v>25</v>
      </c>
      <c r="K300" s="4" t="s">
        <v>26</v>
      </c>
      <c r="L300" s="4" t="s">
        <v>1114</v>
      </c>
      <c r="O300" s="4" t="s">
        <v>1079</v>
      </c>
      <c r="P300" s="5">
        <f>DATE(2023,12,15)</f>
        <v>45275</v>
      </c>
      <c r="Q300" s="4" t="s">
        <v>1115</v>
      </c>
      <c r="R300" s="5">
        <f>DATE(2021,12,6)</f>
        <v>44536</v>
      </c>
    </row>
    <row r="301" spans="1:28" ht="55.05" customHeight="1" x14ac:dyDescent="0.3">
      <c r="A301" s="4" t="s">
        <v>534</v>
      </c>
      <c r="B301" s="4" t="s">
        <v>81</v>
      </c>
      <c r="C301" s="4" t="s">
        <v>405</v>
      </c>
      <c r="D301" s="4" t="s">
        <v>20</v>
      </c>
      <c r="E301" s="4" t="s">
        <v>1067</v>
      </c>
      <c r="F301" s="4" t="s">
        <v>407</v>
      </c>
      <c r="G301" s="4" t="s">
        <v>1116</v>
      </c>
      <c r="H301" s="4" t="s">
        <v>32</v>
      </c>
      <c r="I301" s="4" t="s">
        <v>25</v>
      </c>
      <c r="J301" s="5">
        <f>DATE(2022,6,30)</f>
        <v>44742</v>
      </c>
      <c r="K301" s="4" t="s">
        <v>26</v>
      </c>
      <c r="L301" s="4" t="s">
        <v>1117</v>
      </c>
      <c r="O301" s="4" t="s">
        <v>1118</v>
      </c>
      <c r="P301" s="5">
        <f>DATE(2022,6,27)</f>
        <v>44739</v>
      </c>
      <c r="Q301" s="4" t="s">
        <v>562</v>
      </c>
      <c r="R301" s="5">
        <f>DATE(2020,11,12)</f>
        <v>44147</v>
      </c>
    </row>
    <row r="302" spans="1:28" ht="55.05" customHeight="1" x14ac:dyDescent="0.3">
      <c r="A302" s="4" t="s">
        <v>534</v>
      </c>
      <c r="B302" s="4" t="s">
        <v>81</v>
      </c>
      <c r="C302" s="4" t="s">
        <v>405</v>
      </c>
      <c r="D302" s="4" t="s">
        <v>20</v>
      </c>
      <c r="E302" s="4" t="s">
        <v>1067</v>
      </c>
      <c r="F302" s="4" t="s">
        <v>407</v>
      </c>
      <c r="G302" s="4" t="s">
        <v>1119</v>
      </c>
      <c r="H302" s="4" t="s">
        <v>24</v>
      </c>
      <c r="I302" s="4" t="s">
        <v>25</v>
      </c>
      <c r="K302" s="4" t="s">
        <v>26</v>
      </c>
      <c r="L302" s="4" t="s">
        <v>1120</v>
      </c>
      <c r="O302" s="4" t="s">
        <v>1121</v>
      </c>
      <c r="P302" s="5">
        <f>DATE(2022,7,15)</f>
        <v>44757</v>
      </c>
      <c r="Q302" s="4" t="s">
        <v>1089</v>
      </c>
      <c r="R302" s="5">
        <f>DATE(2022,5,30)</f>
        <v>44711</v>
      </c>
      <c r="S302" s="4" t="s">
        <v>1122</v>
      </c>
      <c r="T302" s="5">
        <f>DATE(2021,10,13)</f>
        <v>44482</v>
      </c>
    </row>
    <row r="303" spans="1:28" ht="55.05" customHeight="1" x14ac:dyDescent="0.3">
      <c r="A303" s="4" t="s">
        <v>534</v>
      </c>
      <c r="B303" s="4" t="s">
        <v>81</v>
      </c>
      <c r="C303" s="4" t="s">
        <v>405</v>
      </c>
      <c r="D303" s="4" t="s">
        <v>20</v>
      </c>
      <c r="E303" s="4" t="s">
        <v>1067</v>
      </c>
      <c r="F303" s="4" t="s">
        <v>407</v>
      </c>
      <c r="G303" s="4" t="s">
        <v>1123</v>
      </c>
      <c r="H303" s="4" t="s">
        <v>32</v>
      </c>
      <c r="I303" s="4" t="s">
        <v>1124</v>
      </c>
      <c r="J303" s="5">
        <f>DATE(2023,8,31)</f>
        <v>45169</v>
      </c>
      <c r="K303" s="4" t="s">
        <v>26</v>
      </c>
      <c r="L303" s="4" t="s">
        <v>1125</v>
      </c>
      <c r="O303" s="4" t="s">
        <v>1126</v>
      </c>
      <c r="P303" s="5">
        <f>DATE(2023,8,31)</f>
        <v>45169</v>
      </c>
      <c r="Q303" s="4" t="s">
        <v>1126</v>
      </c>
      <c r="R303" s="5">
        <f>DATE(2023,8,31)</f>
        <v>45169</v>
      </c>
      <c r="S303" s="4" t="s">
        <v>1094</v>
      </c>
      <c r="T303" s="5">
        <f>DATE(2021,10,21)</f>
        <v>44490</v>
      </c>
    </row>
    <row r="304" spans="1:28" ht="55.05" customHeight="1" x14ac:dyDescent="0.3">
      <c r="A304" s="4" t="s">
        <v>534</v>
      </c>
      <c r="B304" s="4" t="s">
        <v>81</v>
      </c>
      <c r="C304" s="4" t="s">
        <v>405</v>
      </c>
      <c r="D304" s="4" t="s">
        <v>20</v>
      </c>
      <c r="E304" s="4" t="s">
        <v>1067</v>
      </c>
      <c r="F304" s="4" t="s">
        <v>407</v>
      </c>
      <c r="G304" s="4" t="s">
        <v>1127</v>
      </c>
      <c r="H304" s="4" t="s">
        <v>24</v>
      </c>
      <c r="I304" s="4" t="s">
        <v>25</v>
      </c>
      <c r="K304" s="4" t="s">
        <v>26</v>
      </c>
      <c r="L304" s="4" t="s">
        <v>1128</v>
      </c>
      <c r="O304" s="4" t="s">
        <v>1129</v>
      </c>
      <c r="P304" s="5">
        <f>DATE(2023,10,30)</f>
        <v>45229</v>
      </c>
      <c r="Q304" s="4" t="s">
        <v>1082</v>
      </c>
      <c r="R304" s="5">
        <f>DATE(2023,9,8)</f>
        <v>45177</v>
      </c>
      <c r="S304" s="4" t="s">
        <v>1085</v>
      </c>
      <c r="T304" s="5">
        <f>DATE(2023,5,26)</f>
        <v>45072</v>
      </c>
      <c r="U304" s="4" t="s">
        <v>1130</v>
      </c>
      <c r="V304" s="5">
        <f>DATE(2022,12,15)</f>
        <v>44910</v>
      </c>
      <c r="W304" s="4" t="s">
        <v>1131</v>
      </c>
      <c r="X304" s="5">
        <f>DATE(2022,9,29)</f>
        <v>44833</v>
      </c>
      <c r="Y304" s="4" t="s">
        <v>1076</v>
      </c>
      <c r="Z304" s="5">
        <f>DATE(2022,8,29)</f>
        <v>44802</v>
      </c>
      <c r="AA304" s="4" t="s">
        <v>1132</v>
      </c>
      <c r="AB304" s="5">
        <f>DATE(2022,7,15)</f>
        <v>44757</v>
      </c>
    </row>
    <row r="305" spans="1:28" ht="55.05" customHeight="1" x14ac:dyDescent="0.3">
      <c r="A305" s="4" t="s">
        <v>534</v>
      </c>
      <c r="B305" s="4" t="s">
        <v>81</v>
      </c>
      <c r="C305" s="4" t="s">
        <v>405</v>
      </c>
      <c r="D305" s="4" t="s">
        <v>20</v>
      </c>
      <c r="E305" s="4" t="s">
        <v>1067</v>
      </c>
      <c r="F305" s="4" t="s">
        <v>407</v>
      </c>
      <c r="G305" s="4" t="s">
        <v>1133</v>
      </c>
      <c r="H305" s="4" t="s">
        <v>24</v>
      </c>
      <c r="I305" s="4" t="s">
        <v>25</v>
      </c>
      <c r="K305" s="4" t="s">
        <v>26</v>
      </c>
      <c r="L305" s="4" t="s">
        <v>1134</v>
      </c>
      <c r="O305" s="4" t="s">
        <v>1135</v>
      </c>
      <c r="P305" s="5">
        <f>DATE(2023,4,26)</f>
        <v>45042</v>
      </c>
      <c r="Q305" s="4" t="s">
        <v>1106</v>
      </c>
      <c r="R305" s="5">
        <f>DATE(2022,5,12)</f>
        <v>44693</v>
      </c>
      <c r="S305" s="4" t="s">
        <v>1136</v>
      </c>
      <c r="T305" s="5">
        <f>DATE(2021,12,27)</f>
        <v>44557</v>
      </c>
    </row>
    <row r="306" spans="1:28" ht="55.05" customHeight="1" x14ac:dyDescent="0.3">
      <c r="A306" s="4" t="s">
        <v>534</v>
      </c>
      <c r="B306" s="4" t="s">
        <v>81</v>
      </c>
      <c r="C306" s="4" t="s">
        <v>405</v>
      </c>
      <c r="D306" s="4" t="s">
        <v>20</v>
      </c>
      <c r="E306" s="4" t="s">
        <v>1067</v>
      </c>
      <c r="F306" s="4" t="s">
        <v>407</v>
      </c>
      <c r="G306" s="4" t="s">
        <v>1137</v>
      </c>
      <c r="H306" s="4" t="s">
        <v>24</v>
      </c>
      <c r="I306" s="4" t="s">
        <v>25</v>
      </c>
      <c r="K306" s="4" t="s">
        <v>26</v>
      </c>
      <c r="L306" s="4" t="s">
        <v>1138</v>
      </c>
      <c r="O306" s="4" t="s">
        <v>1139</v>
      </c>
      <c r="P306" s="5">
        <f>DATE(2023,8,25)</f>
        <v>45163</v>
      </c>
      <c r="Q306" s="4" t="s">
        <v>1140</v>
      </c>
      <c r="R306" s="5">
        <f>DATE(2023,5,31)</f>
        <v>45077</v>
      </c>
      <c r="S306" s="4" t="s">
        <v>1089</v>
      </c>
      <c r="T306" s="5">
        <f>DATE(2022,5,30)</f>
        <v>44711</v>
      </c>
      <c r="U306" s="4" t="s">
        <v>125</v>
      </c>
      <c r="V306" s="5">
        <f>DATE(2020,7,21)</f>
        <v>44033</v>
      </c>
    </row>
    <row r="307" spans="1:28" ht="55.05" customHeight="1" x14ac:dyDescent="0.3">
      <c r="A307" s="4" t="s">
        <v>534</v>
      </c>
      <c r="B307" s="4" t="s">
        <v>81</v>
      </c>
      <c r="C307" s="4" t="s">
        <v>405</v>
      </c>
      <c r="D307" s="4" t="s">
        <v>20</v>
      </c>
      <c r="E307" s="4" t="s">
        <v>1067</v>
      </c>
      <c r="F307" s="4" t="s">
        <v>407</v>
      </c>
      <c r="G307" s="4" t="s">
        <v>1141</v>
      </c>
      <c r="H307" s="4" t="s">
        <v>24</v>
      </c>
      <c r="I307" s="4" t="s">
        <v>25</v>
      </c>
      <c r="K307" s="4" t="s">
        <v>26</v>
      </c>
      <c r="L307" s="4" t="s">
        <v>1142</v>
      </c>
      <c r="O307" s="4" t="s">
        <v>1106</v>
      </c>
      <c r="P307" s="5">
        <f>DATE(2022,5,12)</f>
        <v>44693</v>
      </c>
      <c r="Q307" s="4" t="s">
        <v>1143</v>
      </c>
      <c r="R307" s="5">
        <f>DATE(2021,8,31)</f>
        <v>44439</v>
      </c>
    </row>
    <row r="308" spans="1:28" ht="55.05" customHeight="1" x14ac:dyDescent="0.3">
      <c r="A308" s="4" t="s">
        <v>534</v>
      </c>
      <c r="B308" s="4" t="s">
        <v>81</v>
      </c>
      <c r="C308" s="4" t="s">
        <v>405</v>
      </c>
      <c r="D308" s="4" t="s">
        <v>20</v>
      </c>
      <c r="E308" s="4" t="s">
        <v>1067</v>
      </c>
      <c r="F308" s="4" t="s">
        <v>407</v>
      </c>
      <c r="G308" s="4" t="s">
        <v>1144</v>
      </c>
      <c r="H308" s="4" t="s">
        <v>24</v>
      </c>
      <c r="I308" s="4" t="s">
        <v>25</v>
      </c>
      <c r="K308" s="4" t="s">
        <v>26</v>
      </c>
      <c r="L308" s="4" t="s">
        <v>1145</v>
      </c>
      <c r="O308" s="4" t="s">
        <v>1135</v>
      </c>
      <c r="P308" s="5">
        <f>DATE(2023,4,26)</f>
        <v>45042</v>
      </c>
      <c r="Q308" s="4" t="s">
        <v>1093</v>
      </c>
      <c r="R308" s="5">
        <f>DATE(2022,5,24)</f>
        <v>44705</v>
      </c>
      <c r="S308" s="4" t="s">
        <v>125</v>
      </c>
      <c r="T308" s="5">
        <f>DATE(2020,7,21)</f>
        <v>44033</v>
      </c>
    </row>
    <row r="309" spans="1:28" ht="55.05" customHeight="1" x14ac:dyDescent="0.3">
      <c r="A309" s="4" t="s">
        <v>534</v>
      </c>
      <c r="B309" s="4" t="s">
        <v>81</v>
      </c>
      <c r="C309" s="4" t="s">
        <v>405</v>
      </c>
      <c r="D309" s="4" t="s">
        <v>20</v>
      </c>
      <c r="E309" s="4" t="s">
        <v>1067</v>
      </c>
      <c r="F309" s="4" t="s">
        <v>407</v>
      </c>
      <c r="G309" s="4" t="s">
        <v>1146</v>
      </c>
      <c r="H309" s="4" t="s">
        <v>24</v>
      </c>
      <c r="I309" s="4" t="s">
        <v>25</v>
      </c>
      <c r="K309" s="4" t="s">
        <v>26</v>
      </c>
      <c r="L309" s="4" t="s">
        <v>1147</v>
      </c>
      <c r="O309" s="4" t="s">
        <v>1140</v>
      </c>
      <c r="P309" s="5">
        <f>DATE(2023,5,31)</f>
        <v>45077</v>
      </c>
      <c r="Q309" s="4" t="s">
        <v>1106</v>
      </c>
      <c r="R309" s="5">
        <f>DATE(2022,5,12)</f>
        <v>44693</v>
      </c>
      <c r="S309" s="4" t="s">
        <v>1136</v>
      </c>
      <c r="T309" s="5">
        <f>DATE(2021,12,27)</f>
        <v>44557</v>
      </c>
    </row>
    <row r="310" spans="1:28" ht="55.05" customHeight="1" x14ac:dyDescent="0.3">
      <c r="A310" s="4" t="s">
        <v>534</v>
      </c>
      <c r="B310" s="4" t="s">
        <v>81</v>
      </c>
      <c r="C310" s="4" t="s">
        <v>405</v>
      </c>
      <c r="D310" s="4" t="s">
        <v>20</v>
      </c>
      <c r="E310" s="4" t="s">
        <v>1067</v>
      </c>
      <c r="F310" s="4" t="s">
        <v>407</v>
      </c>
      <c r="G310" s="4" t="s">
        <v>1148</v>
      </c>
      <c r="H310" s="4" t="s">
        <v>24</v>
      </c>
      <c r="I310" s="4" t="s">
        <v>25</v>
      </c>
      <c r="K310" s="4" t="s">
        <v>26</v>
      </c>
      <c r="L310" s="4" t="s">
        <v>1149</v>
      </c>
      <c r="O310" s="4" t="s">
        <v>1150</v>
      </c>
      <c r="P310" s="5">
        <f>DATE(2023,10,23)</f>
        <v>45222</v>
      </c>
      <c r="Q310" s="4" t="s">
        <v>1151</v>
      </c>
      <c r="R310" s="5">
        <f>DATE(2023,8,23)</f>
        <v>45161</v>
      </c>
      <c r="S310" s="4" t="s">
        <v>1152</v>
      </c>
      <c r="T310" s="5">
        <f>DATE(2023,8,1)</f>
        <v>45139</v>
      </c>
      <c r="U310" s="4" t="s">
        <v>1084</v>
      </c>
      <c r="V310" s="5">
        <f>DATE(2023,5,30)</f>
        <v>45076</v>
      </c>
      <c r="W310" s="4" t="s">
        <v>1085</v>
      </c>
      <c r="X310" s="5">
        <f>DATE(2023,5,26)</f>
        <v>45072</v>
      </c>
      <c r="Y310" s="4" t="s">
        <v>1153</v>
      </c>
      <c r="Z310" s="5">
        <f>DATE(2023,3,14)</f>
        <v>44999</v>
      </c>
      <c r="AA310" s="4" t="s">
        <v>1154</v>
      </c>
      <c r="AB310" s="5">
        <f>DATE(2023,3,7)</f>
        <v>44992</v>
      </c>
    </row>
    <row r="311" spans="1:28" ht="55.05" customHeight="1" x14ac:dyDescent="0.3">
      <c r="A311" s="4" t="s">
        <v>534</v>
      </c>
      <c r="B311" s="4" t="s">
        <v>81</v>
      </c>
      <c r="C311" s="4" t="s">
        <v>405</v>
      </c>
      <c r="D311" s="4" t="s">
        <v>20</v>
      </c>
      <c r="E311" s="4" t="s">
        <v>406</v>
      </c>
      <c r="F311" s="4" t="s">
        <v>407</v>
      </c>
      <c r="G311" s="4" t="s">
        <v>1155</v>
      </c>
      <c r="H311" s="4" t="s">
        <v>24</v>
      </c>
      <c r="I311" s="4" t="s">
        <v>25</v>
      </c>
      <c r="K311" s="4" t="s">
        <v>26</v>
      </c>
      <c r="L311" s="4" t="s">
        <v>1156</v>
      </c>
      <c r="O311" s="4" t="s">
        <v>1157</v>
      </c>
      <c r="P311" s="5">
        <f>DATE(2022,6,30)</f>
        <v>44742</v>
      </c>
      <c r="Q311" s="4" t="s">
        <v>125</v>
      </c>
      <c r="R311" s="5">
        <f>DATE(2020,7,21)</f>
        <v>44033</v>
      </c>
    </row>
    <row r="312" spans="1:28" ht="55.05" customHeight="1" x14ac:dyDescent="0.3">
      <c r="A312" s="4" t="s">
        <v>534</v>
      </c>
      <c r="B312" s="4" t="s">
        <v>81</v>
      </c>
      <c r="C312" s="4" t="s">
        <v>405</v>
      </c>
      <c r="D312" s="4" t="s">
        <v>20</v>
      </c>
      <c r="E312" s="4" t="s">
        <v>406</v>
      </c>
      <c r="F312" s="4" t="s">
        <v>407</v>
      </c>
      <c r="G312" s="4" t="s">
        <v>1158</v>
      </c>
      <c r="H312" s="4" t="s">
        <v>24</v>
      </c>
      <c r="I312" s="4" t="s">
        <v>25</v>
      </c>
      <c r="K312" s="4" t="s">
        <v>26</v>
      </c>
      <c r="L312" s="4" t="s">
        <v>1159</v>
      </c>
      <c r="O312" s="4" t="s">
        <v>1160</v>
      </c>
      <c r="P312" s="5">
        <f>DATE(2023,3,23)</f>
        <v>45008</v>
      </c>
      <c r="Q312" s="4" t="s">
        <v>125</v>
      </c>
      <c r="R312" s="5">
        <f>DATE(2020,7,21)</f>
        <v>44033</v>
      </c>
    </row>
    <row r="313" spans="1:28" ht="55.05" customHeight="1" x14ac:dyDescent="0.3">
      <c r="A313" s="4" t="s">
        <v>534</v>
      </c>
      <c r="B313" s="4" t="s">
        <v>81</v>
      </c>
      <c r="C313" s="4" t="s">
        <v>405</v>
      </c>
      <c r="D313" s="4" t="s">
        <v>20</v>
      </c>
      <c r="E313" s="4" t="s">
        <v>406</v>
      </c>
      <c r="F313" s="4" t="s">
        <v>407</v>
      </c>
      <c r="G313" s="4" t="s">
        <v>1161</v>
      </c>
      <c r="H313" s="4" t="s">
        <v>32</v>
      </c>
      <c r="I313" s="4" t="s">
        <v>25</v>
      </c>
      <c r="J313" s="5">
        <f>DATE(2022,6,30)</f>
        <v>44742</v>
      </c>
      <c r="K313" s="4" t="s">
        <v>26</v>
      </c>
      <c r="L313" s="4" t="s">
        <v>1162</v>
      </c>
      <c r="O313" s="4" t="s">
        <v>1118</v>
      </c>
      <c r="P313" s="5">
        <f>DATE(2022,6,27)</f>
        <v>44739</v>
      </c>
      <c r="Q313" s="4" t="s">
        <v>1163</v>
      </c>
      <c r="R313" s="5">
        <f>DATE(2020,8,14)</f>
        <v>44057</v>
      </c>
    </row>
    <row r="314" spans="1:28" ht="55.05" customHeight="1" x14ac:dyDescent="0.3">
      <c r="A314" s="4" t="s">
        <v>534</v>
      </c>
      <c r="B314" s="4" t="s">
        <v>81</v>
      </c>
      <c r="C314" s="4" t="s">
        <v>405</v>
      </c>
      <c r="D314" s="4" t="s">
        <v>20</v>
      </c>
      <c r="E314" s="4" t="s">
        <v>406</v>
      </c>
      <c r="F314" s="4" t="s">
        <v>407</v>
      </c>
      <c r="G314" s="4" t="s">
        <v>1164</v>
      </c>
      <c r="H314" s="4" t="s">
        <v>24</v>
      </c>
      <c r="I314" s="4" t="s">
        <v>25</v>
      </c>
      <c r="K314" s="4" t="s">
        <v>26</v>
      </c>
      <c r="L314" s="4" t="s">
        <v>1165</v>
      </c>
      <c r="O314" s="4" t="s">
        <v>1166</v>
      </c>
      <c r="P314" s="5">
        <f>DATE(2023,12,12)</f>
        <v>45272</v>
      </c>
      <c r="Q314" s="4" t="s">
        <v>1129</v>
      </c>
      <c r="R314" s="5">
        <f>DATE(2023,10,30)</f>
        <v>45229</v>
      </c>
      <c r="S314" s="4" t="s">
        <v>1167</v>
      </c>
      <c r="T314" s="5">
        <f>DATE(2023,4,24)</f>
        <v>45040</v>
      </c>
      <c r="U314" s="4" t="s">
        <v>1168</v>
      </c>
      <c r="V314" s="5">
        <f>DATE(2023,1,10)</f>
        <v>44936</v>
      </c>
      <c r="W314" s="4" t="s">
        <v>1169</v>
      </c>
      <c r="X314" s="5">
        <f>DATE(2022,12,28)</f>
        <v>44923</v>
      </c>
      <c r="Y314" s="4" t="s">
        <v>1170</v>
      </c>
      <c r="Z314" s="5">
        <f>DATE(2022,10,28)</f>
        <v>44862</v>
      </c>
      <c r="AA314" s="4" t="s">
        <v>1157</v>
      </c>
      <c r="AB314" s="5">
        <f>DATE(2022,6,30)</f>
        <v>44742</v>
      </c>
    </row>
    <row r="315" spans="1:28" ht="55.05" customHeight="1" x14ac:dyDescent="0.3">
      <c r="A315" s="4" t="s">
        <v>534</v>
      </c>
      <c r="B315" s="4" t="s">
        <v>81</v>
      </c>
      <c r="C315" s="4" t="s">
        <v>405</v>
      </c>
      <c r="D315" s="4" t="s">
        <v>20</v>
      </c>
      <c r="E315" s="4" t="s">
        <v>406</v>
      </c>
      <c r="F315" s="4" t="s">
        <v>407</v>
      </c>
      <c r="G315" s="4" t="s">
        <v>1171</v>
      </c>
      <c r="H315" s="4" t="s">
        <v>24</v>
      </c>
      <c r="I315" s="4" t="s">
        <v>25</v>
      </c>
      <c r="K315" s="4" t="s">
        <v>26</v>
      </c>
      <c r="L315" s="4" t="s">
        <v>1172</v>
      </c>
      <c r="O315" s="4" t="s">
        <v>1173</v>
      </c>
      <c r="P315" s="5">
        <f>DATE(2023,12,29)</f>
        <v>45289</v>
      </c>
      <c r="Q315" s="4" t="s">
        <v>1174</v>
      </c>
      <c r="R315" s="5">
        <f>DATE(2023,8,23)</f>
        <v>45161</v>
      </c>
      <c r="S315" s="4" t="s">
        <v>1175</v>
      </c>
      <c r="T315" s="5">
        <f>DATE(2023,7,7)</f>
        <v>45114</v>
      </c>
      <c r="U315" s="4" t="s">
        <v>1076</v>
      </c>
      <c r="V315" s="5">
        <f>DATE(2022,8,29)</f>
        <v>44802</v>
      </c>
      <c r="W315" s="4" t="s">
        <v>1157</v>
      </c>
      <c r="X315" s="5">
        <f>DATE(2022,6,30)</f>
        <v>44742</v>
      </c>
      <c r="Y315" s="4" t="s">
        <v>1176</v>
      </c>
      <c r="Z315" s="5">
        <f>DATE(2022,5,26)</f>
        <v>44707</v>
      </c>
      <c r="AA315" s="4" t="s">
        <v>1177</v>
      </c>
      <c r="AB315" s="5">
        <f>DATE(2022,4,25)</f>
        <v>44676</v>
      </c>
    </row>
    <row r="316" spans="1:28" ht="55.05" customHeight="1" x14ac:dyDescent="0.3">
      <c r="A316" s="4" t="s">
        <v>534</v>
      </c>
      <c r="B316" s="4" t="s">
        <v>81</v>
      </c>
      <c r="C316" s="4" t="s">
        <v>405</v>
      </c>
      <c r="D316" s="4" t="s">
        <v>20</v>
      </c>
      <c r="E316" s="4" t="s">
        <v>406</v>
      </c>
      <c r="F316" s="4" t="s">
        <v>407</v>
      </c>
      <c r="G316" s="4" t="s">
        <v>1178</v>
      </c>
      <c r="H316" s="4" t="s">
        <v>24</v>
      </c>
      <c r="I316" s="4" t="s">
        <v>25</v>
      </c>
      <c r="K316" s="4" t="s">
        <v>26</v>
      </c>
      <c r="L316" s="4" t="s">
        <v>1179</v>
      </c>
      <c r="O316" s="4" t="s">
        <v>1180</v>
      </c>
      <c r="P316" s="5">
        <f>DATE(2023,5,22)</f>
        <v>45068</v>
      </c>
      <c r="Q316" s="4" t="s">
        <v>1181</v>
      </c>
      <c r="R316" s="5">
        <f>DATE(2020,10,14)</f>
        <v>44118</v>
      </c>
    </row>
    <row r="317" spans="1:28" ht="55.05" customHeight="1" x14ac:dyDescent="0.3">
      <c r="A317" s="4" t="s">
        <v>534</v>
      </c>
      <c r="B317" s="4" t="s">
        <v>81</v>
      </c>
      <c r="C317" s="4" t="s">
        <v>405</v>
      </c>
      <c r="D317" s="4" t="s">
        <v>20</v>
      </c>
      <c r="E317" s="4" t="s">
        <v>406</v>
      </c>
      <c r="F317" s="4" t="s">
        <v>407</v>
      </c>
      <c r="G317" s="4" t="s">
        <v>1182</v>
      </c>
      <c r="H317" s="4" t="s">
        <v>24</v>
      </c>
      <c r="I317" s="4" t="s">
        <v>25</v>
      </c>
      <c r="K317" s="4" t="s">
        <v>26</v>
      </c>
      <c r="L317" s="4" t="s">
        <v>1183</v>
      </c>
      <c r="O317" s="4" t="s">
        <v>1184</v>
      </c>
      <c r="P317" s="5">
        <f>DATE(2023,3,31)</f>
        <v>45016</v>
      </c>
      <c r="Q317" s="4" t="s">
        <v>1185</v>
      </c>
      <c r="R317" s="5">
        <f>DATE(2020,10,9)</f>
        <v>44113</v>
      </c>
      <c r="S317" s="4" t="s">
        <v>1186</v>
      </c>
      <c r="T317" s="5">
        <f>DATE(2017,11,27)</f>
        <v>43066</v>
      </c>
    </row>
    <row r="318" spans="1:28" ht="55.05" customHeight="1" x14ac:dyDescent="0.3">
      <c r="A318" s="4" t="s">
        <v>534</v>
      </c>
      <c r="B318" s="4" t="s">
        <v>81</v>
      </c>
      <c r="C318" s="4" t="s">
        <v>405</v>
      </c>
      <c r="D318" s="4" t="s">
        <v>20</v>
      </c>
      <c r="E318" s="4" t="s">
        <v>406</v>
      </c>
      <c r="F318" s="4" t="s">
        <v>407</v>
      </c>
      <c r="G318" s="4" t="s">
        <v>1187</v>
      </c>
      <c r="H318" s="4" t="s">
        <v>32</v>
      </c>
      <c r="I318" s="4" t="s">
        <v>25</v>
      </c>
      <c r="J318" s="5">
        <f>DATE(2022,6,30)</f>
        <v>44742</v>
      </c>
      <c r="K318" s="4" t="s">
        <v>26</v>
      </c>
      <c r="L318" s="4" t="s">
        <v>1188</v>
      </c>
      <c r="O318" s="4" t="s">
        <v>1118</v>
      </c>
      <c r="P318" s="5">
        <f>DATE(2022,6,27)</f>
        <v>44739</v>
      </c>
      <c r="Q318" s="4" t="s">
        <v>1189</v>
      </c>
      <c r="R318" s="5">
        <f>DATE(2021,11,10)</f>
        <v>44510</v>
      </c>
    </row>
    <row r="319" spans="1:28" ht="55.05" customHeight="1" x14ac:dyDescent="0.3">
      <c r="A319" s="4" t="s">
        <v>534</v>
      </c>
      <c r="B319" s="4" t="s">
        <v>81</v>
      </c>
      <c r="C319" s="4" t="s">
        <v>405</v>
      </c>
      <c r="D319" s="4" t="s">
        <v>20</v>
      </c>
      <c r="E319" s="4" t="s">
        <v>406</v>
      </c>
      <c r="F319" s="4" t="s">
        <v>407</v>
      </c>
      <c r="G319" s="4" t="s">
        <v>1190</v>
      </c>
      <c r="H319" s="4" t="s">
        <v>24</v>
      </c>
      <c r="I319" s="4" t="s">
        <v>25</v>
      </c>
      <c r="K319" s="4" t="s">
        <v>26</v>
      </c>
      <c r="L319" s="4" t="s">
        <v>1191</v>
      </c>
      <c r="O319" s="4" t="s">
        <v>1192</v>
      </c>
      <c r="P319" s="5">
        <f>DATE(2023,2,9)</f>
        <v>44966</v>
      </c>
      <c r="Q319" s="4" t="s">
        <v>1193</v>
      </c>
      <c r="R319" s="5">
        <f>DATE(2019,10,28)</f>
        <v>43766</v>
      </c>
    </row>
    <row r="320" spans="1:28" ht="55.05" customHeight="1" x14ac:dyDescent="0.3">
      <c r="A320" s="4" t="s">
        <v>534</v>
      </c>
      <c r="B320" s="4" t="s">
        <v>81</v>
      </c>
      <c r="C320" s="4" t="s">
        <v>405</v>
      </c>
      <c r="D320" s="4" t="s">
        <v>20</v>
      </c>
      <c r="E320" s="4" t="s">
        <v>406</v>
      </c>
      <c r="F320" s="4" t="s">
        <v>407</v>
      </c>
      <c r="G320" s="4" t="s">
        <v>1194</v>
      </c>
      <c r="H320" s="4" t="s">
        <v>24</v>
      </c>
      <c r="I320" s="4" t="s">
        <v>25</v>
      </c>
      <c r="K320" s="4" t="s">
        <v>26</v>
      </c>
      <c r="L320" s="4" t="s">
        <v>1195</v>
      </c>
      <c r="O320" s="4" t="s">
        <v>1196</v>
      </c>
      <c r="P320" s="5">
        <f>DATE(2023,7,20)</f>
        <v>45127</v>
      </c>
      <c r="Q320" s="4" t="s">
        <v>1157</v>
      </c>
      <c r="R320" s="5">
        <f>DATE(2022,6,30)</f>
        <v>44742</v>
      </c>
      <c r="S320" s="4" t="s">
        <v>1181</v>
      </c>
      <c r="T320" s="5">
        <f>DATE(2020,10,14)</f>
        <v>44118</v>
      </c>
    </row>
    <row r="321" spans="1:24" ht="55.05" customHeight="1" x14ac:dyDescent="0.3">
      <c r="A321" s="4" t="s">
        <v>534</v>
      </c>
      <c r="B321" s="4" t="s">
        <v>81</v>
      </c>
      <c r="C321" s="4" t="s">
        <v>405</v>
      </c>
      <c r="D321" s="4" t="s">
        <v>20</v>
      </c>
      <c r="E321" s="4" t="s">
        <v>406</v>
      </c>
      <c r="F321" s="4" t="s">
        <v>407</v>
      </c>
      <c r="G321" s="4" t="s">
        <v>1197</v>
      </c>
      <c r="H321" s="4" t="s">
        <v>24</v>
      </c>
      <c r="I321" s="4" t="s">
        <v>25</v>
      </c>
      <c r="K321" s="4" t="s">
        <v>26</v>
      </c>
      <c r="L321" s="4" t="s">
        <v>1198</v>
      </c>
      <c r="O321" s="4" t="s">
        <v>1199</v>
      </c>
      <c r="P321" s="5">
        <f>DATE(2023,9,29)</f>
        <v>45198</v>
      </c>
      <c r="Q321" s="4" t="s">
        <v>1200</v>
      </c>
      <c r="R321" s="5">
        <f>DATE(2022,12,15)</f>
        <v>44910</v>
      </c>
      <c r="S321" s="4" t="s">
        <v>1201</v>
      </c>
      <c r="T321" s="5">
        <f>DATE(2022,6,30)</f>
        <v>44742</v>
      </c>
      <c r="U321" s="4" t="s">
        <v>1202</v>
      </c>
      <c r="V321" s="5">
        <f>DATE(2022,5,6)</f>
        <v>44687</v>
      </c>
      <c r="W321" s="4" t="s">
        <v>1203</v>
      </c>
      <c r="X321" s="5">
        <f>DATE(2021,8,17)</f>
        <v>44425</v>
      </c>
    </row>
    <row r="322" spans="1:24" ht="55.05" customHeight="1" x14ac:dyDescent="0.3">
      <c r="A322" s="4" t="s">
        <v>534</v>
      </c>
      <c r="B322" s="4" t="s">
        <v>81</v>
      </c>
      <c r="C322" s="4" t="s">
        <v>405</v>
      </c>
      <c r="D322" s="4" t="s">
        <v>20</v>
      </c>
      <c r="E322" s="4" t="s">
        <v>406</v>
      </c>
      <c r="F322" s="4" t="s">
        <v>407</v>
      </c>
      <c r="G322" s="4" t="s">
        <v>1204</v>
      </c>
      <c r="H322" s="4" t="s">
        <v>24</v>
      </c>
      <c r="I322" s="4" t="s">
        <v>25</v>
      </c>
      <c r="K322" s="4" t="s">
        <v>26</v>
      </c>
      <c r="L322" s="4" t="s">
        <v>1205</v>
      </c>
      <c r="O322" s="4" t="s">
        <v>1206</v>
      </c>
      <c r="P322" s="5">
        <f>DATE(2021,4,26)</f>
        <v>44312</v>
      </c>
    </row>
    <row r="323" spans="1:24" ht="55.05" customHeight="1" x14ac:dyDescent="0.3">
      <c r="A323" s="4" t="s">
        <v>534</v>
      </c>
      <c r="B323" s="4" t="s">
        <v>81</v>
      </c>
      <c r="C323" s="4" t="s">
        <v>405</v>
      </c>
      <c r="D323" s="4" t="s">
        <v>20</v>
      </c>
      <c r="E323" s="4" t="s">
        <v>406</v>
      </c>
      <c r="F323" s="4" t="s">
        <v>407</v>
      </c>
      <c r="G323" s="4" t="s">
        <v>1207</v>
      </c>
      <c r="H323" s="4" t="s">
        <v>24</v>
      </c>
      <c r="I323" s="4" t="s">
        <v>25</v>
      </c>
      <c r="K323" s="4" t="s">
        <v>26</v>
      </c>
      <c r="L323" s="4" t="s">
        <v>1208</v>
      </c>
      <c r="O323" s="4" t="s">
        <v>1209</v>
      </c>
      <c r="P323" s="5">
        <f>DATE(2023,6,27)</f>
        <v>45104</v>
      </c>
      <c r="Q323" s="4" t="s">
        <v>1210</v>
      </c>
      <c r="R323" s="5">
        <f>DATE(2020,12,11)</f>
        <v>44176</v>
      </c>
    </row>
    <row r="324" spans="1:24" ht="55.05" customHeight="1" x14ac:dyDescent="0.3">
      <c r="A324" s="4" t="s">
        <v>534</v>
      </c>
      <c r="B324" s="4" t="s">
        <v>81</v>
      </c>
      <c r="C324" s="4" t="s">
        <v>405</v>
      </c>
      <c r="D324" s="4" t="s">
        <v>20</v>
      </c>
      <c r="E324" s="4" t="s">
        <v>406</v>
      </c>
      <c r="F324" s="4" t="s">
        <v>407</v>
      </c>
      <c r="G324" s="4" t="s">
        <v>1211</v>
      </c>
      <c r="H324" s="4" t="s">
        <v>24</v>
      </c>
      <c r="I324" s="4" t="s">
        <v>25</v>
      </c>
      <c r="K324" s="4" t="s">
        <v>26</v>
      </c>
      <c r="L324" s="4" t="s">
        <v>1212</v>
      </c>
      <c r="O324" s="4" t="s">
        <v>1213</v>
      </c>
      <c r="P324" s="5">
        <f>DATE(2023,8,16)</f>
        <v>45154</v>
      </c>
      <c r="Q324" s="4" t="s">
        <v>1214</v>
      </c>
      <c r="R324" s="5">
        <f>DATE(2021,7,23)</f>
        <v>44400</v>
      </c>
    </row>
    <row r="325" spans="1:24" ht="55.05" customHeight="1" x14ac:dyDescent="0.3">
      <c r="A325" s="4" t="s">
        <v>534</v>
      </c>
      <c r="B325" s="4" t="s">
        <v>81</v>
      </c>
      <c r="C325" s="4" t="s">
        <v>405</v>
      </c>
      <c r="D325" s="4" t="s">
        <v>20</v>
      </c>
      <c r="E325" s="4" t="s">
        <v>406</v>
      </c>
      <c r="F325" s="4" t="s">
        <v>407</v>
      </c>
      <c r="G325" s="4" t="s">
        <v>1215</v>
      </c>
      <c r="H325" s="4" t="s">
        <v>24</v>
      </c>
      <c r="I325" s="4" t="s">
        <v>25</v>
      </c>
      <c r="K325" s="4" t="s">
        <v>26</v>
      </c>
      <c r="L325" s="4" t="s">
        <v>1216</v>
      </c>
      <c r="O325" s="4" t="s">
        <v>1217</v>
      </c>
      <c r="P325" s="5">
        <f>DATE(2023,4,11)</f>
        <v>45027</v>
      </c>
      <c r="Q325" s="4" t="s">
        <v>1218</v>
      </c>
      <c r="R325" s="5">
        <f>DATE(2022,12,30)</f>
        <v>44925</v>
      </c>
      <c r="S325" s="4" t="s">
        <v>1157</v>
      </c>
      <c r="T325" s="5">
        <f>DATE(2022,6,30)</f>
        <v>44742</v>
      </c>
      <c r="U325" s="4" t="s">
        <v>125</v>
      </c>
      <c r="V325" s="5">
        <f>DATE(2020,7,21)</f>
        <v>44033</v>
      </c>
    </row>
    <row r="326" spans="1:24" ht="55.05" customHeight="1" x14ac:dyDescent="0.3">
      <c r="A326" s="4" t="s">
        <v>534</v>
      </c>
      <c r="B326" s="4" t="s">
        <v>81</v>
      </c>
      <c r="C326" s="4" t="s">
        <v>405</v>
      </c>
      <c r="D326" s="4" t="s">
        <v>20</v>
      </c>
      <c r="E326" s="4" t="s">
        <v>406</v>
      </c>
      <c r="F326" s="4" t="s">
        <v>407</v>
      </c>
      <c r="G326" s="4" t="s">
        <v>1219</v>
      </c>
      <c r="H326" s="4" t="s">
        <v>24</v>
      </c>
      <c r="I326" s="4" t="s">
        <v>25</v>
      </c>
      <c r="K326" s="4" t="s">
        <v>26</v>
      </c>
      <c r="L326" s="4" t="s">
        <v>1220</v>
      </c>
      <c r="O326" s="4" t="s">
        <v>1166</v>
      </c>
      <c r="P326" s="5">
        <f>DATE(2023,12,12)</f>
        <v>45272</v>
      </c>
      <c r="Q326" s="4" t="s">
        <v>1131</v>
      </c>
      <c r="R326" s="5">
        <f>DATE(2022,9,30)</f>
        <v>44834</v>
      </c>
      <c r="S326" s="4" t="s">
        <v>1193</v>
      </c>
      <c r="T326" s="5">
        <f>DATE(2019,10,28)</f>
        <v>43766</v>
      </c>
    </row>
    <row r="327" spans="1:24" ht="55.05" customHeight="1" x14ac:dyDescent="0.3">
      <c r="A327" s="4" t="s">
        <v>534</v>
      </c>
      <c r="B327" s="4" t="s">
        <v>81</v>
      </c>
      <c r="C327" s="4" t="s">
        <v>405</v>
      </c>
      <c r="D327" s="4" t="s">
        <v>20</v>
      </c>
      <c r="E327" s="4" t="s">
        <v>406</v>
      </c>
      <c r="F327" s="4" t="s">
        <v>407</v>
      </c>
      <c r="G327" s="4" t="s">
        <v>1221</v>
      </c>
      <c r="H327" s="4" t="s">
        <v>24</v>
      </c>
      <c r="I327" s="4" t="s">
        <v>25</v>
      </c>
      <c r="K327" s="4" t="s">
        <v>26</v>
      </c>
      <c r="L327" s="4" t="s">
        <v>1222</v>
      </c>
      <c r="O327" s="4" t="s">
        <v>1223</v>
      </c>
      <c r="P327" s="5">
        <f>DATE(2023,5,29)</f>
        <v>45075</v>
      </c>
      <c r="Q327" s="4" t="s">
        <v>1224</v>
      </c>
      <c r="R327" s="5">
        <f>DATE(2021,1,5)</f>
        <v>44201</v>
      </c>
    </row>
    <row r="328" spans="1:24" ht="55.05" customHeight="1" x14ac:dyDescent="0.3">
      <c r="A328" s="4" t="s">
        <v>534</v>
      </c>
      <c r="B328" s="4" t="s">
        <v>81</v>
      </c>
      <c r="C328" s="4" t="s">
        <v>405</v>
      </c>
      <c r="D328" s="4" t="s">
        <v>20</v>
      </c>
      <c r="E328" s="4" t="s">
        <v>406</v>
      </c>
      <c r="F328" s="4" t="s">
        <v>407</v>
      </c>
      <c r="G328" s="4" t="s">
        <v>1225</v>
      </c>
      <c r="H328" s="4" t="s">
        <v>24</v>
      </c>
      <c r="I328" s="4" t="s">
        <v>25</v>
      </c>
      <c r="K328" s="4" t="s">
        <v>26</v>
      </c>
      <c r="L328" s="4" t="s">
        <v>1226</v>
      </c>
      <c r="O328" s="4" t="s">
        <v>1227</v>
      </c>
      <c r="P328" s="5">
        <f>DATE(2022,9,20)</f>
        <v>44824</v>
      </c>
      <c r="Q328" s="4" t="s">
        <v>1157</v>
      </c>
      <c r="R328" s="5">
        <f>DATE(2022,6,30)</f>
        <v>44742</v>
      </c>
      <c r="S328" s="4" t="s">
        <v>125</v>
      </c>
      <c r="T328" s="5">
        <f>DATE(2020,7,21)</f>
        <v>44033</v>
      </c>
    </row>
    <row r="329" spans="1:24" ht="55.05" customHeight="1" x14ac:dyDescent="0.3">
      <c r="A329" s="4" t="s">
        <v>534</v>
      </c>
      <c r="B329" s="4" t="s">
        <v>81</v>
      </c>
      <c r="C329" s="4" t="s">
        <v>405</v>
      </c>
      <c r="D329" s="4" t="s">
        <v>20</v>
      </c>
      <c r="E329" s="4" t="s">
        <v>406</v>
      </c>
      <c r="F329" s="4" t="s">
        <v>407</v>
      </c>
      <c r="G329" s="4" t="s">
        <v>1228</v>
      </c>
      <c r="H329" s="4" t="s">
        <v>24</v>
      </c>
      <c r="I329" s="4" t="s">
        <v>25</v>
      </c>
      <c r="K329" s="4" t="s">
        <v>26</v>
      </c>
      <c r="L329" s="4" t="s">
        <v>1229</v>
      </c>
      <c r="O329" s="4" t="s">
        <v>1230</v>
      </c>
      <c r="P329" s="5">
        <f>DATE(2021,12,31)</f>
        <v>44561</v>
      </c>
    </row>
    <row r="330" spans="1:24" ht="55.05" customHeight="1" x14ac:dyDescent="0.3">
      <c r="A330" s="4" t="s">
        <v>534</v>
      </c>
      <c r="B330" s="4" t="s">
        <v>81</v>
      </c>
      <c r="C330" s="4" t="s">
        <v>405</v>
      </c>
      <c r="D330" s="4" t="s">
        <v>20</v>
      </c>
      <c r="E330" s="4" t="s">
        <v>406</v>
      </c>
      <c r="F330" s="4" t="s">
        <v>407</v>
      </c>
      <c r="G330" s="4" t="s">
        <v>1231</v>
      </c>
      <c r="H330" s="4" t="s">
        <v>24</v>
      </c>
      <c r="I330" s="4" t="s">
        <v>25</v>
      </c>
      <c r="K330" s="4" t="s">
        <v>26</v>
      </c>
      <c r="L330" s="4" t="s">
        <v>1232</v>
      </c>
      <c r="O330" s="4" t="s">
        <v>1233</v>
      </c>
      <c r="P330" s="5">
        <f>DATE(2023,1,18)</f>
        <v>44944</v>
      </c>
      <c r="Q330" s="4" t="s">
        <v>1157</v>
      </c>
      <c r="R330" s="5">
        <f>DATE(2022,6,30)</f>
        <v>44742</v>
      </c>
      <c r="S330" s="4" t="s">
        <v>562</v>
      </c>
      <c r="T330" s="5">
        <f>DATE(2020,11,12)</f>
        <v>44147</v>
      </c>
    </row>
    <row r="331" spans="1:24" ht="55.05" customHeight="1" x14ac:dyDescent="0.3">
      <c r="A331" s="4" t="s">
        <v>534</v>
      </c>
      <c r="B331" s="4" t="s">
        <v>81</v>
      </c>
      <c r="C331" s="4" t="s">
        <v>405</v>
      </c>
      <c r="D331" s="4" t="s">
        <v>20</v>
      </c>
      <c r="E331" s="4" t="s">
        <v>406</v>
      </c>
      <c r="F331" s="4" t="s">
        <v>407</v>
      </c>
      <c r="G331" s="4" t="s">
        <v>1234</v>
      </c>
      <c r="H331" s="4" t="s">
        <v>24</v>
      </c>
      <c r="I331" s="4" t="s">
        <v>25</v>
      </c>
      <c r="K331" s="4" t="s">
        <v>26</v>
      </c>
      <c r="L331" s="4" t="s">
        <v>1235</v>
      </c>
      <c r="O331" s="4" t="s">
        <v>1157</v>
      </c>
      <c r="P331" s="5">
        <f>DATE(2022,6,30)</f>
        <v>44742</v>
      </c>
      <c r="Q331" s="4" t="s">
        <v>125</v>
      </c>
      <c r="R331" s="5">
        <f>DATE(2020,7,21)</f>
        <v>44033</v>
      </c>
    </row>
    <row r="332" spans="1:24" ht="55.05" customHeight="1" x14ac:dyDescent="0.3">
      <c r="A332" s="4" t="s">
        <v>534</v>
      </c>
      <c r="B332" s="4" t="s">
        <v>81</v>
      </c>
      <c r="C332" s="4" t="s">
        <v>405</v>
      </c>
      <c r="D332" s="4" t="s">
        <v>20</v>
      </c>
      <c r="E332" s="4" t="s">
        <v>406</v>
      </c>
      <c r="F332" s="4" t="s">
        <v>407</v>
      </c>
      <c r="G332" s="4" t="s">
        <v>1236</v>
      </c>
      <c r="H332" s="4" t="s">
        <v>32</v>
      </c>
      <c r="I332" s="4" t="s">
        <v>25</v>
      </c>
      <c r="J332" s="5">
        <f>DATE(2022,6,30)</f>
        <v>44742</v>
      </c>
      <c r="K332" s="4" t="s">
        <v>26</v>
      </c>
      <c r="L332" s="4" t="s">
        <v>1237</v>
      </c>
      <c r="O332" s="4" t="s">
        <v>1118</v>
      </c>
      <c r="P332" s="5">
        <f>DATE(2022,6,27)</f>
        <v>44739</v>
      </c>
      <c r="Q332" s="4" t="s">
        <v>562</v>
      </c>
      <c r="R332" s="5">
        <f>DATE(2020,11,12)</f>
        <v>44147</v>
      </c>
    </row>
    <row r="333" spans="1:24" ht="55.05" customHeight="1" x14ac:dyDescent="0.3">
      <c r="A333" s="4" t="s">
        <v>534</v>
      </c>
      <c r="B333" s="4" t="s">
        <v>81</v>
      </c>
      <c r="C333" s="4" t="s">
        <v>405</v>
      </c>
      <c r="D333" s="4" t="s">
        <v>20</v>
      </c>
      <c r="E333" s="4" t="s">
        <v>406</v>
      </c>
      <c r="F333" s="4" t="s">
        <v>407</v>
      </c>
      <c r="G333" s="4" t="s">
        <v>1238</v>
      </c>
      <c r="H333" s="4" t="s">
        <v>32</v>
      </c>
      <c r="I333" s="4" t="s">
        <v>25</v>
      </c>
      <c r="J333" s="5">
        <f>DATE(2022,6,30)</f>
        <v>44742</v>
      </c>
      <c r="K333" s="4" t="s">
        <v>26</v>
      </c>
      <c r="L333" s="4" t="s">
        <v>1239</v>
      </c>
      <c r="O333" s="4" t="s">
        <v>1118</v>
      </c>
      <c r="P333" s="5">
        <f>DATE(2022,6,27)</f>
        <v>44739</v>
      </c>
      <c r="Q333" s="4" t="s">
        <v>1240</v>
      </c>
      <c r="R333" s="5">
        <f>DATE(2020,10,9)</f>
        <v>44113</v>
      </c>
    </row>
    <row r="334" spans="1:24" ht="55.05" customHeight="1" x14ac:dyDescent="0.3">
      <c r="A334" s="4" t="s">
        <v>534</v>
      </c>
      <c r="B334" s="4" t="s">
        <v>81</v>
      </c>
      <c r="C334" s="4" t="s">
        <v>405</v>
      </c>
      <c r="D334" s="4" t="s">
        <v>20</v>
      </c>
      <c r="E334" s="4" t="s">
        <v>406</v>
      </c>
      <c r="F334" s="4" t="s">
        <v>407</v>
      </c>
      <c r="G334" s="4" t="s">
        <v>1241</v>
      </c>
      <c r="H334" s="4" t="s">
        <v>24</v>
      </c>
      <c r="I334" s="4" t="s">
        <v>25</v>
      </c>
      <c r="K334" s="4" t="s">
        <v>26</v>
      </c>
      <c r="L334" s="4" t="s">
        <v>1242</v>
      </c>
      <c r="O334" s="4" t="s">
        <v>125</v>
      </c>
      <c r="P334" s="5">
        <f>DATE(2020,7,21)</f>
        <v>44033</v>
      </c>
    </row>
    <row r="335" spans="1:24" ht="55.05" customHeight="1" x14ac:dyDescent="0.3">
      <c r="A335" s="4" t="s">
        <v>534</v>
      </c>
      <c r="B335" s="4" t="s">
        <v>81</v>
      </c>
      <c r="C335" s="4" t="s">
        <v>405</v>
      </c>
      <c r="D335" s="4" t="s">
        <v>20</v>
      </c>
      <c r="E335" s="4" t="s">
        <v>406</v>
      </c>
      <c r="F335" s="4" t="s">
        <v>407</v>
      </c>
      <c r="G335" s="4" t="s">
        <v>1243</v>
      </c>
      <c r="H335" s="4" t="s">
        <v>24</v>
      </c>
      <c r="I335" s="4" t="s">
        <v>25</v>
      </c>
      <c r="K335" s="4" t="s">
        <v>26</v>
      </c>
      <c r="L335" s="4" t="s">
        <v>1244</v>
      </c>
      <c r="O335" s="4" t="s">
        <v>1245</v>
      </c>
      <c r="P335" s="5">
        <f>DATE(2023,11,29)</f>
        <v>45259</v>
      </c>
      <c r="Q335" s="4" t="s">
        <v>1246</v>
      </c>
      <c r="R335" s="5">
        <f>DATE(2023,2,24)</f>
        <v>44981</v>
      </c>
      <c r="S335" s="4" t="s">
        <v>1157</v>
      </c>
      <c r="T335" s="5">
        <f>DATE(2022,6,30)</f>
        <v>44742</v>
      </c>
      <c r="U335" s="4" t="s">
        <v>1247</v>
      </c>
      <c r="V335" s="5">
        <f>DATE(2021,8,6)</f>
        <v>44414</v>
      </c>
    </row>
    <row r="336" spans="1:24" ht="55.05" customHeight="1" x14ac:dyDescent="0.3">
      <c r="A336" s="4" t="s">
        <v>534</v>
      </c>
      <c r="B336" s="4" t="s">
        <v>81</v>
      </c>
      <c r="C336" s="4" t="s">
        <v>405</v>
      </c>
      <c r="D336" s="4" t="s">
        <v>20</v>
      </c>
      <c r="E336" s="4" t="s">
        <v>406</v>
      </c>
      <c r="F336" s="4" t="s">
        <v>407</v>
      </c>
      <c r="G336" s="4" t="s">
        <v>1248</v>
      </c>
      <c r="H336" s="4" t="s">
        <v>24</v>
      </c>
      <c r="I336" s="4" t="s">
        <v>25</v>
      </c>
      <c r="K336" s="4" t="s">
        <v>26</v>
      </c>
      <c r="L336" s="4" t="s">
        <v>1249</v>
      </c>
      <c r="O336" s="4" t="s">
        <v>1250</v>
      </c>
      <c r="P336" s="5">
        <f>DATE(2023,9,1)</f>
        <v>45170</v>
      </c>
      <c r="Q336" s="4" t="s">
        <v>1157</v>
      </c>
      <c r="R336" s="5">
        <f>DATE(2022,6,30)</f>
        <v>44742</v>
      </c>
      <c r="S336" s="4" t="s">
        <v>1251</v>
      </c>
      <c r="T336" s="5">
        <f>DATE(2021,11,7)</f>
        <v>44507</v>
      </c>
    </row>
    <row r="337" spans="1:20" ht="55.05" customHeight="1" x14ac:dyDescent="0.3">
      <c r="A337" s="4" t="s">
        <v>534</v>
      </c>
      <c r="B337" s="4" t="s">
        <v>81</v>
      </c>
      <c r="C337" s="4" t="s">
        <v>405</v>
      </c>
      <c r="D337" s="4" t="s">
        <v>20</v>
      </c>
      <c r="E337" s="4" t="s">
        <v>411</v>
      </c>
      <c r="F337" s="4" t="s">
        <v>407</v>
      </c>
      <c r="G337" s="4" t="s">
        <v>1252</v>
      </c>
      <c r="H337" s="4" t="s">
        <v>24</v>
      </c>
      <c r="I337" s="4" t="s">
        <v>25</v>
      </c>
      <c r="K337" s="4" t="s">
        <v>26</v>
      </c>
      <c r="L337" s="4" t="s">
        <v>1253</v>
      </c>
      <c r="M337" s="4" t="s">
        <v>414</v>
      </c>
      <c r="N337" s="5">
        <f t="shared" ref="N337:N350" si="3">DATE(2022,3,14)</f>
        <v>44634</v>
      </c>
      <c r="O337" s="4" t="s">
        <v>1254</v>
      </c>
      <c r="P337" s="5">
        <f>DATE(2020,10,23)</f>
        <v>44127</v>
      </c>
    </row>
    <row r="338" spans="1:20" ht="55.05" customHeight="1" x14ac:dyDescent="0.3">
      <c r="A338" s="4" t="s">
        <v>534</v>
      </c>
      <c r="B338" s="4" t="s">
        <v>81</v>
      </c>
      <c r="C338" s="4" t="s">
        <v>405</v>
      </c>
      <c r="D338" s="4" t="s">
        <v>20</v>
      </c>
      <c r="E338" s="4" t="s">
        <v>411</v>
      </c>
      <c r="F338" s="4" t="s">
        <v>407</v>
      </c>
      <c r="G338" s="4" t="s">
        <v>1255</v>
      </c>
      <c r="H338" s="4" t="s">
        <v>32</v>
      </c>
      <c r="I338" s="4" t="s">
        <v>130</v>
      </c>
      <c r="J338" s="5">
        <f>DATE(2022,12,30)</f>
        <v>44925</v>
      </c>
      <c r="K338" s="4" t="s">
        <v>26</v>
      </c>
      <c r="L338" s="4" t="s">
        <v>1256</v>
      </c>
      <c r="M338" s="4" t="s">
        <v>414</v>
      </c>
      <c r="N338" s="5">
        <f t="shared" si="3"/>
        <v>44634</v>
      </c>
      <c r="O338" s="4" t="s">
        <v>1257</v>
      </c>
      <c r="P338" s="5">
        <f>DATE(2022,12,30)</f>
        <v>44925</v>
      </c>
      <c r="Q338" s="4" t="s">
        <v>1257</v>
      </c>
      <c r="R338" s="5">
        <f>DATE(2022,12,30)</f>
        <v>44925</v>
      </c>
      <c r="S338" s="4" t="s">
        <v>1258</v>
      </c>
      <c r="T338" s="5">
        <f>DATE(2021,4,26)</f>
        <v>44312</v>
      </c>
    </row>
    <row r="339" spans="1:20" ht="55.05" customHeight="1" x14ac:dyDescent="0.3">
      <c r="A339" s="4" t="s">
        <v>534</v>
      </c>
      <c r="B339" s="4" t="s">
        <v>81</v>
      </c>
      <c r="C339" s="4" t="s">
        <v>405</v>
      </c>
      <c r="D339" s="4" t="s">
        <v>20</v>
      </c>
      <c r="E339" s="4" t="s">
        <v>411</v>
      </c>
      <c r="F339" s="4" t="s">
        <v>407</v>
      </c>
      <c r="G339" s="4" t="s">
        <v>1259</v>
      </c>
      <c r="H339" s="4" t="s">
        <v>24</v>
      </c>
      <c r="I339" s="4" t="s">
        <v>25</v>
      </c>
      <c r="K339" s="4" t="s">
        <v>26</v>
      </c>
      <c r="L339" s="4" t="s">
        <v>1260</v>
      </c>
      <c r="M339" s="4" t="s">
        <v>414</v>
      </c>
      <c r="N339" s="5">
        <f t="shared" si="3"/>
        <v>44634</v>
      </c>
      <c r="O339" s="4" t="s">
        <v>1254</v>
      </c>
      <c r="P339" s="5">
        <f t="shared" ref="P339:P344" si="4">DATE(2020,10,23)</f>
        <v>44127</v>
      </c>
    </row>
    <row r="340" spans="1:20" ht="55.05" customHeight="1" x14ac:dyDescent="0.3">
      <c r="A340" s="4" t="s">
        <v>534</v>
      </c>
      <c r="B340" s="4" t="s">
        <v>81</v>
      </c>
      <c r="C340" s="4" t="s">
        <v>405</v>
      </c>
      <c r="D340" s="4" t="s">
        <v>20</v>
      </c>
      <c r="E340" s="4" t="s">
        <v>411</v>
      </c>
      <c r="F340" s="4" t="s">
        <v>407</v>
      </c>
      <c r="G340" s="4" t="s">
        <v>1261</v>
      </c>
      <c r="H340" s="4" t="s">
        <v>24</v>
      </c>
      <c r="I340" s="4" t="s">
        <v>25</v>
      </c>
      <c r="K340" s="4" t="s">
        <v>26</v>
      </c>
      <c r="L340" s="4" t="s">
        <v>1262</v>
      </c>
      <c r="M340" s="4" t="s">
        <v>414</v>
      </c>
      <c r="N340" s="5">
        <f t="shared" si="3"/>
        <v>44634</v>
      </c>
      <c r="O340" s="4" t="s">
        <v>1254</v>
      </c>
      <c r="P340" s="5">
        <f t="shared" si="4"/>
        <v>44127</v>
      </c>
    </row>
    <row r="341" spans="1:20" ht="55.05" customHeight="1" x14ac:dyDescent="0.3">
      <c r="A341" s="4" t="s">
        <v>534</v>
      </c>
      <c r="B341" s="4" t="s">
        <v>81</v>
      </c>
      <c r="C341" s="4" t="s">
        <v>405</v>
      </c>
      <c r="D341" s="4" t="s">
        <v>20</v>
      </c>
      <c r="E341" s="4" t="s">
        <v>411</v>
      </c>
      <c r="F341" s="4" t="s">
        <v>407</v>
      </c>
      <c r="G341" s="4" t="s">
        <v>1263</v>
      </c>
      <c r="H341" s="4" t="s">
        <v>24</v>
      </c>
      <c r="I341" s="4" t="s">
        <v>25</v>
      </c>
      <c r="K341" s="4" t="s">
        <v>26</v>
      </c>
      <c r="L341" s="4" t="s">
        <v>1264</v>
      </c>
      <c r="M341" s="4" t="s">
        <v>414</v>
      </c>
      <c r="N341" s="5">
        <f t="shared" si="3"/>
        <v>44634</v>
      </c>
      <c r="O341" s="4" t="s">
        <v>1254</v>
      </c>
      <c r="P341" s="5">
        <f t="shared" si="4"/>
        <v>44127</v>
      </c>
    </row>
    <row r="342" spans="1:20" ht="55.05" customHeight="1" x14ac:dyDescent="0.3">
      <c r="A342" s="4" t="s">
        <v>534</v>
      </c>
      <c r="B342" s="4" t="s">
        <v>81</v>
      </c>
      <c r="C342" s="4" t="s">
        <v>405</v>
      </c>
      <c r="D342" s="4" t="s">
        <v>20</v>
      </c>
      <c r="E342" s="4" t="s">
        <v>411</v>
      </c>
      <c r="F342" s="4" t="s">
        <v>407</v>
      </c>
      <c r="G342" s="4" t="s">
        <v>1265</v>
      </c>
      <c r="H342" s="4" t="s">
        <v>24</v>
      </c>
      <c r="I342" s="4" t="s">
        <v>25</v>
      </c>
      <c r="K342" s="4" t="s">
        <v>26</v>
      </c>
      <c r="L342" s="4" t="s">
        <v>1266</v>
      </c>
      <c r="M342" s="4" t="s">
        <v>414</v>
      </c>
      <c r="N342" s="5">
        <f t="shared" si="3"/>
        <v>44634</v>
      </c>
      <c r="O342" s="4" t="s">
        <v>1254</v>
      </c>
      <c r="P342" s="5">
        <f t="shared" si="4"/>
        <v>44127</v>
      </c>
    </row>
    <row r="343" spans="1:20" ht="55.05" customHeight="1" x14ac:dyDescent="0.3">
      <c r="A343" s="4" t="s">
        <v>534</v>
      </c>
      <c r="B343" s="4" t="s">
        <v>81</v>
      </c>
      <c r="C343" s="4" t="s">
        <v>405</v>
      </c>
      <c r="D343" s="4" t="s">
        <v>20</v>
      </c>
      <c r="E343" s="4" t="s">
        <v>411</v>
      </c>
      <c r="F343" s="4" t="s">
        <v>407</v>
      </c>
      <c r="G343" s="4" t="s">
        <v>1267</v>
      </c>
      <c r="H343" s="4" t="s">
        <v>24</v>
      </c>
      <c r="I343" s="4" t="s">
        <v>25</v>
      </c>
      <c r="K343" s="4" t="s">
        <v>26</v>
      </c>
      <c r="L343" s="4" t="s">
        <v>1268</v>
      </c>
      <c r="M343" s="4" t="s">
        <v>414</v>
      </c>
      <c r="N343" s="5">
        <f t="shared" si="3"/>
        <v>44634</v>
      </c>
      <c r="O343" s="4" t="s">
        <v>1254</v>
      </c>
      <c r="P343" s="5">
        <f t="shared" si="4"/>
        <v>44127</v>
      </c>
    </row>
    <row r="344" spans="1:20" ht="55.05" customHeight="1" x14ac:dyDescent="0.3">
      <c r="A344" s="4" t="s">
        <v>534</v>
      </c>
      <c r="B344" s="4" t="s">
        <v>81</v>
      </c>
      <c r="C344" s="4" t="s">
        <v>405</v>
      </c>
      <c r="D344" s="4" t="s">
        <v>20</v>
      </c>
      <c r="E344" s="4" t="s">
        <v>411</v>
      </c>
      <c r="F344" s="4" t="s">
        <v>407</v>
      </c>
      <c r="G344" s="4" t="s">
        <v>1269</v>
      </c>
      <c r="H344" s="4" t="s">
        <v>24</v>
      </c>
      <c r="I344" s="4" t="s">
        <v>25</v>
      </c>
      <c r="K344" s="4" t="s">
        <v>26</v>
      </c>
      <c r="L344" s="4" t="s">
        <v>1270</v>
      </c>
      <c r="M344" s="4" t="s">
        <v>414</v>
      </c>
      <c r="N344" s="5">
        <f t="shared" si="3"/>
        <v>44634</v>
      </c>
      <c r="O344" s="4" t="s">
        <v>1254</v>
      </c>
      <c r="P344" s="5">
        <f t="shared" si="4"/>
        <v>44127</v>
      </c>
    </row>
    <row r="345" spans="1:20" ht="55.05" customHeight="1" x14ac:dyDescent="0.3">
      <c r="A345" s="4" t="s">
        <v>534</v>
      </c>
      <c r="B345" s="4" t="s">
        <v>81</v>
      </c>
      <c r="C345" s="4" t="s">
        <v>405</v>
      </c>
      <c r="D345" s="4" t="s">
        <v>20</v>
      </c>
      <c r="E345" s="4" t="s">
        <v>411</v>
      </c>
      <c r="F345" s="4" t="s">
        <v>407</v>
      </c>
      <c r="G345" s="4" t="s">
        <v>1271</v>
      </c>
      <c r="H345" s="4" t="s">
        <v>24</v>
      </c>
      <c r="I345" s="4" t="s">
        <v>25</v>
      </c>
      <c r="K345" s="4" t="s">
        <v>26</v>
      </c>
      <c r="L345" s="4" t="s">
        <v>1272</v>
      </c>
      <c r="M345" s="4" t="s">
        <v>414</v>
      </c>
      <c r="N345" s="5">
        <f t="shared" si="3"/>
        <v>44634</v>
      </c>
      <c r="O345" s="4" t="s">
        <v>1273</v>
      </c>
      <c r="P345" s="5">
        <f>DATE(2021,11,30)</f>
        <v>44530</v>
      </c>
    </row>
    <row r="346" spans="1:20" ht="55.05" customHeight="1" x14ac:dyDescent="0.3">
      <c r="A346" s="4" t="s">
        <v>534</v>
      </c>
      <c r="B346" s="4" t="s">
        <v>81</v>
      </c>
      <c r="C346" s="4" t="s">
        <v>405</v>
      </c>
      <c r="D346" s="4" t="s">
        <v>20</v>
      </c>
      <c r="E346" s="4" t="s">
        <v>411</v>
      </c>
      <c r="F346" s="4" t="s">
        <v>407</v>
      </c>
      <c r="G346" s="4" t="s">
        <v>1274</v>
      </c>
      <c r="H346" s="4" t="s">
        <v>24</v>
      </c>
      <c r="I346" s="4" t="s">
        <v>25</v>
      </c>
      <c r="K346" s="4" t="s">
        <v>26</v>
      </c>
      <c r="L346" s="4" t="s">
        <v>1275</v>
      </c>
      <c r="M346" s="4" t="s">
        <v>414</v>
      </c>
      <c r="N346" s="5">
        <f t="shared" si="3"/>
        <v>44634</v>
      </c>
      <c r="O346" s="4" t="s">
        <v>1254</v>
      </c>
      <c r="P346" s="5">
        <f>DATE(2020,10,23)</f>
        <v>44127</v>
      </c>
    </row>
    <row r="347" spans="1:20" ht="55.05" customHeight="1" x14ac:dyDescent="0.3">
      <c r="A347" s="4" t="s">
        <v>534</v>
      </c>
      <c r="B347" s="4" t="s">
        <v>81</v>
      </c>
      <c r="C347" s="4" t="s">
        <v>405</v>
      </c>
      <c r="D347" s="4" t="s">
        <v>20</v>
      </c>
      <c r="E347" s="4" t="s">
        <v>411</v>
      </c>
      <c r="F347" s="4" t="s">
        <v>407</v>
      </c>
      <c r="G347" s="4" t="s">
        <v>1276</v>
      </c>
      <c r="H347" s="4" t="s">
        <v>24</v>
      </c>
      <c r="I347" s="4" t="s">
        <v>25</v>
      </c>
      <c r="K347" s="4" t="s">
        <v>26</v>
      </c>
      <c r="L347" s="4" t="s">
        <v>1277</v>
      </c>
      <c r="M347" s="4" t="s">
        <v>414</v>
      </c>
      <c r="N347" s="5">
        <f t="shared" si="3"/>
        <v>44634</v>
      </c>
      <c r="O347" s="4" t="s">
        <v>1254</v>
      </c>
      <c r="P347" s="5">
        <f>DATE(2020,10,23)</f>
        <v>44127</v>
      </c>
    </row>
    <row r="348" spans="1:20" ht="55.05" customHeight="1" x14ac:dyDescent="0.3">
      <c r="A348" s="4" t="s">
        <v>534</v>
      </c>
      <c r="B348" s="4" t="s">
        <v>81</v>
      </c>
      <c r="C348" s="4" t="s">
        <v>405</v>
      </c>
      <c r="D348" s="4" t="s">
        <v>20</v>
      </c>
      <c r="E348" s="4" t="s">
        <v>411</v>
      </c>
      <c r="F348" s="4" t="s">
        <v>407</v>
      </c>
      <c r="G348" s="4" t="s">
        <v>1278</v>
      </c>
      <c r="H348" s="4" t="s">
        <v>24</v>
      </c>
      <c r="I348" s="4" t="s">
        <v>25</v>
      </c>
      <c r="K348" s="4" t="s">
        <v>26</v>
      </c>
      <c r="L348" s="4" t="s">
        <v>1279</v>
      </c>
      <c r="M348" s="4" t="s">
        <v>414</v>
      </c>
      <c r="N348" s="5">
        <f t="shared" si="3"/>
        <v>44634</v>
      </c>
      <c r="O348" s="4" t="s">
        <v>1280</v>
      </c>
      <c r="P348" s="5">
        <f>DATE(2020,11,30)</f>
        <v>44165</v>
      </c>
    </row>
    <row r="349" spans="1:20" ht="55.05" customHeight="1" x14ac:dyDescent="0.3">
      <c r="A349" s="4" t="s">
        <v>534</v>
      </c>
      <c r="B349" s="4" t="s">
        <v>81</v>
      </c>
      <c r="C349" s="4" t="s">
        <v>405</v>
      </c>
      <c r="D349" s="4" t="s">
        <v>20</v>
      </c>
      <c r="E349" s="4" t="s">
        <v>411</v>
      </c>
      <c r="F349" s="4" t="s">
        <v>407</v>
      </c>
      <c r="G349" s="4" t="s">
        <v>1281</v>
      </c>
      <c r="H349" s="4" t="s">
        <v>24</v>
      </c>
      <c r="I349" s="4" t="s">
        <v>25</v>
      </c>
      <c r="K349" s="4" t="s">
        <v>26</v>
      </c>
      <c r="L349" s="4" t="s">
        <v>1282</v>
      </c>
      <c r="M349" s="4" t="s">
        <v>414</v>
      </c>
      <c r="N349" s="5">
        <f t="shared" si="3"/>
        <v>44634</v>
      </c>
      <c r="O349" s="4" t="s">
        <v>1254</v>
      </c>
      <c r="P349" s="5">
        <f>DATE(2020,10,23)</f>
        <v>44127</v>
      </c>
    </row>
    <row r="350" spans="1:20" ht="55.05" customHeight="1" x14ac:dyDescent="0.3">
      <c r="A350" s="4" t="s">
        <v>534</v>
      </c>
      <c r="B350" s="4" t="s">
        <v>81</v>
      </c>
      <c r="C350" s="4" t="s">
        <v>405</v>
      </c>
      <c r="D350" s="4" t="s">
        <v>20</v>
      </c>
      <c r="E350" s="4" t="s">
        <v>411</v>
      </c>
      <c r="F350" s="4" t="s">
        <v>407</v>
      </c>
      <c r="G350" s="4" t="s">
        <v>1283</v>
      </c>
      <c r="H350" s="4" t="s">
        <v>24</v>
      </c>
      <c r="I350" s="4" t="s">
        <v>25</v>
      </c>
      <c r="K350" s="4" t="s">
        <v>26</v>
      </c>
      <c r="L350" s="4" t="s">
        <v>1284</v>
      </c>
      <c r="M350" s="4" t="s">
        <v>414</v>
      </c>
      <c r="N350" s="5">
        <f t="shared" si="3"/>
        <v>44634</v>
      </c>
      <c r="O350" s="4" t="s">
        <v>1285</v>
      </c>
      <c r="P350" s="5">
        <f>DATE(2020,11,30)</f>
        <v>44165</v>
      </c>
    </row>
    <row r="351" spans="1:20" ht="55.05" customHeight="1" x14ac:dyDescent="0.3">
      <c r="A351" s="4" t="s">
        <v>534</v>
      </c>
      <c r="B351" s="4" t="s">
        <v>81</v>
      </c>
      <c r="C351" s="4" t="s">
        <v>107</v>
      </c>
      <c r="D351" s="4" t="s">
        <v>20</v>
      </c>
      <c r="E351" s="4" t="s">
        <v>108</v>
      </c>
      <c r="F351" s="4" t="s">
        <v>96</v>
      </c>
      <c r="G351" s="4" t="s">
        <v>1286</v>
      </c>
      <c r="H351" s="4" t="s">
        <v>24</v>
      </c>
      <c r="I351" s="4" t="s">
        <v>25</v>
      </c>
      <c r="K351" s="4" t="s">
        <v>26</v>
      </c>
      <c r="L351" s="4" t="s">
        <v>1287</v>
      </c>
      <c r="O351" s="4" t="s">
        <v>1288</v>
      </c>
      <c r="P351" s="5">
        <f>DATE(2023,9,26)</f>
        <v>45195</v>
      </c>
      <c r="Q351" s="4" t="s">
        <v>1289</v>
      </c>
      <c r="R351" s="5">
        <f>DATE(2019,10,14)</f>
        <v>43752</v>
      </c>
    </row>
    <row r="352" spans="1:20" ht="55.05" customHeight="1" x14ac:dyDescent="0.3">
      <c r="A352" s="4" t="s">
        <v>534</v>
      </c>
      <c r="B352" s="4" t="s">
        <v>81</v>
      </c>
      <c r="C352" s="4" t="s">
        <v>107</v>
      </c>
      <c r="D352" s="4" t="s">
        <v>20</v>
      </c>
      <c r="E352" s="4" t="s">
        <v>108</v>
      </c>
      <c r="F352" s="4" t="s">
        <v>96</v>
      </c>
      <c r="G352" s="4" t="s">
        <v>1290</v>
      </c>
      <c r="H352" s="4" t="s">
        <v>24</v>
      </c>
      <c r="I352" s="4" t="s">
        <v>25</v>
      </c>
      <c r="K352" s="4" t="s">
        <v>26</v>
      </c>
      <c r="L352" s="4" t="s">
        <v>1291</v>
      </c>
      <c r="O352" s="4" t="s">
        <v>1292</v>
      </c>
      <c r="P352" s="5">
        <f>DATE(2023,3,29)</f>
        <v>45014</v>
      </c>
      <c r="Q352" s="4" t="s">
        <v>1293</v>
      </c>
      <c r="R352" s="5">
        <f>DATE(2020,4,1)</f>
        <v>43922</v>
      </c>
      <c r="S352" s="4" t="s">
        <v>1289</v>
      </c>
      <c r="T352" s="5">
        <f>DATE(2019,10,14)</f>
        <v>43752</v>
      </c>
    </row>
    <row r="353" spans="1:20" ht="55.05" customHeight="1" x14ac:dyDescent="0.3">
      <c r="A353" s="4" t="s">
        <v>534</v>
      </c>
      <c r="B353" s="4" t="s">
        <v>81</v>
      </c>
      <c r="C353" s="4" t="s">
        <v>107</v>
      </c>
      <c r="D353" s="4" t="s">
        <v>20</v>
      </c>
      <c r="E353" s="4" t="s">
        <v>108</v>
      </c>
      <c r="F353" s="4" t="s">
        <v>96</v>
      </c>
      <c r="G353" s="4" t="s">
        <v>1294</v>
      </c>
      <c r="H353" s="4" t="s">
        <v>24</v>
      </c>
      <c r="I353" s="4" t="s">
        <v>25</v>
      </c>
      <c r="K353" s="4" t="s">
        <v>26</v>
      </c>
      <c r="L353" s="4" t="s">
        <v>1295</v>
      </c>
      <c r="O353" s="4" t="s">
        <v>1296</v>
      </c>
      <c r="P353" s="5">
        <f>DATE(2023,5,16)</f>
        <v>45062</v>
      </c>
      <c r="Q353" s="4" t="s">
        <v>1297</v>
      </c>
      <c r="R353" s="5">
        <f>DATE(2019,11,19)</f>
        <v>43788</v>
      </c>
    </row>
    <row r="354" spans="1:20" ht="55.05" customHeight="1" x14ac:dyDescent="0.3">
      <c r="A354" s="4" t="s">
        <v>534</v>
      </c>
      <c r="B354" s="4" t="s">
        <v>81</v>
      </c>
      <c r="C354" s="4" t="s">
        <v>107</v>
      </c>
      <c r="D354" s="4" t="s">
        <v>20</v>
      </c>
      <c r="E354" s="4" t="s">
        <v>108</v>
      </c>
      <c r="F354" s="4" t="s">
        <v>96</v>
      </c>
      <c r="G354" s="4" t="s">
        <v>1298</v>
      </c>
      <c r="H354" s="4" t="s">
        <v>24</v>
      </c>
      <c r="I354" s="4" t="s">
        <v>25</v>
      </c>
      <c r="K354" s="4" t="s">
        <v>26</v>
      </c>
      <c r="L354" s="4" t="s">
        <v>1299</v>
      </c>
      <c r="O354" s="4" t="s">
        <v>1300</v>
      </c>
      <c r="P354" s="5">
        <f>DATE(2023,6,8)</f>
        <v>45085</v>
      </c>
      <c r="Q354" s="4" t="s">
        <v>982</v>
      </c>
      <c r="R354" s="5">
        <f>DATE(2022,9,20)</f>
        <v>44824</v>
      </c>
      <c r="S354" s="4" t="s">
        <v>1301</v>
      </c>
      <c r="T354" s="5">
        <f>DATE(2020,10,6)</f>
        <v>44110</v>
      </c>
    </row>
    <row r="355" spans="1:20" ht="55.05" customHeight="1" x14ac:dyDescent="0.3">
      <c r="A355" s="4" t="s">
        <v>534</v>
      </c>
      <c r="B355" s="4" t="s">
        <v>81</v>
      </c>
      <c r="C355" s="4" t="s">
        <v>107</v>
      </c>
      <c r="D355" s="4" t="s">
        <v>20</v>
      </c>
      <c r="E355" s="4" t="s">
        <v>108</v>
      </c>
      <c r="F355" s="4" t="s">
        <v>96</v>
      </c>
      <c r="G355" s="4" t="s">
        <v>1302</v>
      </c>
      <c r="H355" s="4" t="s">
        <v>24</v>
      </c>
      <c r="I355" s="4" t="s">
        <v>25</v>
      </c>
      <c r="K355" s="4" t="s">
        <v>26</v>
      </c>
      <c r="L355" s="4" t="s">
        <v>1303</v>
      </c>
      <c r="O355" s="4" t="s">
        <v>1304</v>
      </c>
      <c r="P355" s="5">
        <f>DATE(2022,6,7)</f>
        <v>44719</v>
      </c>
      <c r="Q355" s="4" t="s">
        <v>1297</v>
      </c>
      <c r="R355" s="5">
        <f>DATE(2019,11,19)</f>
        <v>43788</v>
      </c>
    </row>
    <row r="356" spans="1:20" ht="55.05" customHeight="1" x14ac:dyDescent="0.3">
      <c r="A356" s="4" t="s">
        <v>534</v>
      </c>
      <c r="B356" s="4" t="s">
        <v>81</v>
      </c>
      <c r="C356" s="4" t="s">
        <v>107</v>
      </c>
      <c r="D356" s="4" t="s">
        <v>20</v>
      </c>
      <c r="E356" s="4" t="s">
        <v>108</v>
      </c>
      <c r="F356" s="4" t="s">
        <v>96</v>
      </c>
      <c r="G356" s="4" t="s">
        <v>1305</v>
      </c>
      <c r="H356" s="4" t="s">
        <v>24</v>
      </c>
      <c r="I356" s="4" t="s">
        <v>25</v>
      </c>
      <c r="K356" s="4" t="s">
        <v>26</v>
      </c>
      <c r="L356" s="4" t="s">
        <v>1306</v>
      </c>
      <c r="O356" s="4" t="s">
        <v>1307</v>
      </c>
      <c r="P356" s="5">
        <f>DATE(2023,3,29)</f>
        <v>45014</v>
      </c>
      <c r="Q356" s="4" t="s">
        <v>1297</v>
      </c>
      <c r="R356" s="5">
        <f>DATE(2019,11,19)</f>
        <v>43788</v>
      </c>
    </row>
    <row r="357" spans="1:20" ht="55.05" customHeight="1" x14ac:dyDescent="0.3">
      <c r="A357" s="4" t="s">
        <v>534</v>
      </c>
      <c r="B357" s="4" t="s">
        <v>81</v>
      </c>
      <c r="C357" s="4" t="s">
        <v>107</v>
      </c>
      <c r="D357" s="4" t="s">
        <v>20</v>
      </c>
      <c r="E357" s="4" t="s">
        <v>108</v>
      </c>
      <c r="F357" s="4" t="s">
        <v>96</v>
      </c>
      <c r="G357" s="4" t="s">
        <v>1308</v>
      </c>
      <c r="H357" s="4" t="s">
        <v>24</v>
      </c>
      <c r="I357" s="4" t="s">
        <v>25</v>
      </c>
      <c r="K357" s="4" t="s">
        <v>26</v>
      </c>
      <c r="L357" s="4" t="s">
        <v>1309</v>
      </c>
      <c r="O357" s="4" t="s">
        <v>1310</v>
      </c>
      <c r="P357" s="5">
        <f>DATE(2023,6,16)</f>
        <v>45093</v>
      </c>
      <c r="Q357" s="4" t="s">
        <v>1311</v>
      </c>
      <c r="R357" s="5">
        <f>DATE(2022,11,18)</f>
        <v>44883</v>
      </c>
      <c r="S357" s="4" t="s">
        <v>955</v>
      </c>
      <c r="T357" s="5">
        <f>DATE(2021,8,31)</f>
        <v>44439</v>
      </c>
    </row>
    <row r="358" spans="1:20" ht="55.05" customHeight="1" x14ac:dyDescent="0.3">
      <c r="A358" s="4" t="s">
        <v>534</v>
      </c>
      <c r="B358" s="4" t="s">
        <v>81</v>
      </c>
      <c r="C358" s="4" t="s">
        <v>107</v>
      </c>
      <c r="D358" s="4" t="s">
        <v>20</v>
      </c>
      <c r="E358" s="4" t="s">
        <v>108</v>
      </c>
      <c r="F358" s="4" t="s">
        <v>96</v>
      </c>
      <c r="G358" s="4" t="s">
        <v>1312</v>
      </c>
      <c r="H358" s="4" t="s">
        <v>24</v>
      </c>
      <c r="I358" s="4" t="s">
        <v>25</v>
      </c>
      <c r="K358" s="4" t="s">
        <v>26</v>
      </c>
      <c r="L358" s="4" t="s">
        <v>1313</v>
      </c>
      <c r="O358" s="4" t="s">
        <v>1304</v>
      </c>
      <c r="P358" s="5">
        <f>DATE(2022,6,7)</f>
        <v>44719</v>
      </c>
      <c r="Q358" s="4" t="s">
        <v>1297</v>
      </c>
      <c r="R358" s="5">
        <f>DATE(2019,11,19)</f>
        <v>43788</v>
      </c>
    </row>
    <row r="359" spans="1:20" ht="55.05" customHeight="1" x14ac:dyDescent="0.3">
      <c r="A359" s="4" t="s">
        <v>534</v>
      </c>
      <c r="B359" s="4" t="s">
        <v>81</v>
      </c>
      <c r="C359" s="4" t="s">
        <v>107</v>
      </c>
      <c r="D359" s="4" t="s">
        <v>20</v>
      </c>
      <c r="E359" s="4" t="s">
        <v>108</v>
      </c>
      <c r="F359" s="4" t="s">
        <v>96</v>
      </c>
      <c r="G359" s="4" t="s">
        <v>1314</v>
      </c>
      <c r="H359" s="4" t="s">
        <v>24</v>
      </c>
      <c r="I359" s="4" t="s">
        <v>25</v>
      </c>
      <c r="K359" s="4" t="s">
        <v>26</v>
      </c>
      <c r="L359" s="4" t="s">
        <v>1315</v>
      </c>
      <c r="O359" s="4" t="s">
        <v>1316</v>
      </c>
      <c r="P359" s="5">
        <f>DATE(2023,9,18)</f>
        <v>45187</v>
      </c>
      <c r="Q359" s="4" t="s">
        <v>1289</v>
      </c>
      <c r="R359" s="5">
        <f>DATE(2019,10,14)</f>
        <v>43752</v>
      </c>
    </row>
    <row r="360" spans="1:20" ht="55.05" customHeight="1" x14ac:dyDescent="0.3">
      <c r="A360" s="4" t="s">
        <v>534</v>
      </c>
      <c r="B360" s="4" t="s">
        <v>81</v>
      </c>
      <c r="C360" s="4" t="s">
        <v>107</v>
      </c>
      <c r="D360" s="4" t="s">
        <v>20</v>
      </c>
      <c r="E360" s="4" t="s">
        <v>108</v>
      </c>
      <c r="F360" s="4" t="s">
        <v>96</v>
      </c>
      <c r="G360" s="4" t="s">
        <v>1317</v>
      </c>
      <c r="H360" s="4" t="s">
        <v>24</v>
      </c>
      <c r="I360" s="4" t="s">
        <v>25</v>
      </c>
      <c r="K360" s="4" t="s">
        <v>26</v>
      </c>
      <c r="L360" s="4" t="s">
        <v>1318</v>
      </c>
      <c r="O360" s="4" t="s">
        <v>1319</v>
      </c>
      <c r="P360" s="5">
        <f>DATE(2023,9,18)</f>
        <v>45187</v>
      </c>
      <c r="Q360" s="4" t="s">
        <v>1320</v>
      </c>
      <c r="R360" s="5">
        <f>DATE(2020,4,22)</f>
        <v>43943</v>
      </c>
    </row>
    <row r="361" spans="1:20" ht="55.05" customHeight="1" x14ac:dyDescent="0.3">
      <c r="A361" s="4" t="s">
        <v>534</v>
      </c>
      <c r="B361" s="4" t="s">
        <v>81</v>
      </c>
      <c r="C361" s="4" t="s">
        <v>107</v>
      </c>
      <c r="D361" s="4" t="s">
        <v>20</v>
      </c>
      <c r="E361" s="4" t="s">
        <v>108</v>
      </c>
      <c r="F361" s="4" t="s">
        <v>96</v>
      </c>
      <c r="G361" s="4" t="s">
        <v>1321</v>
      </c>
      <c r="H361" s="4" t="s">
        <v>24</v>
      </c>
      <c r="I361" s="4" t="s">
        <v>25</v>
      </c>
      <c r="K361" s="4" t="s">
        <v>26</v>
      </c>
      <c r="L361" s="4" t="s">
        <v>1322</v>
      </c>
      <c r="O361" s="4" t="s">
        <v>1323</v>
      </c>
      <c r="P361" s="5">
        <f>DATE(2021,11,18)</f>
        <v>44518</v>
      </c>
    </row>
    <row r="362" spans="1:20" ht="55.05" customHeight="1" x14ac:dyDescent="0.3">
      <c r="A362" s="4" t="s">
        <v>534</v>
      </c>
      <c r="B362" s="4" t="s">
        <v>81</v>
      </c>
      <c r="C362" s="4" t="s">
        <v>107</v>
      </c>
      <c r="D362" s="4" t="s">
        <v>20</v>
      </c>
      <c r="E362" s="4" t="s">
        <v>108</v>
      </c>
      <c r="F362" s="4" t="s">
        <v>96</v>
      </c>
      <c r="G362" s="4" t="s">
        <v>1324</v>
      </c>
      <c r="H362" s="4" t="s">
        <v>24</v>
      </c>
      <c r="I362" s="4" t="s">
        <v>25</v>
      </c>
      <c r="K362" s="4" t="s">
        <v>26</v>
      </c>
      <c r="L362" s="4" t="s">
        <v>1325</v>
      </c>
      <c r="O362" s="4" t="s">
        <v>1326</v>
      </c>
      <c r="P362" s="5">
        <f>DATE(2021,4,22)</f>
        <v>44308</v>
      </c>
    </row>
    <row r="363" spans="1:20" ht="55.05" customHeight="1" x14ac:dyDescent="0.3">
      <c r="A363" s="4" t="s">
        <v>534</v>
      </c>
      <c r="B363" s="4" t="s">
        <v>81</v>
      </c>
      <c r="C363" s="4" t="s">
        <v>107</v>
      </c>
      <c r="D363" s="4" t="s">
        <v>20</v>
      </c>
      <c r="E363" s="4" t="s">
        <v>108</v>
      </c>
      <c r="F363" s="4" t="s">
        <v>96</v>
      </c>
      <c r="G363" s="4" t="s">
        <v>1327</v>
      </c>
      <c r="H363" s="4" t="s">
        <v>24</v>
      </c>
      <c r="I363" s="4" t="s">
        <v>25</v>
      </c>
      <c r="K363" s="4" t="s">
        <v>26</v>
      </c>
      <c r="L363" s="4" t="s">
        <v>1328</v>
      </c>
      <c r="O363" s="4" t="s">
        <v>1329</v>
      </c>
      <c r="P363" s="5">
        <f>DATE(2023,12,21)</f>
        <v>45281</v>
      </c>
      <c r="Q363" s="4" t="s">
        <v>1330</v>
      </c>
      <c r="R363" s="5">
        <f>DATE(2021,1,18)</f>
        <v>44214</v>
      </c>
    </row>
    <row r="364" spans="1:20" ht="55.05" customHeight="1" x14ac:dyDescent="0.3">
      <c r="A364" s="4" t="s">
        <v>534</v>
      </c>
      <c r="B364" s="4" t="s">
        <v>81</v>
      </c>
      <c r="C364" s="4" t="s">
        <v>107</v>
      </c>
      <c r="D364" s="4" t="s">
        <v>20</v>
      </c>
      <c r="E364" s="4" t="s">
        <v>108</v>
      </c>
      <c r="F364" s="4" t="s">
        <v>96</v>
      </c>
      <c r="G364" s="4" t="s">
        <v>1331</v>
      </c>
      <c r="H364" s="4" t="s">
        <v>24</v>
      </c>
      <c r="I364" s="4" t="s">
        <v>25</v>
      </c>
      <c r="K364" s="4" t="s">
        <v>26</v>
      </c>
      <c r="L364" s="4" t="s">
        <v>1332</v>
      </c>
      <c r="O364" s="4" t="s">
        <v>1333</v>
      </c>
      <c r="P364" s="5">
        <f>DATE(2023,9,18)</f>
        <v>45187</v>
      </c>
      <c r="Q364" s="4" t="s">
        <v>1334</v>
      </c>
      <c r="R364" s="5">
        <f>DATE(2020,1,16)</f>
        <v>43846</v>
      </c>
      <c r="S364" s="4" t="s">
        <v>1297</v>
      </c>
      <c r="T364" s="5">
        <f>DATE(2019,11,19)</f>
        <v>43788</v>
      </c>
    </row>
    <row r="365" spans="1:20" ht="55.05" customHeight="1" x14ac:dyDescent="0.3">
      <c r="A365" s="4" t="s">
        <v>534</v>
      </c>
      <c r="B365" s="4" t="s">
        <v>81</v>
      </c>
      <c r="C365" s="4" t="s">
        <v>107</v>
      </c>
      <c r="D365" s="4" t="s">
        <v>20</v>
      </c>
      <c r="E365" s="4" t="s">
        <v>108</v>
      </c>
      <c r="F365" s="4" t="s">
        <v>96</v>
      </c>
      <c r="G365" s="4" t="s">
        <v>1335</v>
      </c>
      <c r="H365" s="4" t="s">
        <v>24</v>
      </c>
      <c r="I365" s="4" t="s">
        <v>25</v>
      </c>
      <c r="K365" s="4" t="s">
        <v>26</v>
      </c>
      <c r="L365" s="4" t="s">
        <v>1336</v>
      </c>
      <c r="O365" s="4" t="s">
        <v>1337</v>
      </c>
      <c r="P365" s="5">
        <f>DATE(2023,6,16)</f>
        <v>45093</v>
      </c>
      <c r="Q365" s="4" t="s">
        <v>1330</v>
      </c>
      <c r="R365" s="5">
        <f>DATE(2021,1,18)</f>
        <v>44214</v>
      </c>
    </row>
    <row r="366" spans="1:20" ht="55.05" customHeight="1" x14ac:dyDescent="0.3">
      <c r="A366" s="4" t="s">
        <v>534</v>
      </c>
      <c r="B366" s="4" t="s">
        <v>81</v>
      </c>
      <c r="C366" s="4" t="s">
        <v>107</v>
      </c>
      <c r="D366" s="4" t="s">
        <v>20</v>
      </c>
      <c r="E366" s="4" t="s">
        <v>108</v>
      </c>
      <c r="F366" s="4" t="s">
        <v>96</v>
      </c>
      <c r="G366" s="4" t="s">
        <v>1338</v>
      </c>
      <c r="H366" s="4" t="s">
        <v>24</v>
      </c>
      <c r="I366" s="4" t="s">
        <v>25</v>
      </c>
      <c r="K366" s="4" t="s">
        <v>26</v>
      </c>
      <c r="L366" s="4" t="s">
        <v>1339</v>
      </c>
      <c r="O366" s="4" t="s">
        <v>955</v>
      </c>
      <c r="P366" s="5">
        <f>DATE(2021,8,31)</f>
        <v>44439</v>
      </c>
    </row>
    <row r="367" spans="1:20" ht="55.05" customHeight="1" x14ac:dyDescent="0.3">
      <c r="A367" s="4" t="s">
        <v>534</v>
      </c>
      <c r="B367" s="4" t="s">
        <v>81</v>
      </c>
      <c r="C367" s="4" t="s">
        <v>107</v>
      </c>
      <c r="D367" s="4" t="s">
        <v>20</v>
      </c>
      <c r="E367" s="4" t="s">
        <v>108</v>
      </c>
      <c r="F367" s="4" t="s">
        <v>96</v>
      </c>
      <c r="G367" s="4" t="s">
        <v>1340</v>
      </c>
      <c r="H367" s="4" t="s">
        <v>32</v>
      </c>
      <c r="I367" s="4" t="s">
        <v>25</v>
      </c>
      <c r="K367" s="4" t="s">
        <v>26</v>
      </c>
      <c r="L367" s="4" t="s">
        <v>1341</v>
      </c>
      <c r="O367" s="4" t="s">
        <v>1342</v>
      </c>
      <c r="P367" s="5">
        <f>DATE(2019,1,22)</f>
        <v>43487</v>
      </c>
    </row>
    <row r="368" spans="1:20" ht="55.05" customHeight="1" x14ac:dyDescent="0.3">
      <c r="A368" s="4" t="s">
        <v>534</v>
      </c>
      <c r="B368" s="4" t="s">
        <v>81</v>
      </c>
      <c r="C368" s="4" t="s">
        <v>107</v>
      </c>
      <c r="D368" s="4" t="s">
        <v>20</v>
      </c>
      <c r="E368" s="4" t="s">
        <v>108</v>
      </c>
      <c r="F368" s="4" t="s">
        <v>96</v>
      </c>
      <c r="G368" s="4" t="s">
        <v>1343</v>
      </c>
      <c r="H368" s="4" t="s">
        <v>24</v>
      </c>
      <c r="I368" s="4" t="s">
        <v>25</v>
      </c>
      <c r="K368" s="4" t="s">
        <v>26</v>
      </c>
      <c r="L368" s="4" t="s">
        <v>1344</v>
      </c>
      <c r="O368" s="4" t="s">
        <v>1345</v>
      </c>
      <c r="P368" s="5">
        <f>DATE(2023,12,21)</f>
        <v>45281</v>
      </c>
      <c r="Q368" s="4" t="s">
        <v>1346</v>
      </c>
      <c r="R368" s="5">
        <f>DATE(2023,6,27)</f>
        <v>45104</v>
      </c>
      <c r="S368" s="4" t="s">
        <v>35</v>
      </c>
      <c r="T368" s="5">
        <f>DATE(2020,7,21)</f>
        <v>44033</v>
      </c>
    </row>
    <row r="369" spans="1:20" ht="55.05" customHeight="1" x14ac:dyDescent="0.3">
      <c r="A369" s="4" t="s">
        <v>534</v>
      </c>
      <c r="B369" s="4" t="s">
        <v>81</v>
      </c>
      <c r="C369" s="4" t="s">
        <v>107</v>
      </c>
      <c r="D369" s="4" t="s">
        <v>20</v>
      </c>
      <c r="E369" s="4" t="s">
        <v>108</v>
      </c>
      <c r="F369" s="4" t="s">
        <v>96</v>
      </c>
      <c r="G369" s="4" t="s">
        <v>1347</v>
      </c>
      <c r="H369" s="4" t="s">
        <v>24</v>
      </c>
      <c r="I369" s="4" t="s">
        <v>25</v>
      </c>
      <c r="K369" s="4" t="s">
        <v>26</v>
      </c>
      <c r="L369" s="4" t="s">
        <v>1348</v>
      </c>
      <c r="O369" s="4" t="s">
        <v>35</v>
      </c>
      <c r="P369" s="5">
        <f>DATE(2020,7,21)</f>
        <v>44033</v>
      </c>
    </row>
    <row r="370" spans="1:20" ht="55.05" customHeight="1" x14ac:dyDescent="0.3">
      <c r="A370" s="4" t="s">
        <v>534</v>
      </c>
      <c r="B370" s="4" t="s">
        <v>81</v>
      </c>
      <c r="C370" s="4" t="s">
        <v>107</v>
      </c>
      <c r="D370" s="4" t="s">
        <v>20</v>
      </c>
      <c r="E370" s="4" t="s">
        <v>108</v>
      </c>
      <c r="F370" s="4" t="s">
        <v>96</v>
      </c>
      <c r="G370" s="4" t="s">
        <v>1349</v>
      </c>
      <c r="H370" s="4" t="s">
        <v>24</v>
      </c>
      <c r="I370" s="4" t="s">
        <v>25</v>
      </c>
      <c r="K370" s="4" t="s">
        <v>26</v>
      </c>
      <c r="L370" s="4" t="s">
        <v>1350</v>
      </c>
      <c r="O370" s="4" t="s">
        <v>1351</v>
      </c>
      <c r="P370" s="5">
        <f>DATE(2023,12,22)</f>
        <v>45282</v>
      </c>
      <c r="Q370" s="4" t="s">
        <v>35</v>
      </c>
      <c r="R370" s="5">
        <f>DATE(2020,7,21)</f>
        <v>44033</v>
      </c>
    </row>
    <row r="371" spans="1:20" ht="55.05" customHeight="1" x14ac:dyDescent="0.3">
      <c r="A371" s="4" t="s">
        <v>534</v>
      </c>
      <c r="B371" s="4" t="s">
        <v>81</v>
      </c>
      <c r="C371" s="4" t="s">
        <v>107</v>
      </c>
      <c r="D371" s="4" t="s">
        <v>20</v>
      </c>
      <c r="E371" s="4" t="s">
        <v>108</v>
      </c>
      <c r="F371" s="4" t="s">
        <v>96</v>
      </c>
      <c r="G371" s="4" t="s">
        <v>1352</v>
      </c>
      <c r="H371" s="4" t="s">
        <v>24</v>
      </c>
      <c r="I371" s="4" t="s">
        <v>25</v>
      </c>
      <c r="K371" s="4" t="s">
        <v>26</v>
      </c>
      <c r="L371" s="4" t="s">
        <v>1353</v>
      </c>
      <c r="O371" s="4" t="s">
        <v>35</v>
      </c>
      <c r="P371" s="5">
        <f>DATE(2020,7,21)</f>
        <v>44033</v>
      </c>
    </row>
    <row r="372" spans="1:20" ht="55.05" customHeight="1" x14ac:dyDescent="0.3">
      <c r="A372" s="4" t="s">
        <v>534</v>
      </c>
      <c r="B372" s="4" t="s">
        <v>81</v>
      </c>
      <c r="C372" s="4" t="s">
        <v>107</v>
      </c>
      <c r="D372" s="4" t="s">
        <v>20</v>
      </c>
      <c r="E372" s="4" t="s">
        <v>108</v>
      </c>
      <c r="F372" s="4" t="s">
        <v>96</v>
      </c>
      <c r="G372" s="4" t="s">
        <v>1354</v>
      </c>
      <c r="H372" s="4" t="s">
        <v>24</v>
      </c>
      <c r="I372" s="4" t="s">
        <v>25</v>
      </c>
      <c r="K372" s="4" t="s">
        <v>26</v>
      </c>
      <c r="L372" s="4" t="s">
        <v>1355</v>
      </c>
      <c r="O372" s="4" t="s">
        <v>1329</v>
      </c>
      <c r="P372" s="5">
        <f>DATE(2023,12,21)</f>
        <v>45281</v>
      </c>
      <c r="Q372" s="4" t="s">
        <v>35</v>
      </c>
      <c r="R372" s="5">
        <f>DATE(2020,7,21)</f>
        <v>44033</v>
      </c>
    </row>
    <row r="373" spans="1:20" ht="55.05" customHeight="1" x14ac:dyDescent="0.3">
      <c r="A373" s="4" t="s">
        <v>534</v>
      </c>
      <c r="B373" s="4" t="s">
        <v>81</v>
      </c>
      <c r="C373" s="4" t="s">
        <v>107</v>
      </c>
      <c r="D373" s="4" t="s">
        <v>20</v>
      </c>
      <c r="E373" s="4" t="s">
        <v>108</v>
      </c>
      <c r="F373" s="4" t="s">
        <v>96</v>
      </c>
      <c r="G373" s="4" t="s">
        <v>1356</v>
      </c>
      <c r="H373" s="4" t="s">
        <v>24</v>
      </c>
      <c r="I373" s="4" t="s">
        <v>25</v>
      </c>
      <c r="K373" s="4" t="s">
        <v>26</v>
      </c>
      <c r="L373" s="4" t="s">
        <v>1357</v>
      </c>
      <c r="O373" s="4" t="s">
        <v>1330</v>
      </c>
      <c r="P373" s="5">
        <f>DATE(2021,1,18)</f>
        <v>44214</v>
      </c>
    </row>
    <row r="374" spans="1:20" ht="55.05" customHeight="1" x14ac:dyDescent="0.3">
      <c r="A374" s="4" t="s">
        <v>534</v>
      </c>
      <c r="B374" s="4" t="s">
        <v>81</v>
      </c>
      <c r="C374" s="4" t="s">
        <v>107</v>
      </c>
      <c r="D374" s="4" t="s">
        <v>20</v>
      </c>
      <c r="E374" s="4" t="s">
        <v>108</v>
      </c>
      <c r="F374" s="4" t="s">
        <v>96</v>
      </c>
      <c r="G374" s="4" t="s">
        <v>1358</v>
      </c>
      <c r="H374" s="4" t="s">
        <v>24</v>
      </c>
      <c r="I374" s="4" t="s">
        <v>25</v>
      </c>
      <c r="K374" s="4" t="s">
        <v>26</v>
      </c>
      <c r="L374" s="4" t="s">
        <v>1359</v>
      </c>
      <c r="O374" s="4" t="s">
        <v>1329</v>
      </c>
      <c r="P374" s="5">
        <f>DATE(2023,12,21)</f>
        <v>45281</v>
      </c>
      <c r="Q374" s="4" t="s">
        <v>1330</v>
      </c>
      <c r="R374" s="5">
        <f>DATE(2021,1,18)</f>
        <v>44214</v>
      </c>
    </row>
    <row r="375" spans="1:20" ht="55.05" customHeight="1" x14ac:dyDescent="0.3">
      <c r="A375" s="4" t="s">
        <v>534</v>
      </c>
      <c r="B375" s="4" t="s">
        <v>81</v>
      </c>
      <c r="C375" s="4" t="s">
        <v>107</v>
      </c>
      <c r="D375" s="4" t="s">
        <v>20</v>
      </c>
      <c r="E375" s="4" t="s">
        <v>108</v>
      </c>
      <c r="F375" s="4" t="s">
        <v>96</v>
      </c>
      <c r="G375" s="4" t="s">
        <v>1360</v>
      </c>
      <c r="H375" s="4" t="s">
        <v>24</v>
      </c>
      <c r="I375" s="4" t="s">
        <v>25</v>
      </c>
      <c r="K375" s="4" t="s">
        <v>26</v>
      </c>
      <c r="L375" s="4" t="s">
        <v>1361</v>
      </c>
      <c r="O375" s="4" t="s">
        <v>1345</v>
      </c>
      <c r="P375" s="5">
        <f>DATE(2023,12,21)</f>
        <v>45281</v>
      </c>
      <c r="Q375" s="4" t="s">
        <v>1362</v>
      </c>
      <c r="R375" s="5">
        <f>DATE(2023,6,27)</f>
        <v>45104</v>
      </c>
      <c r="S375" s="4" t="s">
        <v>1330</v>
      </c>
      <c r="T375" s="5">
        <f>DATE(2021,1,18)</f>
        <v>44214</v>
      </c>
    </row>
    <row r="376" spans="1:20" ht="55.05" customHeight="1" x14ac:dyDescent="0.3">
      <c r="A376" s="4" t="s">
        <v>534</v>
      </c>
      <c r="B376" s="4" t="s">
        <v>81</v>
      </c>
      <c r="C376" s="4" t="s">
        <v>107</v>
      </c>
      <c r="D376" s="4" t="s">
        <v>20</v>
      </c>
      <c r="E376" s="4" t="s">
        <v>108</v>
      </c>
      <c r="F376" s="4" t="s">
        <v>96</v>
      </c>
      <c r="G376" s="4" t="s">
        <v>1363</v>
      </c>
      <c r="H376" s="4" t="s">
        <v>24</v>
      </c>
      <c r="I376" s="4" t="s">
        <v>25</v>
      </c>
      <c r="K376" s="4" t="s">
        <v>26</v>
      </c>
      <c r="L376" s="4" t="s">
        <v>1364</v>
      </c>
      <c r="O376" s="4" t="s">
        <v>35</v>
      </c>
      <c r="P376" s="5">
        <f>DATE(2020,7,21)</f>
        <v>44033</v>
      </c>
    </row>
    <row r="377" spans="1:20" ht="55.05" customHeight="1" x14ac:dyDescent="0.3">
      <c r="A377" s="4" t="s">
        <v>534</v>
      </c>
      <c r="B377" s="4" t="s">
        <v>81</v>
      </c>
      <c r="C377" s="4" t="s">
        <v>107</v>
      </c>
      <c r="D377" s="4" t="s">
        <v>20</v>
      </c>
      <c r="E377" s="4" t="s">
        <v>108</v>
      </c>
      <c r="F377" s="4" t="s">
        <v>96</v>
      </c>
      <c r="G377" s="4" t="s">
        <v>1365</v>
      </c>
      <c r="H377" s="4" t="s">
        <v>24</v>
      </c>
      <c r="I377" s="4" t="s">
        <v>25</v>
      </c>
      <c r="K377" s="4" t="s">
        <v>26</v>
      </c>
      <c r="L377" s="4" t="s">
        <v>1366</v>
      </c>
      <c r="O377" s="4" t="s">
        <v>1367</v>
      </c>
      <c r="P377" s="5">
        <f>DATE(2023,12,21)</f>
        <v>45281</v>
      </c>
      <c r="Q377" s="4" t="s">
        <v>35</v>
      </c>
      <c r="R377" s="5">
        <f>DATE(2020,7,21)</f>
        <v>44033</v>
      </c>
    </row>
    <row r="378" spans="1:20" ht="55.05" customHeight="1" x14ac:dyDescent="0.3">
      <c r="A378" s="4" t="s">
        <v>534</v>
      </c>
      <c r="B378" s="4" t="s">
        <v>81</v>
      </c>
      <c r="C378" s="4" t="s">
        <v>107</v>
      </c>
      <c r="D378" s="4" t="s">
        <v>20</v>
      </c>
      <c r="E378" s="4" t="s">
        <v>108</v>
      </c>
      <c r="F378" s="4" t="s">
        <v>96</v>
      </c>
      <c r="G378" s="4" t="s">
        <v>1368</v>
      </c>
      <c r="H378" s="4" t="s">
        <v>24</v>
      </c>
      <c r="I378" s="4" t="s">
        <v>25</v>
      </c>
      <c r="K378" s="4" t="s">
        <v>26</v>
      </c>
      <c r="L378" s="4" t="s">
        <v>1369</v>
      </c>
      <c r="O378" s="4" t="s">
        <v>1346</v>
      </c>
      <c r="P378" s="5">
        <f>DATE(2023,6,27)</f>
        <v>45104</v>
      </c>
      <c r="Q378" s="4" t="s">
        <v>1370</v>
      </c>
      <c r="R378" s="5">
        <f>DATE(2020,2,20)</f>
        <v>43881</v>
      </c>
    </row>
    <row r="379" spans="1:20" ht="55.05" customHeight="1" x14ac:dyDescent="0.3">
      <c r="A379" s="4" t="s">
        <v>534</v>
      </c>
      <c r="B379" s="4" t="s">
        <v>81</v>
      </c>
      <c r="C379" s="4" t="s">
        <v>107</v>
      </c>
      <c r="D379" s="4" t="s">
        <v>20</v>
      </c>
      <c r="E379" s="4" t="s">
        <v>108</v>
      </c>
      <c r="F379" s="4" t="s">
        <v>96</v>
      </c>
      <c r="G379" s="4" t="s">
        <v>1371</v>
      </c>
      <c r="H379" s="4" t="s">
        <v>24</v>
      </c>
      <c r="I379" s="4" t="s">
        <v>25</v>
      </c>
      <c r="K379" s="4" t="s">
        <v>26</v>
      </c>
      <c r="L379" s="4" t="s">
        <v>1372</v>
      </c>
      <c r="O379" s="4" t="s">
        <v>1373</v>
      </c>
      <c r="P379" s="5">
        <f>DATE(2023,2,27)</f>
        <v>44984</v>
      </c>
      <c r="Q379" s="4" t="s">
        <v>1374</v>
      </c>
      <c r="R379" s="5">
        <f>DATE(2021,11,25)</f>
        <v>44525</v>
      </c>
    </row>
    <row r="380" spans="1:20" ht="55.05" customHeight="1" x14ac:dyDescent="0.3">
      <c r="A380" s="4" t="s">
        <v>534</v>
      </c>
      <c r="B380" s="4" t="s">
        <v>81</v>
      </c>
      <c r="C380" s="4" t="s">
        <v>107</v>
      </c>
      <c r="D380" s="4" t="s">
        <v>1375</v>
      </c>
      <c r="E380" s="4" t="s">
        <v>1376</v>
      </c>
      <c r="F380" s="4" t="s">
        <v>96</v>
      </c>
      <c r="G380" s="4" t="s">
        <v>1377</v>
      </c>
      <c r="H380" s="4" t="s">
        <v>24</v>
      </c>
      <c r="I380" s="4" t="s">
        <v>25</v>
      </c>
      <c r="K380" s="4" t="s">
        <v>26</v>
      </c>
      <c r="L380" s="4" t="s">
        <v>1378</v>
      </c>
      <c r="O380" s="4" t="s">
        <v>1379</v>
      </c>
      <c r="P380" s="5">
        <f>DATE(2023,1,24)</f>
        <v>44950</v>
      </c>
      <c r="Q380" s="4" t="s">
        <v>1380</v>
      </c>
      <c r="R380" s="5">
        <f>DATE(2020,10,6)</f>
        <v>44110</v>
      </c>
    </row>
    <row r="381" spans="1:20" ht="55.05" customHeight="1" x14ac:dyDescent="0.3">
      <c r="A381" s="4" t="s">
        <v>534</v>
      </c>
      <c r="B381" s="4" t="s">
        <v>81</v>
      </c>
      <c r="C381" s="4" t="s">
        <v>107</v>
      </c>
      <c r="D381" s="4" t="s">
        <v>113</v>
      </c>
      <c r="E381" s="4" t="s">
        <v>114</v>
      </c>
      <c r="F381" s="4" t="s">
        <v>96</v>
      </c>
      <c r="G381" s="4" t="s">
        <v>1381</v>
      </c>
      <c r="H381" s="4" t="s">
        <v>24</v>
      </c>
      <c r="I381" s="4" t="s">
        <v>25</v>
      </c>
      <c r="K381" s="4" t="s">
        <v>26</v>
      </c>
      <c r="L381" s="4" t="s">
        <v>1382</v>
      </c>
      <c r="O381" s="4" t="s">
        <v>1383</v>
      </c>
      <c r="P381" s="5">
        <f>DATE(2023,4,24)</f>
        <v>45040</v>
      </c>
      <c r="Q381" s="4" t="s">
        <v>1384</v>
      </c>
      <c r="R381" s="5">
        <f>DATE(2020,5,13)</f>
        <v>43964</v>
      </c>
    </row>
    <row r="382" spans="1:20" ht="55.05" customHeight="1" x14ac:dyDescent="0.3">
      <c r="A382" s="4" t="s">
        <v>534</v>
      </c>
      <c r="B382" s="4" t="s">
        <v>81</v>
      </c>
      <c r="C382" s="4" t="s">
        <v>107</v>
      </c>
      <c r="D382" s="4" t="s">
        <v>113</v>
      </c>
      <c r="E382" s="4" t="s">
        <v>114</v>
      </c>
      <c r="F382" s="4" t="s">
        <v>96</v>
      </c>
      <c r="G382" s="4" t="s">
        <v>1385</v>
      </c>
      <c r="H382" s="4" t="s">
        <v>24</v>
      </c>
      <c r="I382" s="4" t="s">
        <v>25</v>
      </c>
      <c r="K382" s="4" t="s">
        <v>26</v>
      </c>
      <c r="L382" s="4" t="s">
        <v>1386</v>
      </c>
      <c r="O382" s="4" t="s">
        <v>1387</v>
      </c>
      <c r="P382" s="5">
        <f>DATE(2023,9,18)</f>
        <v>45187</v>
      </c>
      <c r="Q382" s="4" t="s">
        <v>35</v>
      </c>
      <c r="R382" s="5">
        <f>DATE(2020,7,21)</f>
        <v>44033</v>
      </c>
    </row>
    <row r="383" spans="1:20" ht="55.05" customHeight="1" x14ac:dyDescent="0.3">
      <c r="A383" s="4" t="s">
        <v>534</v>
      </c>
      <c r="B383" s="4" t="s">
        <v>81</v>
      </c>
      <c r="C383" s="4" t="s">
        <v>107</v>
      </c>
      <c r="D383" s="4" t="s">
        <v>113</v>
      </c>
      <c r="E383" s="4" t="s">
        <v>114</v>
      </c>
      <c r="F383" s="4" t="s">
        <v>96</v>
      </c>
      <c r="G383" s="4" t="s">
        <v>1388</v>
      </c>
      <c r="H383" s="4" t="s">
        <v>24</v>
      </c>
      <c r="I383" s="4" t="s">
        <v>25</v>
      </c>
      <c r="K383" s="4" t="s">
        <v>26</v>
      </c>
      <c r="L383" s="4" t="s">
        <v>1389</v>
      </c>
      <c r="O383" s="4" t="s">
        <v>35</v>
      </c>
      <c r="P383" s="5">
        <f>DATE(2020,7,21)</f>
        <v>44033</v>
      </c>
    </row>
    <row r="384" spans="1:20" ht="55.05" customHeight="1" x14ac:dyDescent="0.3">
      <c r="A384" s="4" t="s">
        <v>534</v>
      </c>
      <c r="B384" s="4" t="s">
        <v>81</v>
      </c>
      <c r="C384" s="4" t="s">
        <v>107</v>
      </c>
      <c r="D384" s="4" t="s">
        <v>113</v>
      </c>
      <c r="E384" s="4" t="s">
        <v>114</v>
      </c>
      <c r="F384" s="4" t="s">
        <v>96</v>
      </c>
      <c r="G384" s="4" t="s">
        <v>1390</v>
      </c>
      <c r="H384" s="4" t="s">
        <v>24</v>
      </c>
      <c r="I384" s="4" t="s">
        <v>25</v>
      </c>
      <c r="K384" s="4" t="s">
        <v>26</v>
      </c>
      <c r="L384" s="4" t="s">
        <v>1391</v>
      </c>
      <c r="O384" s="4" t="s">
        <v>1006</v>
      </c>
      <c r="P384" s="5">
        <f>DATE(2021,10,21)</f>
        <v>44490</v>
      </c>
    </row>
    <row r="385" spans="1:26" ht="55.05" customHeight="1" x14ac:dyDescent="0.3">
      <c r="A385" s="4" t="s">
        <v>534</v>
      </c>
      <c r="B385" s="4" t="s">
        <v>81</v>
      </c>
      <c r="C385" s="4" t="s">
        <v>107</v>
      </c>
      <c r="D385" s="4" t="s">
        <v>113</v>
      </c>
      <c r="E385" s="4" t="s">
        <v>114</v>
      </c>
      <c r="F385" s="4" t="s">
        <v>96</v>
      </c>
      <c r="G385" s="4" t="s">
        <v>1392</v>
      </c>
      <c r="H385" s="4" t="s">
        <v>24</v>
      </c>
      <c r="I385" s="4" t="s">
        <v>25</v>
      </c>
      <c r="K385" s="4" t="s">
        <v>26</v>
      </c>
      <c r="L385" s="4" t="s">
        <v>1393</v>
      </c>
      <c r="O385" s="4" t="s">
        <v>1394</v>
      </c>
      <c r="P385" s="5">
        <f>DATE(2022,6,20)</f>
        <v>44732</v>
      </c>
      <c r="Q385" s="4" t="s">
        <v>35</v>
      </c>
      <c r="R385" s="5">
        <f>DATE(2020,7,21)</f>
        <v>44033</v>
      </c>
    </row>
    <row r="386" spans="1:26" ht="55.05" customHeight="1" x14ac:dyDescent="0.3">
      <c r="A386" s="4" t="s">
        <v>534</v>
      </c>
      <c r="B386" s="4" t="s">
        <v>81</v>
      </c>
      <c r="C386" s="4" t="s">
        <v>107</v>
      </c>
      <c r="D386" s="4" t="s">
        <v>113</v>
      </c>
      <c r="E386" s="4" t="s">
        <v>425</v>
      </c>
      <c r="F386" s="4" t="s">
        <v>96</v>
      </c>
      <c r="G386" s="4" t="s">
        <v>1395</v>
      </c>
      <c r="H386" s="4" t="s">
        <v>24</v>
      </c>
      <c r="I386" s="4" t="s">
        <v>25</v>
      </c>
      <c r="K386" s="4" t="s">
        <v>26</v>
      </c>
      <c r="L386" s="4" t="s">
        <v>1396</v>
      </c>
      <c r="O386" s="4" t="s">
        <v>1397</v>
      </c>
      <c r="P386" s="5">
        <f>DATE(2022,5,24)</f>
        <v>44705</v>
      </c>
      <c r="Q386" s="4" t="s">
        <v>1398</v>
      </c>
      <c r="R386" s="5">
        <f>DATE(2021,8,12)</f>
        <v>44420</v>
      </c>
    </row>
    <row r="387" spans="1:26" ht="55.05" customHeight="1" x14ac:dyDescent="0.3">
      <c r="A387" s="4" t="s">
        <v>534</v>
      </c>
      <c r="B387" s="4" t="s">
        <v>81</v>
      </c>
      <c r="C387" s="4" t="s">
        <v>428</v>
      </c>
      <c r="D387" s="4" t="s">
        <v>20</v>
      </c>
      <c r="E387" s="4" t="s">
        <v>429</v>
      </c>
      <c r="F387" s="4" t="s">
        <v>96</v>
      </c>
      <c r="G387" s="4" t="s">
        <v>1399</v>
      </c>
      <c r="H387" s="4" t="s">
        <v>24</v>
      </c>
      <c r="I387" s="4" t="s">
        <v>25</v>
      </c>
      <c r="K387" s="4" t="s">
        <v>26</v>
      </c>
      <c r="L387" s="4" t="s">
        <v>1400</v>
      </c>
      <c r="O387" s="4" t="s">
        <v>1401</v>
      </c>
      <c r="P387" s="5">
        <f>DATE(2022,5,30)</f>
        <v>44711</v>
      </c>
      <c r="Q387" s="4" t="s">
        <v>1402</v>
      </c>
      <c r="R387" s="5">
        <f>DATE(2022,3,30)</f>
        <v>44650</v>
      </c>
      <c r="S387" s="4" t="s">
        <v>1403</v>
      </c>
      <c r="T387" s="5">
        <f>DATE(2020,11,3)</f>
        <v>44138</v>
      </c>
    </row>
    <row r="388" spans="1:26" ht="55.05" customHeight="1" x14ac:dyDescent="0.3">
      <c r="A388" s="4" t="s">
        <v>534</v>
      </c>
      <c r="B388" s="4" t="s">
        <v>81</v>
      </c>
      <c r="C388" s="4" t="s">
        <v>436</v>
      </c>
      <c r="D388" s="4" t="s">
        <v>20</v>
      </c>
      <c r="E388" s="4" t="s">
        <v>437</v>
      </c>
      <c r="F388" s="4" t="s">
        <v>42</v>
      </c>
      <c r="G388" s="4" t="s">
        <v>1404</v>
      </c>
      <c r="H388" s="4" t="s">
        <v>24</v>
      </c>
      <c r="I388" s="4" t="s">
        <v>25</v>
      </c>
      <c r="K388" s="4" t="s">
        <v>26</v>
      </c>
      <c r="L388" s="4" t="s">
        <v>1405</v>
      </c>
      <c r="O388" s="4" t="s">
        <v>1406</v>
      </c>
      <c r="P388" s="5">
        <f>DATE(2023,7,18)</f>
        <v>45125</v>
      </c>
      <c r="Q388" s="4" t="s">
        <v>53</v>
      </c>
      <c r="R388" s="5">
        <f>DATE(2021,12,21)</f>
        <v>44551</v>
      </c>
      <c r="S388" s="4" t="s">
        <v>682</v>
      </c>
      <c r="T388" s="5">
        <f>DATE(2021,10,21)</f>
        <v>44490</v>
      </c>
    </row>
    <row r="389" spans="1:26" ht="55.05" customHeight="1" x14ac:dyDescent="0.3">
      <c r="A389" s="4" t="s">
        <v>534</v>
      </c>
      <c r="B389" s="4" t="s">
        <v>81</v>
      </c>
      <c r="C389" s="4" t="s">
        <v>436</v>
      </c>
      <c r="D389" s="4" t="s">
        <v>20</v>
      </c>
      <c r="E389" s="4" t="s">
        <v>437</v>
      </c>
      <c r="F389" s="4" t="s">
        <v>42</v>
      </c>
      <c r="G389" s="4" t="s">
        <v>1407</v>
      </c>
      <c r="H389" s="4" t="s">
        <v>24</v>
      </c>
      <c r="I389" s="4" t="s">
        <v>25</v>
      </c>
      <c r="K389" s="4" t="s">
        <v>26</v>
      </c>
      <c r="L389" s="4" t="s">
        <v>1408</v>
      </c>
      <c r="O389" s="4" t="s">
        <v>1409</v>
      </c>
      <c r="P389" s="5">
        <f>DATE(2023,11,4)</f>
        <v>45234</v>
      </c>
      <c r="Q389" s="4" t="s">
        <v>1410</v>
      </c>
      <c r="R389" s="5">
        <f>DATE(2023,9,21)</f>
        <v>45190</v>
      </c>
      <c r="S389" s="4" t="s">
        <v>1411</v>
      </c>
      <c r="T389" s="5">
        <f>DATE(2023,1,31)</f>
        <v>44957</v>
      </c>
      <c r="U389" s="4" t="s">
        <v>53</v>
      </c>
      <c r="V389" s="5">
        <f>DATE(2021,12,21)</f>
        <v>44551</v>
      </c>
      <c r="W389" s="4" t="s">
        <v>1412</v>
      </c>
      <c r="X389" s="5">
        <f>DATE(2021,9,22)</f>
        <v>44461</v>
      </c>
    </row>
    <row r="390" spans="1:26" ht="55.05" customHeight="1" x14ac:dyDescent="0.3">
      <c r="A390" s="4" t="s">
        <v>534</v>
      </c>
      <c r="B390" s="4" t="s">
        <v>81</v>
      </c>
      <c r="C390" s="4" t="s">
        <v>436</v>
      </c>
      <c r="D390" s="4" t="s">
        <v>20</v>
      </c>
      <c r="E390" s="4" t="s">
        <v>437</v>
      </c>
      <c r="F390" s="4" t="s">
        <v>42</v>
      </c>
      <c r="G390" s="4" t="s">
        <v>1413</v>
      </c>
      <c r="H390" s="4" t="s">
        <v>24</v>
      </c>
      <c r="I390" s="4" t="s">
        <v>25</v>
      </c>
      <c r="K390" s="4" t="s">
        <v>26</v>
      </c>
      <c r="L390" s="4" t="s">
        <v>1414</v>
      </c>
      <c r="O390" s="4" t="s">
        <v>1415</v>
      </c>
      <c r="P390" s="5">
        <f>DATE(2023,3,13)</f>
        <v>44998</v>
      </c>
      <c r="Q390" s="4" t="s">
        <v>1416</v>
      </c>
      <c r="R390" s="5">
        <f>DATE(2022,8,25)</f>
        <v>44798</v>
      </c>
      <c r="S390" s="4" t="s">
        <v>1417</v>
      </c>
      <c r="T390" s="5">
        <f>DATE(2022,4,5)</f>
        <v>44656</v>
      </c>
      <c r="U390" s="4" t="s">
        <v>53</v>
      </c>
      <c r="V390" s="5">
        <f>DATE(2021,12,21)</f>
        <v>44551</v>
      </c>
      <c r="W390" s="4" t="s">
        <v>1418</v>
      </c>
      <c r="X390" s="5">
        <f>DATE(2021,10,21)</f>
        <v>44490</v>
      </c>
    </row>
    <row r="391" spans="1:26" ht="55.05" customHeight="1" x14ac:dyDescent="0.3">
      <c r="A391" s="4" t="s">
        <v>534</v>
      </c>
      <c r="B391" s="4" t="s">
        <v>81</v>
      </c>
      <c r="C391" s="4" t="s">
        <v>436</v>
      </c>
      <c r="D391" s="4" t="s">
        <v>20</v>
      </c>
      <c r="E391" s="4" t="s">
        <v>437</v>
      </c>
      <c r="F391" s="4" t="s">
        <v>42</v>
      </c>
      <c r="G391" s="4" t="s">
        <v>1419</v>
      </c>
      <c r="H391" s="4" t="s">
        <v>24</v>
      </c>
      <c r="I391" s="4" t="s">
        <v>25</v>
      </c>
      <c r="K391" s="4" t="s">
        <v>26</v>
      </c>
      <c r="L391" s="4" t="s">
        <v>1420</v>
      </c>
      <c r="O391" s="4" t="s">
        <v>1421</v>
      </c>
      <c r="P391" s="5">
        <f>DATE(2023,10,24)</f>
        <v>45223</v>
      </c>
      <c r="Q391" s="4" t="s">
        <v>1422</v>
      </c>
      <c r="R391" s="5">
        <f>DATE(2022,9,7)</f>
        <v>44811</v>
      </c>
      <c r="S391" s="4" t="s">
        <v>1423</v>
      </c>
      <c r="T391" s="5">
        <f>DATE(2022,6,15)</f>
        <v>44727</v>
      </c>
      <c r="U391" s="4" t="s">
        <v>1418</v>
      </c>
      <c r="V391" s="5">
        <f>DATE(2021,10,21)</f>
        <v>44490</v>
      </c>
    </row>
    <row r="392" spans="1:26" ht="55.05" customHeight="1" x14ac:dyDescent="0.3">
      <c r="A392" s="4" t="s">
        <v>534</v>
      </c>
      <c r="B392" s="4" t="s">
        <v>81</v>
      </c>
      <c r="C392" s="4" t="s">
        <v>436</v>
      </c>
      <c r="D392" s="4" t="s">
        <v>20</v>
      </c>
      <c r="E392" s="4" t="s">
        <v>437</v>
      </c>
      <c r="F392" s="4" t="s">
        <v>42</v>
      </c>
      <c r="G392" s="4" t="s">
        <v>1424</v>
      </c>
      <c r="H392" s="4" t="s">
        <v>24</v>
      </c>
      <c r="I392" s="4" t="s">
        <v>25</v>
      </c>
      <c r="K392" s="4" t="s">
        <v>26</v>
      </c>
      <c r="L392" s="4" t="s">
        <v>1425</v>
      </c>
      <c r="O392" s="4" t="s">
        <v>1426</v>
      </c>
      <c r="P392" s="5">
        <f>DATE(2023,8,2)</f>
        <v>45140</v>
      </c>
      <c r="Q392" s="4" t="s">
        <v>1427</v>
      </c>
      <c r="R392" s="5">
        <f>DATE(2022,1,31)</f>
        <v>44592</v>
      </c>
      <c r="S392" s="4" t="s">
        <v>1428</v>
      </c>
      <c r="T392" s="5">
        <f>DATE(2021,8,3)</f>
        <v>44411</v>
      </c>
    </row>
    <row r="393" spans="1:26" ht="55.05" customHeight="1" x14ac:dyDescent="0.3">
      <c r="A393" s="4" t="s">
        <v>534</v>
      </c>
      <c r="B393" s="4" t="s">
        <v>81</v>
      </c>
      <c r="C393" s="4" t="s">
        <v>436</v>
      </c>
      <c r="D393" s="4" t="s">
        <v>20</v>
      </c>
      <c r="E393" s="4" t="s">
        <v>437</v>
      </c>
      <c r="F393" s="4" t="s">
        <v>42</v>
      </c>
      <c r="G393" s="4" t="s">
        <v>1429</v>
      </c>
      <c r="H393" s="4" t="s">
        <v>24</v>
      </c>
      <c r="I393" s="4" t="s">
        <v>25</v>
      </c>
      <c r="K393" s="4" t="s">
        <v>26</v>
      </c>
      <c r="L393" s="4" t="s">
        <v>1430</v>
      </c>
      <c r="O393" s="4" t="s">
        <v>1431</v>
      </c>
      <c r="P393" s="5">
        <f>DATE(2022,9,26)</f>
        <v>44830</v>
      </c>
      <c r="Q393" s="4" t="s">
        <v>1432</v>
      </c>
      <c r="R393" s="5">
        <f>DATE(2022,5,13)</f>
        <v>44694</v>
      </c>
      <c r="S393" s="4" t="s">
        <v>1433</v>
      </c>
      <c r="T393" s="5">
        <f>DATE(2020,6,22)</f>
        <v>44004</v>
      </c>
    </row>
    <row r="394" spans="1:26" ht="55.05" customHeight="1" x14ac:dyDescent="0.3">
      <c r="A394" s="4" t="s">
        <v>534</v>
      </c>
      <c r="B394" s="4" t="s">
        <v>81</v>
      </c>
      <c r="C394" s="4" t="s">
        <v>436</v>
      </c>
      <c r="D394" s="4" t="s">
        <v>20</v>
      </c>
      <c r="E394" s="4" t="s">
        <v>437</v>
      </c>
      <c r="F394" s="4" t="s">
        <v>42</v>
      </c>
      <c r="G394" s="4" t="s">
        <v>1434</v>
      </c>
      <c r="H394" s="4" t="s">
        <v>24</v>
      </c>
      <c r="I394" s="4" t="s">
        <v>25</v>
      </c>
      <c r="K394" s="4" t="s">
        <v>26</v>
      </c>
      <c r="L394" s="4" t="s">
        <v>1435</v>
      </c>
      <c r="O394" s="4" t="s">
        <v>1436</v>
      </c>
      <c r="P394" s="5">
        <f>DATE(2023,4,24)</f>
        <v>45040</v>
      </c>
      <c r="Q394" s="4" t="s">
        <v>1437</v>
      </c>
      <c r="R394" s="5">
        <f>DATE(2022,2,25)</f>
        <v>44617</v>
      </c>
      <c r="S394" s="4" t="s">
        <v>53</v>
      </c>
      <c r="T394" s="5">
        <f>DATE(2021,12,21)</f>
        <v>44551</v>
      </c>
      <c r="U394" s="4" t="s">
        <v>1438</v>
      </c>
      <c r="V394" s="5">
        <f>DATE(2020,3,20)</f>
        <v>43910</v>
      </c>
    </row>
    <row r="395" spans="1:26" ht="55.05" customHeight="1" x14ac:dyDescent="0.3">
      <c r="A395" s="4" t="s">
        <v>534</v>
      </c>
      <c r="B395" s="4" t="s">
        <v>81</v>
      </c>
      <c r="C395" s="4" t="s">
        <v>436</v>
      </c>
      <c r="D395" s="4" t="s">
        <v>20</v>
      </c>
      <c r="E395" s="4" t="s">
        <v>437</v>
      </c>
      <c r="F395" s="4" t="s">
        <v>42</v>
      </c>
      <c r="G395" s="4" t="s">
        <v>1439</v>
      </c>
      <c r="H395" s="4" t="s">
        <v>24</v>
      </c>
      <c r="I395" s="4" t="s">
        <v>25</v>
      </c>
      <c r="K395" s="4" t="s">
        <v>26</v>
      </c>
      <c r="L395" s="4" t="s">
        <v>1440</v>
      </c>
      <c r="O395" s="4" t="s">
        <v>1441</v>
      </c>
      <c r="P395" s="5">
        <f>DATE(2023,12,20)</f>
        <v>45280</v>
      </c>
      <c r="Q395" s="4" t="s">
        <v>53</v>
      </c>
      <c r="R395" s="5">
        <f>DATE(2021,12,21)</f>
        <v>44551</v>
      </c>
      <c r="S395" s="4" t="s">
        <v>1442</v>
      </c>
      <c r="T395" s="5">
        <f>DATE(2020,3,20)</f>
        <v>43910</v>
      </c>
    </row>
    <row r="396" spans="1:26" ht="55.05" customHeight="1" x14ac:dyDescent="0.3">
      <c r="A396" s="4" t="s">
        <v>534</v>
      </c>
      <c r="B396" s="4" t="s">
        <v>81</v>
      </c>
      <c r="C396" s="4" t="s">
        <v>436</v>
      </c>
      <c r="D396" s="4" t="s">
        <v>20</v>
      </c>
      <c r="E396" s="4" t="s">
        <v>437</v>
      </c>
      <c r="F396" s="4" t="s">
        <v>42</v>
      </c>
      <c r="G396" s="4" t="s">
        <v>1443</v>
      </c>
      <c r="H396" s="4" t="s">
        <v>24</v>
      </c>
      <c r="I396" s="4" t="s">
        <v>25</v>
      </c>
      <c r="K396" s="4" t="s">
        <v>26</v>
      </c>
      <c r="L396" s="4" t="s">
        <v>1444</v>
      </c>
      <c r="O396" s="4" t="s">
        <v>1445</v>
      </c>
      <c r="P396" s="5">
        <f>DATE(2023,5,10)</f>
        <v>45056</v>
      </c>
      <c r="Q396" s="4" t="s">
        <v>1446</v>
      </c>
      <c r="R396" s="5">
        <f>DATE(2023,1,30)</f>
        <v>44956</v>
      </c>
      <c r="S396" s="4" t="s">
        <v>1416</v>
      </c>
      <c r="T396" s="5">
        <f>DATE(2022,8,25)</f>
        <v>44798</v>
      </c>
      <c r="U396" s="4" t="s">
        <v>1447</v>
      </c>
      <c r="V396" s="5">
        <f>DATE(2022,8,17)</f>
        <v>44790</v>
      </c>
      <c r="W396" s="4" t="s">
        <v>1448</v>
      </c>
      <c r="X396" s="5">
        <f>DATE(2021,12,21)</f>
        <v>44551</v>
      </c>
      <c r="Y396" s="4" t="s">
        <v>1449</v>
      </c>
      <c r="Z396" s="5">
        <f>DATE(2021,4,26)</f>
        <v>44312</v>
      </c>
    </row>
    <row r="397" spans="1:26" ht="55.05" customHeight="1" x14ac:dyDescent="0.3">
      <c r="A397" s="4" t="s">
        <v>534</v>
      </c>
      <c r="B397" s="4" t="s">
        <v>81</v>
      </c>
      <c r="C397" s="4" t="s">
        <v>436</v>
      </c>
      <c r="D397" s="4" t="s">
        <v>20</v>
      </c>
      <c r="E397" s="4" t="s">
        <v>437</v>
      </c>
      <c r="F397" s="4" t="s">
        <v>42</v>
      </c>
      <c r="G397" s="4" t="s">
        <v>1450</v>
      </c>
      <c r="H397" s="4" t="s">
        <v>24</v>
      </c>
      <c r="I397" s="4" t="s">
        <v>25</v>
      </c>
      <c r="K397" s="4" t="s">
        <v>26</v>
      </c>
      <c r="L397" s="4" t="s">
        <v>1451</v>
      </c>
      <c r="O397" s="4" t="s">
        <v>1452</v>
      </c>
      <c r="P397" s="5">
        <f>DATE(2022,12,28)</f>
        <v>44923</v>
      </c>
      <c r="Q397" s="4" t="s">
        <v>53</v>
      </c>
      <c r="R397" s="5">
        <f>DATE(2021,12,21)</f>
        <v>44551</v>
      </c>
      <c r="S397" s="4" t="s">
        <v>1453</v>
      </c>
      <c r="T397" s="5">
        <f>DATE(2020,4,16)</f>
        <v>43937</v>
      </c>
    </row>
    <row r="398" spans="1:26" ht="55.05" customHeight="1" x14ac:dyDescent="0.3">
      <c r="A398" s="4" t="s">
        <v>534</v>
      </c>
      <c r="B398" s="4" t="s">
        <v>81</v>
      </c>
      <c r="C398" s="4" t="s">
        <v>436</v>
      </c>
      <c r="D398" s="4" t="s">
        <v>20</v>
      </c>
      <c r="E398" s="4" t="s">
        <v>437</v>
      </c>
      <c r="F398" s="4" t="s">
        <v>42</v>
      </c>
      <c r="G398" s="4" t="s">
        <v>1454</v>
      </c>
      <c r="H398" s="4" t="s">
        <v>24</v>
      </c>
      <c r="I398" s="4" t="s">
        <v>25</v>
      </c>
      <c r="K398" s="4" t="s">
        <v>26</v>
      </c>
      <c r="L398" s="4" t="s">
        <v>1455</v>
      </c>
      <c r="O398" s="4" t="s">
        <v>1456</v>
      </c>
      <c r="P398" s="5">
        <f>DATE(2023,11,21)</f>
        <v>45251</v>
      </c>
      <c r="Q398" s="4" t="s">
        <v>1446</v>
      </c>
      <c r="R398" s="5">
        <f>DATE(2023,1,30)</f>
        <v>44956</v>
      </c>
      <c r="S398" s="4" t="s">
        <v>1448</v>
      </c>
      <c r="T398" s="5">
        <f>DATE(2021,12,21)</f>
        <v>44551</v>
      </c>
      <c r="U398" s="4" t="s">
        <v>1457</v>
      </c>
      <c r="V398" s="5">
        <f>DATE(2021,9,29)</f>
        <v>44468</v>
      </c>
    </row>
    <row r="399" spans="1:26" ht="55.05" customHeight="1" x14ac:dyDescent="0.3">
      <c r="A399" s="4" t="s">
        <v>534</v>
      </c>
      <c r="B399" s="4" t="s">
        <v>81</v>
      </c>
      <c r="C399" s="4" t="s">
        <v>436</v>
      </c>
      <c r="D399" s="4" t="s">
        <v>20</v>
      </c>
      <c r="E399" s="4" t="s">
        <v>437</v>
      </c>
      <c r="F399" s="4" t="s">
        <v>42</v>
      </c>
      <c r="G399" s="4" t="s">
        <v>1458</v>
      </c>
      <c r="H399" s="4" t="s">
        <v>24</v>
      </c>
      <c r="I399" s="4" t="s">
        <v>25</v>
      </c>
      <c r="K399" s="4" t="s">
        <v>26</v>
      </c>
      <c r="L399" s="4" t="s">
        <v>1459</v>
      </c>
      <c r="O399" s="4" t="s">
        <v>1460</v>
      </c>
      <c r="P399" s="5">
        <f>DATE(2023,3,21)</f>
        <v>45006</v>
      </c>
      <c r="Q399" s="4" t="s">
        <v>1461</v>
      </c>
      <c r="R399" s="5">
        <f>DATE(2022,11,18)</f>
        <v>44883</v>
      </c>
      <c r="S399" s="4" t="s">
        <v>1462</v>
      </c>
      <c r="T399" s="5">
        <f>DATE(2022,7,6)</f>
        <v>44748</v>
      </c>
      <c r="U399" s="4" t="s">
        <v>1463</v>
      </c>
      <c r="V399" s="5">
        <f>DATE(2021,11,29)</f>
        <v>44529</v>
      </c>
    </row>
    <row r="400" spans="1:26" ht="55.05" customHeight="1" x14ac:dyDescent="0.3">
      <c r="A400" s="4" t="s">
        <v>534</v>
      </c>
      <c r="B400" s="4" t="s">
        <v>81</v>
      </c>
      <c r="C400" s="4" t="s">
        <v>436</v>
      </c>
      <c r="D400" s="4" t="s">
        <v>20</v>
      </c>
      <c r="E400" s="4" t="s">
        <v>437</v>
      </c>
      <c r="F400" s="4" t="s">
        <v>42</v>
      </c>
      <c r="G400" s="4" t="s">
        <v>1464</v>
      </c>
      <c r="H400" s="4" t="s">
        <v>24</v>
      </c>
      <c r="I400" s="4" t="s">
        <v>25</v>
      </c>
      <c r="K400" s="4" t="s">
        <v>26</v>
      </c>
      <c r="L400" s="4" t="s">
        <v>1465</v>
      </c>
      <c r="O400" s="4" t="s">
        <v>1466</v>
      </c>
      <c r="P400" s="5">
        <f>DATE(2023,6,16)</f>
        <v>45093</v>
      </c>
      <c r="Q400" s="4" t="s">
        <v>1467</v>
      </c>
      <c r="R400" s="5">
        <f>DATE(2021,12,14)</f>
        <v>44544</v>
      </c>
    </row>
    <row r="401" spans="1:26" ht="55.05" customHeight="1" x14ac:dyDescent="0.3">
      <c r="A401" s="4" t="s">
        <v>534</v>
      </c>
      <c r="B401" s="4" t="s">
        <v>81</v>
      </c>
      <c r="C401" s="4" t="s">
        <v>436</v>
      </c>
      <c r="D401" s="4" t="s">
        <v>20</v>
      </c>
      <c r="E401" s="4" t="s">
        <v>437</v>
      </c>
      <c r="F401" s="4" t="s">
        <v>42</v>
      </c>
      <c r="G401" s="4" t="s">
        <v>1468</v>
      </c>
      <c r="H401" s="4" t="s">
        <v>24</v>
      </c>
      <c r="I401" s="4" t="s">
        <v>25</v>
      </c>
      <c r="K401" s="4" t="s">
        <v>26</v>
      </c>
      <c r="L401" s="4" t="s">
        <v>1469</v>
      </c>
      <c r="O401" s="4" t="s">
        <v>1411</v>
      </c>
      <c r="P401" s="5">
        <f>DATE(2023,1,31)</f>
        <v>44957</v>
      </c>
      <c r="Q401" s="4" t="s">
        <v>1448</v>
      </c>
      <c r="R401" s="5">
        <f>DATE(2021,12,21)</f>
        <v>44551</v>
      </c>
      <c r="S401" s="4" t="s">
        <v>1470</v>
      </c>
      <c r="T401" s="5">
        <f>DATE(2021,1,28)</f>
        <v>44224</v>
      </c>
    </row>
    <row r="402" spans="1:26" ht="55.05" customHeight="1" x14ac:dyDescent="0.3">
      <c r="A402" s="4" t="s">
        <v>534</v>
      </c>
      <c r="B402" s="4" t="s">
        <v>81</v>
      </c>
      <c r="C402" s="4" t="s">
        <v>436</v>
      </c>
      <c r="D402" s="4" t="s">
        <v>20</v>
      </c>
      <c r="E402" s="4" t="s">
        <v>437</v>
      </c>
      <c r="F402" s="4" t="s">
        <v>42</v>
      </c>
      <c r="G402" s="4" t="s">
        <v>1471</v>
      </c>
      <c r="H402" s="4" t="s">
        <v>24</v>
      </c>
      <c r="I402" s="4" t="s">
        <v>25</v>
      </c>
      <c r="K402" s="4" t="s">
        <v>1472</v>
      </c>
      <c r="L402" s="4" t="s">
        <v>1473</v>
      </c>
      <c r="O402" s="4" t="s">
        <v>1474</v>
      </c>
      <c r="P402" s="5">
        <f>DATE(2022,7,25)</f>
        <v>44767</v>
      </c>
      <c r="Q402" s="4" t="s">
        <v>1475</v>
      </c>
      <c r="R402" s="5">
        <f>DATE(2021,3,12)</f>
        <v>44267</v>
      </c>
    </row>
    <row r="403" spans="1:26" ht="55.05" customHeight="1" x14ac:dyDescent="0.3">
      <c r="A403" s="4" t="s">
        <v>534</v>
      </c>
      <c r="B403" s="4" t="s">
        <v>81</v>
      </c>
      <c r="C403" s="4" t="s">
        <v>436</v>
      </c>
      <c r="D403" s="4" t="s">
        <v>20</v>
      </c>
      <c r="E403" s="4" t="s">
        <v>437</v>
      </c>
      <c r="F403" s="4" t="s">
        <v>42</v>
      </c>
      <c r="G403" s="4" t="s">
        <v>1476</v>
      </c>
      <c r="H403" s="4" t="s">
        <v>24</v>
      </c>
      <c r="I403" s="4" t="s">
        <v>25</v>
      </c>
      <c r="K403" s="4" t="s">
        <v>26</v>
      </c>
      <c r="L403" s="4" t="s">
        <v>1477</v>
      </c>
      <c r="O403" s="4" t="s">
        <v>1478</v>
      </c>
      <c r="P403" s="5">
        <f>DATE(2023,11,20)</f>
        <v>45250</v>
      </c>
      <c r="Q403" s="4" t="s">
        <v>1479</v>
      </c>
      <c r="R403" s="5">
        <f>DATE(2023,8,4)</f>
        <v>45142</v>
      </c>
      <c r="S403" s="4" t="s">
        <v>1448</v>
      </c>
      <c r="T403" s="5">
        <f>DATE(2021,12,21)</f>
        <v>44551</v>
      </c>
      <c r="U403" s="4" t="s">
        <v>1480</v>
      </c>
      <c r="V403" s="5">
        <f>DATE(2021,6,22)</f>
        <v>44369</v>
      </c>
    </row>
    <row r="404" spans="1:26" ht="55.05" customHeight="1" x14ac:dyDescent="0.3">
      <c r="A404" s="4" t="s">
        <v>534</v>
      </c>
      <c r="B404" s="4" t="s">
        <v>81</v>
      </c>
      <c r="C404" s="4" t="s">
        <v>436</v>
      </c>
      <c r="D404" s="4" t="s">
        <v>20</v>
      </c>
      <c r="E404" s="4" t="s">
        <v>437</v>
      </c>
      <c r="F404" s="4" t="s">
        <v>42</v>
      </c>
      <c r="G404" s="4" t="s">
        <v>1481</v>
      </c>
      <c r="H404" s="4" t="s">
        <v>37</v>
      </c>
      <c r="I404" s="4" t="s">
        <v>25</v>
      </c>
      <c r="K404" s="4" t="s">
        <v>26</v>
      </c>
      <c r="L404" s="4" t="s">
        <v>1482</v>
      </c>
      <c r="O404" s="4" t="s">
        <v>1483</v>
      </c>
      <c r="P404" s="5">
        <f>DATE(2022,10,3)</f>
        <v>44837</v>
      </c>
      <c r="Q404" s="4" t="s">
        <v>1484</v>
      </c>
      <c r="R404" s="5">
        <f>DATE(2022,2,11)</f>
        <v>44603</v>
      </c>
    </row>
    <row r="405" spans="1:26" ht="55.05" customHeight="1" x14ac:dyDescent="0.3">
      <c r="A405" s="4" t="s">
        <v>534</v>
      </c>
      <c r="B405" s="4" t="s">
        <v>81</v>
      </c>
      <c r="C405" s="4" t="s">
        <v>436</v>
      </c>
      <c r="D405" s="4" t="s">
        <v>20</v>
      </c>
      <c r="E405" s="4" t="s">
        <v>437</v>
      </c>
      <c r="F405" s="4" t="s">
        <v>42</v>
      </c>
      <c r="G405" s="4" t="s">
        <v>1485</v>
      </c>
      <c r="H405" s="4" t="s">
        <v>37</v>
      </c>
      <c r="I405" s="4" t="s">
        <v>25</v>
      </c>
      <c r="K405" s="4" t="s">
        <v>26</v>
      </c>
      <c r="L405" s="4" t="s">
        <v>1486</v>
      </c>
      <c r="O405" s="4" t="s">
        <v>1487</v>
      </c>
      <c r="P405" s="5">
        <f>DATE(2023,12,13)</f>
        <v>45273</v>
      </c>
      <c r="Q405" s="4" t="s">
        <v>1488</v>
      </c>
      <c r="R405" s="5">
        <f>DATE(2022,5,2)</f>
        <v>44683</v>
      </c>
    </row>
    <row r="406" spans="1:26" ht="55.05" customHeight="1" x14ac:dyDescent="0.3">
      <c r="A406" s="4" t="s">
        <v>534</v>
      </c>
      <c r="B406" s="4" t="s">
        <v>81</v>
      </c>
      <c r="C406" s="4" t="s">
        <v>436</v>
      </c>
      <c r="D406" s="4" t="s">
        <v>20</v>
      </c>
      <c r="E406" s="4" t="s">
        <v>437</v>
      </c>
      <c r="F406" s="4" t="s">
        <v>42</v>
      </c>
      <c r="G406" s="4" t="s">
        <v>1489</v>
      </c>
      <c r="H406" s="4" t="s">
        <v>37</v>
      </c>
      <c r="I406" s="4" t="s">
        <v>25</v>
      </c>
      <c r="K406" s="4" t="s">
        <v>402</v>
      </c>
      <c r="L406" s="4" t="s">
        <v>1490</v>
      </c>
      <c r="O406" s="4" t="s">
        <v>1491</v>
      </c>
      <c r="P406" s="5">
        <f>DATE(2023,12,20)</f>
        <v>45280</v>
      </c>
      <c r="Q406" s="4" t="s">
        <v>1492</v>
      </c>
      <c r="R406" s="5">
        <f>DATE(2022,7,19)</f>
        <v>44761</v>
      </c>
    </row>
    <row r="407" spans="1:26" ht="55.05" customHeight="1" x14ac:dyDescent="0.3">
      <c r="A407" s="4" t="s">
        <v>534</v>
      </c>
      <c r="B407" s="4" t="s">
        <v>81</v>
      </c>
      <c r="C407" s="4" t="s">
        <v>436</v>
      </c>
      <c r="D407" s="4" t="s">
        <v>20</v>
      </c>
      <c r="E407" s="4" t="s">
        <v>443</v>
      </c>
      <c r="F407" s="4" t="s">
        <v>444</v>
      </c>
      <c r="G407" s="4" t="s">
        <v>1493</v>
      </c>
      <c r="H407" s="4" t="s">
        <v>32</v>
      </c>
      <c r="I407" s="4" t="s">
        <v>536</v>
      </c>
      <c r="J407" s="5">
        <f>DATE(2022,3,17)</f>
        <v>44637</v>
      </c>
      <c r="K407" s="4" t="s">
        <v>26</v>
      </c>
      <c r="L407" s="4" t="s">
        <v>1494</v>
      </c>
      <c r="O407" s="4" t="s">
        <v>1495</v>
      </c>
      <c r="P407" s="5">
        <f>DATE(2019,9,4)</f>
        <v>43712</v>
      </c>
    </row>
    <row r="408" spans="1:26" ht="55.05" customHeight="1" x14ac:dyDescent="0.3">
      <c r="A408" s="4" t="s">
        <v>534</v>
      </c>
      <c r="B408" s="4" t="s">
        <v>81</v>
      </c>
      <c r="C408" s="4" t="s">
        <v>436</v>
      </c>
      <c r="D408" s="4" t="s">
        <v>20</v>
      </c>
      <c r="E408" s="4" t="s">
        <v>443</v>
      </c>
      <c r="F408" s="4" t="s">
        <v>444</v>
      </c>
      <c r="G408" s="4" t="s">
        <v>1496</v>
      </c>
      <c r="H408" s="4" t="s">
        <v>24</v>
      </c>
      <c r="I408" s="4" t="s">
        <v>25</v>
      </c>
      <c r="K408" s="4" t="s">
        <v>26</v>
      </c>
      <c r="L408" s="4" t="s">
        <v>1497</v>
      </c>
      <c r="O408" s="4" t="s">
        <v>1498</v>
      </c>
      <c r="P408" s="5">
        <f>DATE(2023,8,29)</f>
        <v>45167</v>
      </c>
      <c r="Q408" s="4" t="s">
        <v>1031</v>
      </c>
      <c r="R408" s="5">
        <f>DATE(2023,3,28)</f>
        <v>45013</v>
      </c>
      <c r="S408" s="4" t="s">
        <v>1499</v>
      </c>
      <c r="T408" s="5">
        <f>DATE(2022,12,15)</f>
        <v>44910</v>
      </c>
      <c r="U408" s="4" t="s">
        <v>1500</v>
      </c>
      <c r="V408" s="5">
        <f>DATE(2022,7,4)</f>
        <v>44746</v>
      </c>
      <c r="W408" s="4" t="s">
        <v>1501</v>
      </c>
      <c r="X408" s="5">
        <f>DATE(2021,11,30)</f>
        <v>44530</v>
      </c>
    </row>
    <row r="409" spans="1:26" ht="55.05" customHeight="1" x14ac:dyDescent="0.3">
      <c r="A409" s="4" t="s">
        <v>534</v>
      </c>
      <c r="B409" s="4" t="s">
        <v>81</v>
      </c>
      <c r="C409" s="4" t="s">
        <v>436</v>
      </c>
      <c r="D409" s="4" t="s">
        <v>20</v>
      </c>
      <c r="E409" s="4" t="s">
        <v>443</v>
      </c>
      <c r="F409" s="4" t="s">
        <v>444</v>
      </c>
      <c r="G409" s="4" t="s">
        <v>1502</v>
      </c>
      <c r="H409" s="4" t="s">
        <v>24</v>
      </c>
      <c r="I409" s="4" t="s">
        <v>25</v>
      </c>
      <c r="K409" s="4" t="s">
        <v>26</v>
      </c>
      <c r="L409" s="4" t="s">
        <v>1503</v>
      </c>
      <c r="O409" s="4" t="s">
        <v>1504</v>
      </c>
      <c r="P409" s="5">
        <f>DATE(2021,12,22)</f>
        <v>44552</v>
      </c>
    </row>
    <row r="410" spans="1:26" ht="55.05" customHeight="1" x14ac:dyDescent="0.3">
      <c r="A410" s="4" t="s">
        <v>534</v>
      </c>
      <c r="B410" s="4" t="s">
        <v>81</v>
      </c>
      <c r="C410" s="4" t="s">
        <v>436</v>
      </c>
      <c r="D410" s="4" t="s">
        <v>20</v>
      </c>
      <c r="E410" s="4" t="s">
        <v>443</v>
      </c>
      <c r="F410" s="4" t="s">
        <v>444</v>
      </c>
      <c r="G410" s="4" t="s">
        <v>1505</v>
      </c>
      <c r="H410" s="4" t="s">
        <v>32</v>
      </c>
      <c r="I410" s="4" t="s">
        <v>536</v>
      </c>
      <c r="J410" s="5">
        <f>DATE(2022,7,4)</f>
        <v>44746</v>
      </c>
      <c r="K410" s="4" t="s">
        <v>26</v>
      </c>
      <c r="L410" s="4" t="s">
        <v>1506</v>
      </c>
      <c r="O410" s="4" t="s">
        <v>1500</v>
      </c>
      <c r="P410" s="5">
        <f>DATE(2022,7,4)</f>
        <v>44746</v>
      </c>
      <c r="Q410" s="4" t="s">
        <v>1507</v>
      </c>
      <c r="R410" s="5">
        <f>DATE(2019,12,12)</f>
        <v>43811</v>
      </c>
    </row>
    <row r="411" spans="1:26" ht="55.05" customHeight="1" x14ac:dyDescent="0.3">
      <c r="A411" s="4" t="s">
        <v>534</v>
      </c>
      <c r="B411" s="4" t="s">
        <v>81</v>
      </c>
      <c r="C411" s="4" t="s">
        <v>436</v>
      </c>
      <c r="D411" s="4" t="s">
        <v>20</v>
      </c>
      <c r="E411" s="4" t="s">
        <v>443</v>
      </c>
      <c r="F411" s="4" t="s">
        <v>444</v>
      </c>
      <c r="G411" s="4" t="s">
        <v>1508</v>
      </c>
      <c r="H411" s="4" t="s">
        <v>24</v>
      </c>
      <c r="I411" s="4" t="s">
        <v>25</v>
      </c>
      <c r="K411" s="4" t="s">
        <v>26</v>
      </c>
      <c r="L411" s="4" t="s">
        <v>1509</v>
      </c>
      <c r="O411" s="4" t="s">
        <v>1510</v>
      </c>
      <c r="P411" s="5">
        <f>DATE(2023,9,11)</f>
        <v>45180</v>
      </c>
      <c r="Q411" s="4" t="s">
        <v>1511</v>
      </c>
      <c r="R411" s="5">
        <f>DATE(2023,8,2)</f>
        <v>45140</v>
      </c>
      <c r="S411" s="4" t="s">
        <v>1512</v>
      </c>
      <c r="T411" s="5">
        <f>DATE(2022,8,10)</f>
        <v>44783</v>
      </c>
      <c r="U411" s="4" t="s">
        <v>1513</v>
      </c>
      <c r="V411" s="5">
        <f>DATE(2022,5,19)</f>
        <v>44700</v>
      </c>
      <c r="W411" s="4" t="s">
        <v>1514</v>
      </c>
      <c r="X411" s="5">
        <f>DATE(2022,2,25)</f>
        <v>44617</v>
      </c>
      <c r="Y411" s="4" t="s">
        <v>1515</v>
      </c>
      <c r="Z411" s="5">
        <f>DATE(2021,9,24)</f>
        <v>44463</v>
      </c>
    </row>
    <row r="412" spans="1:26" ht="55.05" customHeight="1" x14ac:dyDescent="0.3">
      <c r="A412" s="4" t="s">
        <v>534</v>
      </c>
      <c r="B412" s="4" t="s">
        <v>81</v>
      </c>
      <c r="C412" s="4" t="s">
        <v>436</v>
      </c>
      <c r="D412" s="4" t="s">
        <v>20</v>
      </c>
      <c r="E412" s="4" t="s">
        <v>443</v>
      </c>
      <c r="F412" s="4" t="s">
        <v>444</v>
      </c>
      <c r="G412" s="4" t="s">
        <v>1516</v>
      </c>
      <c r="H412" s="4" t="s">
        <v>24</v>
      </c>
      <c r="I412" s="4" t="s">
        <v>25</v>
      </c>
      <c r="K412" s="4" t="s">
        <v>26</v>
      </c>
      <c r="L412" s="4" t="s">
        <v>1517</v>
      </c>
      <c r="O412" s="4" t="s">
        <v>1446</v>
      </c>
      <c r="P412" s="5">
        <f>DATE(2023,1,30)</f>
        <v>44956</v>
      </c>
      <c r="Q412" s="4" t="s">
        <v>1518</v>
      </c>
      <c r="R412" s="5">
        <f>DATE(2022,6,24)</f>
        <v>44736</v>
      </c>
      <c r="S412" s="4" t="s">
        <v>1519</v>
      </c>
      <c r="T412" s="5">
        <f>DATE(2021,1,30)</f>
        <v>44226</v>
      </c>
    </row>
    <row r="413" spans="1:26" ht="55.05" customHeight="1" x14ac:dyDescent="0.3">
      <c r="A413" s="4" t="s">
        <v>534</v>
      </c>
      <c r="B413" s="4" t="s">
        <v>81</v>
      </c>
      <c r="C413" s="4" t="s">
        <v>436</v>
      </c>
      <c r="D413" s="4" t="s">
        <v>20</v>
      </c>
      <c r="E413" s="4" t="s">
        <v>443</v>
      </c>
      <c r="F413" s="4" t="s">
        <v>444</v>
      </c>
      <c r="G413" s="4" t="s">
        <v>1520</v>
      </c>
      <c r="H413" s="4" t="s">
        <v>32</v>
      </c>
      <c r="I413" s="4" t="s">
        <v>536</v>
      </c>
      <c r="J413" s="5">
        <f>DATE(2023,4,11)</f>
        <v>45027</v>
      </c>
      <c r="K413" s="4" t="s">
        <v>26</v>
      </c>
      <c r="L413" s="4" t="s">
        <v>1521</v>
      </c>
      <c r="O413" s="4" t="s">
        <v>1522</v>
      </c>
      <c r="P413" s="5">
        <f>DATE(2023,4,11)</f>
        <v>45027</v>
      </c>
      <c r="Q413" s="4" t="s">
        <v>1522</v>
      </c>
      <c r="R413" s="5">
        <f>DATE(2023,4,11)</f>
        <v>45027</v>
      </c>
      <c r="S413" s="4" t="s">
        <v>1522</v>
      </c>
      <c r="T413" s="5">
        <f>DATE(2023,4,11)</f>
        <v>45027</v>
      </c>
      <c r="U413" s="4" t="s">
        <v>1522</v>
      </c>
      <c r="V413" s="5">
        <f>DATE(2023,4,11)</f>
        <v>45027</v>
      </c>
      <c r="W413" s="4" t="s">
        <v>1522</v>
      </c>
      <c r="X413" s="5">
        <f>DATE(2023,4,11)</f>
        <v>45027</v>
      </c>
      <c r="Y413" s="4" t="s">
        <v>1523</v>
      </c>
      <c r="Z413" s="5">
        <f>DATE(2021,12,31)</f>
        <v>44561</v>
      </c>
    </row>
    <row r="414" spans="1:26" ht="55.05" customHeight="1" x14ac:dyDescent="0.3">
      <c r="A414" s="4" t="s">
        <v>534</v>
      </c>
      <c r="B414" s="4" t="s">
        <v>81</v>
      </c>
      <c r="C414" s="4" t="s">
        <v>436</v>
      </c>
      <c r="D414" s="4" t="s">
        <v>20</v>
      </c>
      <c r="E414" s="4" t="s">
        <v>443</v>
      </c>
      <c r="F414" s="4" t="s">
        <v>444</v>
      </c>
      <c r="G414" s="4" t="s">
        <v>1524</v>
      </c>
      <c r="H414" s="4" t="s">
        <v>24</v>
      </c>
      <c r="I414" s="4" t="s">
        <v>25</v>
      </c>
      <c r="K414" s="4" t="s">
        <v>26</v>
      </c>
      <c r="L414" s="4" t="s">
        <v>1525</v>
      </c>
      <c r="O414" s="4" t="s">
        <v>1526</v>
      </c>
      <c r="P414" s="5">
        <f>DATE(2023,7,25)</f>
        <v>45132</v>
      </c>
      <c r="Q414" s="4" t="s">
        <v>1527</v>
      </c>
      <c r="R414" s="5">
        <f>DATE(2022,1,21)</f>
        <v>44582</v>
      </c>
      <c r="S414" s="4" t="s">
        <v>682</v>
      </c>
      <c r="T414" s="5">
        <f>DATE(2021,10,21)</f>
        <v>44490</v>
      </c>
    </row>
    <row r="415" spans="1:26" ht="55.05" customHeight="1" x14ac:dyDescent="0.3">
      <c r="A415" s="4" t="s">
        <v>534</v>
      </c>
      <c r="B415" s="4" t="s">
        <v>81</v>
      </c>
      <c r="C415" s="4" t="s">
        <v>436</v>
      </c>
      <c r="D415" s="4" t="s">
        <v>20</v>
      </c>
      <c r="E415" s="4" t="s">
        <v>443</v>
      </c>
      <c r="F415" s="4" t="s">
        <v>444</v>
      </c>
      <c r="G415" s="4" t="s">
        <v>1528</v>
      </c>
      <c r="H415" s="4" t="s">
        <v>24</v>
      </c>
      <c r="I415" s="4" t="s">
        <v>25</v>
      </c>
      <c r="K415" s="4" t="s">
        <v>26</v>
      </c>
      <c r="L415" s="4" t="s">
        <v>1529</v>
      </c>
      <c r="O415" s="4" t="s">
        <v>1530</v>
      </c>
      <c r="P415" s="5">
        <f>DATE(2022,4,11)</f>
        <v>44662</v>
      </c>
      <c r="Q415" s="4" t="s">
        <v>1531</v>
      </c>
      <c r="R415" s="5">
        <f>DATE(2021,12,31)</f>
        <v>44561</v>
      </c>
    </row>
    <row r="416" spans="1:26" ht="55.05" customHeight="1" x14ac:dyDescent="0.3">
      <c r="A416" s="4" t="s">
        <v>534</v>
      </c>
      <c r="B416" s="4" t="s">
        <v>81</v>
      </c>
      <c r="C416" s="4" t="s">
        <v>436</v>
      </c>
      <c r="D416" s="4" t="s">
        <v>20</v>
      </c>
      <c r="E416" s="4" t="s">
        <v>443</v>
      </c>
      <c r="F416" s="4" t="s">
        <v>444</v>
      </c>
      <c r="G416" s="4" t="s">
        <v>1532</v>
      </c>
      <c r="H416" s="4" t="s">
        <v>24</v>
      </c>
      <c r="I416" s="4" t="s">
        <v>25</v>
      </c>
      <c r="K416" s="4" t="s">
        <v>26</v>
      </c>
      <c r="L416" s="4" t="s">
        <v>1533</v>
      </c>
      <c r="O416" s="4" t="s">
        <v>1417</v>
      </c>
      <c r="P416" s="5">
        <f>DATE(2022,4,5)</f>
        <v>44656</v>
      </c>
      <c r="Q416" s="4" t="s">
        <v>125</v>
      </c>
      <c r="R416" s="5">
        <f>DATE(2020,7,21)</f>
        <v>44033</v>
      </c>
    </row>
    <row r="417" spans="1:26" ht="55.05" customHeight="1" x14ac:dyDescent="0.3">
      <c r="A417" s="4" t="s">
        <v>534</v>
      </c>
      <c r="B417" s="4" t="s">
        <v>81</v>
      </c>
      <c r="C417" s="4" t="s">
        <v>436</v>
      </c>
      <c r="D417" s="4" t="s">
        <v>20</v>
      </c>
      <c r="E417" s="4" t="s">
        <v>443</v>
      </c>
      <c r="F417" s="4" t="s">
        <v>444</v>
      </c>
      <c r="G417" s="4" t="s">
        <v>1534</v>
      </c>
      <c r="H417" s="4" t="s">
        <v>24</v>
      </c>
      <c r="I417" s="4" t="s">
        <v>25</v>
      </c>
      <c r="K417" s="4" t="s">
        <v>26</v>
      </c>
      <c r="L417" s="4" t="s">
        <v>1535</v>
      </c>
      <c r="O417" s="4" t="s">
        <v>1417</v>
      </c>
      <c r="P417" s="5">
        <f>DATE(2022,4,5)</f>
        <v>44656</v>
      </c>
      <c r="Q417" s="4" t="s">
        <v>1495</v>
      </c>
      <c r="R417" s="5">
        <f>DATE(2019,9,4)</f>
        <v>43712</v>
      </c>
    </row>
    <row r="418" spans="1:26" ht="55.05" customHeight="1" x14ac:dyDescent="0.3">
      <c r="A418" s="4" t="s">
        <v>534</v>
      </c>
      <c r="B418" s="4" t="s">
        <v>81</v>
      </c>
      <c r="C418" s="4" t="s">
        <v>436</v>
      </c>
      <c r="D418" s="4" t="s">
        <v>20</v>
      </c>
      <c r="E418" s="4" t="s">
        <v>443</v>
      </c>
      <c r="F418" s="4" t="s">
        <v>444</v>
      </c>
      <c r="G418" s="4" t="s">
        <v>1536</v>
      </c>
      <c r="H418" s="4" t="s">
        <v>24</v>
      </c>
      <c r="I418" s="4" t="s">
        <v>25</v>
      </c>
      <c r="K418" s="4" t="s">
        <v>26</v>
      </c>
      <c r="L418" s="4" t="s">
        <v>1537</v>
      </c>
      <c r="O418" s="4" t="s">
        <v>1522</v>
      </c>
      <c r="P418" s="5">
        <f>DATE(2023,4,11)</f>
        <v>45027</v>
      </c>
      <c r="Q418" s="4" t="s">
        <v>682</v>
      </c>
      <c r="R418" s="5">
        <f>DATE(2021,10,21)</f>
        <v>44490</v>
      </c>
    </row>
    <row r="419" spans="1:26" ht="55.05" customHeight="1" x14ac:dyDescent="0.3">
      <c r="A419" s="4" t="s">
        <v>534</v>
      </c>
      <c r="B419" s="4" t="s">
        <v>81</v>
      </c>
      <c r="C419" s="4" t="s">
        <v>436</v>
      </c>
      <c r="D419" s="4" t="s">
        <v>20</v>
      </c>
      <c r="E419" s="4" t="s">
        <v>443</v>
      </c>
      <c r="F419" s="4" t="s">
        <v>444</v>
      </c>
      <c r="G419" s="4" t="s">
        <v>1538</v>
      </c>
      <c r="H419" s="4" t="s">
        <v>24</v>
      </c>
      <c r="I419" s="4" t="s">
        <v>25</v>
      </c>
      <c r="K419" s="4" t="s">
        <v>26</v>
      </c>
      <c r="L419" s="4" t="s">
        <v>1539</v>
      </c>
      <c r="O419" s="4" t="s">
        <v>1417</v>
      </c>
      <c r="P419" s="5">
        <f>DATE(2022,4,5)</f>
        <v>44656</v>
      </c>
      <c r="Q419" s="4" t="s">
        <v>1523</v>
      </c>
      <c r="R419" s="5">
        <f>DATE(2021,12,31)</f>
        <v>44561</v>
      </c>
    </row>
    <row r="420" spans="1:26" ht="55.05" customHeight="1" x14ac:dyDescent="0.3">
      <c r="A420" s="4" t="s">
        <v>534</v>
      </c>
      <c r="B420" s="4" t="s">
        <v>81</v>
      </c>
      <c r="C420" s="4" t="s">
        <v>436</v>
      </c>
      <c r="D420" s="4" t="s">
        <v>20</v>
      </c>
      <c r="E420" s="4" t="s">
        <v>443</v>
      </c>
      <c r="F420" s="4" t="s">
        <v>444</v>
      </c>
      <c r="G420" s="4" t="s">
        <v>1540</v>
      </c>
      <c r="H420" s="4" t="s">
        <v>24</v>
      </c>
      <c r="I420" s="4" t="s">
        <v>25</v>
      </c>
      <c r="K420" s="4" t="s">
        <v>26</v>
      </c>
      <c r="L420" s="4" t="s">
        <v>1541</v>
      </c>
      <c r="O420" s="4" t="s">
        <v>1542</v>
      </c>
      <c r="P420" s="5">
        <f>DATE(2023,11,28)</f>
        <v>45258</v>
      </c>
      <c r="Q420" s="4" t="s">
        <v>1498</v>
      </c>
      <c r="R420" s="5">
        <f>DATE(2023,8,29)</f>
        <v>45167</v>
      </c>
      <c r="S420" s="4" t="s">
        <v>1543</v>
      </c>
      <c r="T420" s="5">
        <f>DATE(2022,10,31)</f>
        <v>44865</v>
      </c>
      <c r="U420" s="4" t="s">
        <v>1544</v>
      </c>
      <c r="V420" s="5">
        <f>DATE(2022,9,30)</f>
        <v>44834</v>
      </c>
      <c r="W420" s="4" t="s">
        <v>1545</v>
      </c>
      <c r="X420" s="5">
        <f>DATE(2021,10,20)</f>
        <v>44489</v>
      </c>
    </row>
    <row r="421" spans="1:26" ht="55.05" customHeight="1" x14ac:dyDescent="0.3">
      <c r="A421" s="4" t="s">
        <v>534</v>
      </c>
      <c r="B421" s="4" t="s">
        <v>81</v>
      </c>
      <c r="C421" s="4" t="s">
        <v>436</v>
      </c>
      <c r="D421" s="4" t="s">
        <v>20</v>
      </c>
      <c r="E421" s="4" t="s">
        <v>443</v>
      </c>
      <c r="F421" s="4" t="s">
        <v>444</v>
      </c>
      <c r="G421" s="4" t="s">
        <v>1546</v>
      </c>
      <c r="H421" s="4" t="s">
        <v>24</v>
      </c>
      <c r="I421" s="4" t="s">
        <v>25</v>
      </c>
      <c r="K421" s="4" t="s">
        <v>26</v>
      </c>
      <c r="L421" s="4" t="s">
        <v>1547</v>
      </c>
      <c r="O421" s="4" t="s">
        <v>1548</v>
      </c>
      <c r="P421" s="5">
        <f>DATE(2023,6,27)</f>
        <v>45104</v>
      </c>
      <c r="Q421" s="4" t="s">
        <v>53</v>
      </c>
      <c r="R421" s="5">
        <f>DATE(2021,12,21)</f>
        <v>44551</v>
      </c>
      <c r="S421" s="4" t="s">
        <v>1549</v>
      </c>
      <c r="T421" s="5">
        <f>DATE(2021,7,21)</f>
        <v>44398</v>
      </c>
    </row>
    <row r="422" spans="1:26" ht="55.05" customHeight="1" x14ac:dyDescent="0.3">
      <c r="A422" s="4" t="s">
        <v>534</v>
      </c>
      <c r="B422" s="4" t="s">
        <v>81</v>
      </c>
      <c r="C422" s="4" t="s">
        <v>436</v>
      </c>
      <c r="D422" s="4" t="s">
        <v>20</v>
      </c>
      <c r="E422" s="4" t="s">
        <v>443</v>
      </c>
      <c r="F422" s="4" t="s">
        <v>444</v>
      </c>
      <c r="G422" s="4" t="s">
        <v>1550</v>
      </c>
      <c r="H422" s="4" t="s">
        <v>24</v>
      </c>
      <c r="I422" s="4" t="s">
        <v>25</v>
      </c>
      <c r="K422" s="4" t="s">
        <v>26</v>
      </c>
      <c r="L422" s="4" t="s">
        <v>1551</v>
      </c>
      <c r="O422" s="4" t="s">
        <v>1552</v>
      </c>
      <c r="P422" s="5">
        <f>DATE(2023,11,16)</f>
        <v>45246</v>
      </c>
      <c r="Q422" s="4" t="s">
        <v>1553</v>
      </c>
      <c r="R422" s="5">
        <f>DATE(2022,1,13)</f>
        <v>44574</v>
      </c>
      <c r="S422" s="4" t="s">
        <v>1554</v>
      </c>
      <c r="T422" s="5">
        <f>DATE(2020,5,5)</f>
        <v>43956</v>
      </c>
    </row>
    <row r="423" spans="1:26" ht="55.05" customHeight="1" x14ac:dyDescent="0.3">
      <c r="A423" s="4" t="s">
        <v>534</v>
      </c>
      <c r="B423" s="4" t="s">
        <v>81</v>
      </c>
      <c r="C423" s="4" t="s">
        <v>436</v>
      </c>
      <c r="D423" s="4" t="s">
        <v>20</v>
      </c>
      <c r="E423" s="4" t="s">
        <v>443</v>
      </c>
      <c r="F423" s="4" t="s">
        <v>444</v>
      </c>
      <c r="G423" s="4" t="s">
        <v>1555</v>
      </c>
      <c r="H423" s="4" t="s">
        <v>24</v>
      </c>
      <c r="I423" s="4" t="s">
        <v>25</v>
      </c>
      <c r="K423" s="4" t="s">
        <v>26</v>
      </c>
      <c r="L423" s="4" t="s">
        <v>1556</v>
      </c>
      <c r="O423" s="4" t="s">
        <v>1557</v>
      </c>
      <c r="P423" s="5">
        <f>DATE(2023,1,30)</f>
        <v>44956</v>
      </c>
      <c r="Q423" s="4" t="s">
        <v>1519</v>
      </c>
      <c r="R423" s="5">
        <f>DATE(2021,1,30)</f>
        <v>44226</v>
      </c>
    </row>
    <row r="424" spans="1:26" ht="55.05" customHeight="1" x14ac:dyDescent="0.3">
      <c r="A424" s="4" t="s">
        <v>534</v>
      </c>
      <c r="B424" s="4" t="s">
        <v>81</v>
      </c>
      <c r="C424" s="4" t="s">
        <v>436</v>
      </c>
      <c r="D424" s="4" t="s">
        <v>20</v>
      </c>
      <c r="E424" s="4" t="s">
        <v>443</v>
      </c>
      <c r="F424" s="4" t="s">
        <v>444</v>
      </c>
      <c r="G424" s="4" t="s">
        <v>455</v>
      </c>
      <c r="H424" s="4" t="s">
        <v>24</v>
      </c>
      <c r="I424" s="4" t="s">
        <v>25</v>
      </c>
      <c r="K424" s="4" t="s">
        <v>26</v>
      </c>
      <c r="L424" s="4" t="s">
        <v>1558</v>
      </c>
      <c r="O424" s="4" t="s">
        <v>1548</v>
      </c>
      <c r="P424" s="5">
        <f>DATE(2023,6,27)</f>
        <v>45104</v>
      </c>
      <c r="Q424" s="4" t="s">
        <v>1531</v>
      </c>
      <c r="R424" s="5">
        <f>DATE(2021,12,31)</f>
        <v>44561</v>
      </c>
    </row>
    <row r="425" spans="1:26" ht="55.05" customHeight="1" x14ac:dyDescent="0.3">
      <c r="A425" s="4" t="s">
        <v>534</v>
      </c>
      <c r="B425" s="4" t="s">
        <v>81</v>
      </c>
      <c r="C425" s="4" t="s">
        <v>436</v>
      </c>
      <c r="D425" s="4" t="s">
        <v>20</v>
      </c>
      <c r="E425" s="4" t="s">
        <v>443</v>
      </c>
      <c r="F425" s="4" t="s">
        <v>444</v>
      </c>
      <c r="G425" s="4" t="s">
        <v>1559</v>
      </c>
      <c r="H425" s="4" t="s">
        <v>24</v>
      </c>
      <c r="I425" s="4" t="s">
        <v>25</v>
      </c>
      <c r="K425" s="4" t="s">
        <v>26</v>
      </c>
      <c r="L425" s="4" t="s">
        <v>1560</v>
      </c>
      <c r="O425" s="4" t="s">
        <v>1548</v>
      </c>
      <c r="P425" s="5">
        <f>DATE(2023,6,27)</f>
        <v>45104</v>
      </c>
      <c r="Q425" s="4" t="s">
        <v>1531</v>
      </c>
      <c r="R425" s="5">
        <f>DATE(2021,12,31)</f>
        <v>44561</v>
      </c>
    </row>
    <row r="426" spans="1:26" ht="55.05" customHeight="1" x14ac:dyDescent="0.3">
      <c r="A426" s="4" t="s">
        <v>534</v>
      </c>
      <c r="B426" s="4" t="s">
        <v>81</v>
      </c>
      <c r="C426" s="4" t="s">
        <v>436</v>
      </c>
      <c r="D426" s="4" t="s">
        <v>20</v>
      </c>
      <c r="E426" s="4" t="s">
        <v>443</v>
      </c>
      <c r="F426" s="4" t="s">
        <v>444</v>
      </c>
      <c r="G426" s="4" t="s">
        <v>1561</v>
      </c>
      <c r="H426" s="4" t="s">
        <v>24</v>
      </c>
      <c r="I426" s="4" t="s">
        <v>25</v>
      </c>
      <c r="K426" s="4" t="s">
        <v>26</v>
      </c>
      <c r="L426" s="4" t="s">
        <v>1562</v>
      </c>
      <c r="O426" s="4" t="s">
        <v>1548</v>
      </c>
      <c r="P426" s="5">
        <f>DATE(2023,6,27)</f>
        <v>45104</v>
      </c>
      <c r="Q426" s="4" t="s">
        <v>53</v>
      </c>
      <c r="R426" s="5">
        <f>DATE(2021,12,21)</f>
        <v>44551</v>
      </c>
      <c r="S426" s="4" t="s">
        <v>1563</v>
      </c>
      <c r="T426" s="5">
        <f>DATE(2021,11,3)</f>
        <v>44503</v>
      </c>
    </row>
    <row r="427" spans="1:26" ht="55.05" customHeight="1" x14ac:dyDescent="0.3">
      <c r="A427" s="4" t="s">
        <v>534</v>
      </c>
      <c r="B427" s="4" t="s">
        <v>81</v>
      </c>
      <c r="C427" s="4" t="s">
        <v>436</v>
      </c>
      <c r="D427" s="4" t="s">
        <v>20</v>
      </c>
      <c r="E427" s="4" t="s">
        <v>443</v>
      </c>
      <c r="F427" s="4" t="s">
        <v>444</v>
      </c>
      <c r="G427" s="4" t="s">
        <v>1564</v>
      </c>
      <c r="H427" s="4" t="s">
        <v>24</v>
      </c>
      <c r="I427" s="4" t="s">
        <v>25</v>
      </c>
      <c r="K427" s="4" t="s">
        <v>26</v>
      </c>
      <c r="L427" s="4" t="s">
        <v>1565</v>
      </c>
      <c r="O427" s="4" t="s">
        <v>1498</v>
      </c>
      <c r="P427" s="5">
        <f>DATE(2023,8,29)</f>
        <v>45167</v>
      </c>
      <c r="Q427" s="4" t="s">
        <v>1566</v>
      </c>
      <c r="R427" s="5">
        <f>DATE(2022,12,30)</f>
        <v>44925</v>
      </c>
      <c r="S427" s="4" t="s">
        <v>1567</v>
      </c>
      <c r="T427" s="5">
        <f>DATE(2022,8,29)</f>
        <v>44802</v>
      </c>
      <c r="U427" s="4" t="s">
        <v>1513</v>
      </c>
      <c r="V427" s="5">
        <f>DATE(2022,5,19)</f>
        <v>44700</v>
      </c>
      <c r="W427" s="4" t="s">
        <v>53</v>
      </c>
      <c r="X427" s="5">
        <f>DATE(2021,12,21)</f>
        <v>44551</v>
      </c>
      <c r="Y427" s="4" t="s">
        <v>1568</v>
      </c>
      <c r="Z427" s="5">
        <f>DATE(2021,12,9)</f>
        <v>44539</v>
      </c>
    </row>
    <row r="428" spans="1:26" ht="55.05" customHeight="1" x14ac:dyDescent="0.3">
      <c r="A428" s="4" t="s">
        <v>534</v>
      </c>
      <c r="B428" s="4" t="s">
        <v>81</v>
      </c>
      <c r="C428" s="4" t="s">
        <v>436</v>
      </c>
      <c r="D428" s="4" t="s">
        <v>20</v>
      </c>
      <c r="E428" s="4" t="s">
        <v>443</v>
      </c>
      <c r="F428" s="4" t="s">
        <v>444</v>
      </c>
      <c r="G428" s="4" t="s">
        <v>1569</v>
      </c>
      <c r="H428" s="4" t="s">
        <v>24</v>
      </c>
      <c r="I428" s="4" t="s">
        <v>25</v>
      </c>
      <c r="K428" s="4" t="s">
        <v>26</v>
      </c>
      <c r="L428" s="4" t="s">
        <v>1570</v>
      </c>
      <c r="O428" s="4" t="s">
        <v>1571</v>
      </c>
      <c r="P428" s="5">
        <f>DATE(2023,8,24)</f>
        <v>45162</v>
      </c>
      <c r="Q428" s="4" t="s">
        <v>1572</v>
      </c>
      <c r="R428" s="5">
        <f>DATE(2022,12,21)</f>
        <v>44916</v>
      </c>
      <c r="S428" s="4" t="s">
        <v>1573</v>
      </c>
      <c r="T428" s="5">
        <f>DATE(2022,9,29)</f>
        <v>44833</v>
      </c>
      <c r="U428" s="4" t="s">
        <v>1417</v>
      </c>
      <c r="V428" s="5">
        <f>DATE(2022,4,5)</f>
        <v>44656</v>
      </c>
      <c r="W428" s="4" t="s">
        <v>1574</v>
      </c>
      <c r="X428" s="5">
        <f>DATE(2021,12,31)</f>
        <v>44561</v>
      </c>
    </row>
    <row r="429" spans="1:26" ht="55.05" customHeight="1" x14ac:dyDescent="0.3">
      <c r="A429" s="4" t="s">
        <v>534</v>
      </c>
      <c r="B429" s="4" t="s">
        <v>81</v>
      </c>
      <c r="C429" s="4" t="s">
        <v>436</v>
      </c>
      <c r="D429" s="4" t="s">
        <v>20</v>
      </c>
      <c r="E429" s="4" t="s">
        <v>443</v>
      </c>
      <c r="F429" s="4" t="s">
        <v>444</v>
      </c>
      <c r="G429" s="4" t="s">
        <v>1575</v>
      </c>
      <c r="H429" s="4" t="s">
        <v>24</v>
      </c>
      <c r="I429" s="4" t="s">
        <v>25</v>
      </c>
      <c r="K429" s="4" t="s">
        <v>26</v>
      </c>
      <c r="L429" s="4" t="s">
        <v>1576</v>
      </c>
      <c r="O429" s="4" t="s">
        <v>1577</v>
      </c>
      <c r="P429" s="5">
        <f>DATE(2022,12,30)</f>
        <v>44925</v>
      </c>
      <c r="Q429" s="4" t="s">
        <v>1578</v>
      </c>
      <c r="R429" s="5">
        <f>DATE(2021,7,6)</f>
        <v>44383</v>
      </c>
    </row>
    <row r="430" spans="1:26" ht="55.05" customHeight="1" x14ac:dyDescent="0.3">
      <c r="A430" s="4" t="s">
        <v>534</v>
      </c>
      <c r="B430" s="4" t="s">
        <v>81</v>
      </c>
      <c r="C430" s="4" t="s">
        <v>436</v>
      </c>
      <c r="D430" s="4" t="s">
        <v>20</v>
      </c>
      <c r="E430" s="4" t="s">
        <v>443</v>
      </c>
      <c r="F430" s="4" t="s">
        <v>444</v>
      </c>
      <c r="G430" s="4" t="s">
        <v>1579</v>
      </c>
      <c r="H430" s="4" t="s">
        <v>24</v>
      </c>
      <c r="I430" s="4" t="s">
        <v>25</v>
      </c>
      <c r="K430" s="4" t="s">
        <v>26</v>
      </c>
      <c r="L430" s="4" t="s">
        <v>1580</v>
      </c>
      <c r="O430" s="4" t="s">
        <v>1548</v>
      </c>
      <c r="P430" s="5">
        <f>DATE(2023,6,27)</f>
        <v>45104</v>
      </c>
      <c r="Q430" s="4" t="s">
        <v>1581</v>
      </c>
      <c r="R430" s="5">
        <f>DATE(2021,11,19)</f>
        <v>44519</v>
      </c>
    </row>
    <row r="431" spans="1:26" ht="55.05" customHeight="1" x14ac:dyDescent="0.3">
      <c r="A431" s="4" t="s">
        <v>534</v>
      </c>
      <c r="B431" s="4" t="s">
        <v>81</v>
      </c>
      <c r="C431" s="4" t="s">
        <v>436</v>
      </c>
      <c r="D431" s="4" t="s">
        <v>20</v>
      </c>
      <c r="E431" s="4" t="s">
        <v>443</v>
      </c>
      <c r="F431" s="4" t="s">
        <v>444</v>
      </c>
      <c r="G431" s="4" t="s">
        <v>1582</v>
      </c>
      <c r="H431" s="4" t="s">
        <v>24</v>
      </c>
      <c r="I431" s="4" t="s">
        <v>25</v>
      </c>
      <c r="K431" s="4" t="s">
        <v>26</v>
      </c>
      <c r="L431" s="4" t="s">
        <v>1583</v>
      </c>
      <c r="O431" s="4" t="s">
        <v>1432</v>
      </c>
      <c r="P431" s="5">
        <f>DATE(2022,5,13)</f>
        <v>44694</v>
      </c>
      <c r="Q431" s="4" t="s">
        <v>1584</v>
      </c>
      <c r="R431" s="5">
        <f>DATE(2020,4,3)</f>
        <v>43924</v>
      </c>
    </row>
    <row r="432" spans="1:26" ht="55.05" customHeight="1" x14ac:dyDescent="0.3">
      <c r="A432" s="4" t="s">
        <v>534</v>
      </c>
      <c r="B432" s="4" t="s">
        <v>81</v>
      </c>
      <c r="C432" s="4" t="s">
        <v>436</v>
      </c>
      <c r="D432" s="4" t="s">
        <v>20</v>
      </c>
      <c r="E432" s="4" t="s">
        <v>443</v>
      </c>
      <c r="F432" s="4" t="s">
        <v>444</v>
      </c>
      <c r="G432" s="4" t="s">
        <v>1585</v>
      </c>
      <c r="H432" s="4" t="s">
        <v>24</v>
      </c>
      <c r="I432" s="4" t="s">
        <v>25</v>
      </c>
      <c r="K432" s="4" t="s">
        <v>26</v>
      </c>
      <c r="L432" s="4" t="s">
        <v>1586</v>
      </c>
      <c r="O432" s="4" t="s">
        <v>1587</v>
      </c>
      <c r="P432" s="5">
        <f>DATE(2023,5,29)</f>
        <v>45075</v>
      </c>
      <c r="Q432" s="4" t="s">
        <v>1522</v>
      </c>
      <c r="R432" s="5">
        <f>DATE(2023,4,11)</f>
        <v>45027</v>
      </c>
      <c r="S432" s="4" t="s">
        <v>1588</v>
      </c>
      <c r="T432" s="5">
        <f>DATE(2022,12,29)</f>
        <v>44924</v>
      </c>
      <c r="U432" s="4" t="s">
        <v>1513</v>
      </c>
      <c r="V432" s="5">
        <f>DATE(2022,5,19)</f>
        <v>44700</v>
      </c>
      <c r="W432" s="4" t="s">
        <v>682</v>
      </c>
      <c r="X432" s="5">
        <f>DATE(2021,10,21)</f>
        <v>44490</v>
      </c>
    </row>
    <row r="433" spans="1:28" ht="55.05" customHeight="1" x14ac:dyDescent="0.3">
      <c r="A433" s="4" t="s">
        <v>534</v>
      </c>
      <c r="B433" s="4" t="s">
        <v>81</v>
      </c>
      <c r="C433" s="4" t="s">
        <v>436</v>
      </c>
      <c r="D433" s="4" t="s">
        <v>20</v>
      </c>
      <c r="E433" s="4" t="s">
        <v>443</v>
      </c>
      <c r="F433" s="4" t="s">
        <v>444</v>
      </c>
      <c r="G433" s="4" t="s">
        <v>1589</v>
      </c>
      <c r="H433" s="4" t="s">
        <v>24</v>
      </c>
      <c r="I433" s="4" t="s">
        <v>25</v>
      </c>
      <c r="K433" s="4" t="s">
        <v>26</v>
      </c>
      <c r="L433" s="4" t="s">
        <v>1590</v>
      </c>
      <c r="O433" s="4" t="s">
        <v>1552</v>
      </c>
      <c r="P433" s="5">
        <f>DATE(2023,11,16)</f>
        <v>45246</v>
      </c>
      <c r="Q433" s="4" t="s">
        <v>1591</v>
      </c>
      <c r="R433" s="5">
        <f>DATE(2021,6,24)</f>
        <v>44371</v>
      </c>
    </row>
    <row r="434" spans="1:28" ht="55.05" customHeight="1" x14ac:dyDescent="0.3">
      <c r="A434" s="4" t="s">
        <v>534</v>
      </c>
      <c r="B434" s="4" t="s">
        <v>81</v>
      </c>
      <c r="C434" s="4" t="s">
        <v>436</v>
      </c>
      <c r="D434" s="4" t="s">
        <v>20</v>
      </c>
      <c r="E434" s="4" t="s">
        <v>443</v>
      </c>
      <c r="F434" s="4" t="s">
        <v>444</v>
      </c>
      <c r="G434" s="4" t="s">
        <v>1592</v>
      </c>
      <c r="H434" s="4" t="s">
        <v>37</v>
      </c>
      <c r="I434" s="4" t="s">
        <v>25</v>
      </c>
      <c r="K434" s="4" t="s">
        <v>26</v>
      </c>
      <c r="L434" s="4" t="s">
        <v>1593</v>
      </c>
      <c r="O434" s="4" t="s">
        <v>1594</v>
      </c>
      <c r="P434" s="5">
        <f>DATE(2023,11,17)</f>
        <v>45247</v>
      </c>
      <c r="Q434" s="4" t="s">
        <v>1595</v>
      </c>
      <c r="R434" s="5">
        <f>DATE(2022,12,20)</f>
        <v>44915</v>
      </c>
      <c r="S434" s="4" t="s">
        <v>1596</v>
      </c>
      <c r="T434" s="5">
        <f>DATE(2022,9,29)</f>
        <v>44833</v>
      </c>
      <c r="U434" s="4" t="s">
        <v>1597</v>
      </c>
      <c r="V434" s="5">
        <f>DATE(2022,2,25)</f>
        <v>44617</v>
      </c>
      <c r="W434" s="4" t="s">
        <v>1598</v>
      </c>
      <c r="X434" s="5">
        <f>DATE(2022,1,13)</f>
        <v>44574</v>
      </c>
    </row>
    <row r="435" spans="1:28" ht="55.05" customHeight="1" x14ac:dyDescent="0.3">
      <c r="A435" s="4" t="s">
        <v>534</v>
      </c>
      <c r="B435" s="4" t="s">
        <v>81</v>
      </c>
      <c r="C435" s="4" t="s">
        <v>436</v>
      </c>
      <c r="D435" s="4" t="s">
        <v>20</v>
      </c>
      <c r="E435" s="4" t="s">
        <v>443</v>
      </c>
      <c r="F435" s="4" t="s">
        <v>444</v>
      </c>
      <c r="G435" s="4" t="s">
        <v>1599</v>
      </c>
      <c r="H435" s="4" t="s">
        <v>24</v>
      </c>
      <c r="I435" s="4" t="s">
        <v>25</v>
      </c>
      <c r="K435" s="4" t="s">
        <v>26</v>
      </c>
      <c r="L435" s="4" t="s">
        <v>1600</v>
      </c>
      <c r="O435" s="4" t="s">
        <v>1548</v>
      </c>
      <c r="P435" s="5">
        <f>DATE(2023,6,27)</f>
        <v>45104</v>
      </c>
      <c r="Q435" s="4" t="s">
        <v>1504</v>
      </c>
      <c r="R435" s="5">
        <f>DATE(2021,12,22)</f>
        <v>44552</v>
      </c>
    </row>
    <row r="436" spans="1:28" ht="55.05" customHeight="1" x14ac:dyDescent="0.3">
      <c r="A436" s="4" t="s">
        <v>534</v>
      </c>
      <c r="B436" s="4" t="s">
        <v>81</v>
      </c>
      <c r="C436" s="4" t="s">
        <v>436</v>
      </c>
      <c r="D436" s="4" t="s">
        <v>20</v>
      </c>
      <c r="E436" s="4" t="s">
        <v>443</v>
      </c>
      <c r="F436" s="4" t="s">
        <v>444</v>
      </c>
      <c r="G436" s="4" t="s">
        <v>1601</v>
      </c>
      <c r="H436" s="4" t="s">
        <v>24</v>
      </c>
      <c r="I436" s="4" t="s">
        <v>25</v>
      </c>
      <c r="K436" s="4" t="s">
        <v>26</v>
      </c>
      <c r="L436" s="4" t="s">
        <v>1602</v>
      </c>
      <c r="O436" s="4" t="s">
        <v>1603</v>
      </c>
      <c r="P436" s="5">
        <f>DATE(2023,12,15)</f>
        <v>45275</v>
      </c>
      <c r="Q436" s="4" t="s">
        <v>1604</v>
      </c>
      <c r="R436" s="5">
        <f>DATE(2023,8,30)</f>
        <v>45168</v>
      </c>
      <c r="S436" s="4" t="s">
        <v>1587</v>
      </c>
      <c r="T436" s="5">
        <f>DATE(2023,5,29)</f>
        <v>45075</v>
      </c>
      <c r="U436" s="4" t="s">
        <v>1031</v>
      </c>
      <c r="V436" s="5">
        <f>DATE(2023,3,28)</f>
        <v>45013</v>
      </c>
      <c r="W436" s="4" t="s">
        <v>1605</v>
      </c>
      <c r="X436" s="5">
        <f>DATE(2022,12,29)</f>
        <v>44924</v>
      </c>
      <c r="Y436" s="4" t="s">
        <v>1606</v>
      </c>
      <c r="Z436" s="5">
        <f>DATE(2022,3,17)</f>
        <v>44637</v>
      </c>
      <c r="AA436" s="4" t="s">
        <v>1504</v>
      </c>
      <c r="AB436" s="5">
        <f>DATE(2021,12,22)</f>
        <v>44552</v>
      </c>
    </row>
    <row r="437" spans="1:28" ht="55.05" customHeight="1" x14ac:dyDescent="0.3">
      <c r="A437" s="4" t="s">
        <v>534</v>
      </c>
      <c r="B437" s="4" t="s">
        <v>81</v>
      </c>
      <c r="C437" s="4" t="s">
        <v>436</v>
      </c>
      <c r="D437" s="4" t="s">
        <v>20</v>
      </c>
      <c r="E437" s="4" t="s">
        <v>443</v>
      </c>
      <c r="F437" s="4" t="s">
        <v>444</v>
      </c>
      <c r="G437" s="4" t="s">
        <v>1607</v>
      </c>
      <c r="H437" s="4" t="s">
        <v>24</v>
      </c>
      <c r="I437" s="4" t="s">
        <v>25</v>
      </c>
      <c r="K437" s="4" t="s">
        <v>26</v>
      </c>
      <c r="L437" s="4" t="s">
        <v>1608</v>
      </c>
      <c r="O437" s="4" t="s">
        <v>1552</v>
      </c>
      <c r="P437" s="5">
        <f>DATE(2023,11,16)</f>
        <v>45246</v>
      </c>
      <c r="Q437" s="4" t="s">
        <v>1504</v>
      </c>
      <c r="R437" s="5">
        <f>DATE(2021,12,22)</f>
        <v>44552</v>
      </c>
    </row>
    <row r="438" spans="1:28" ht="55.05" customHeight="1" x14ac:dyDescent="0.3">
      <c r="A438" s="4" t="s">
        <v>534</v>
      </c>
      <c r="B438" s="4" t="s">
        <v>81</v>
      </c>
      <c r="C438" s="4" t="s">
        <v>436</v>
      </c>
      <c r="D438" s="4" t="s">
        <v>20</v>
      </c>
      <c r="E438" s="4" t="s">
        <v>443</v>
      </c>
      <c r="F438" s="4" t="s">
        <v>444</v>
      </c>
      <c r="G438" s="4" t="s">
        <v>1609</v>
      </c>
      <c r="H438" s="4" t="s">
        <v>24</v>
      </c>
      <c r="I438" s="4" t="s">
        <v>25</v>
      </c>
      <c r="K438" s="4" t="s">
        <v>26</v>
      </c>
      <c r="L438" s="4" t="s">
        <v>1610</v>
      </c>
      <c r="O438" s="4" t="s">
        <v>1611</v>
      </c>
      <c r="P438" s="5">
        <f>DATE(2023,12,6)</f>
        <v>45266</v>
      </c>
      <c r="Q438" s="4" t="s">
        <v>1604</v>
      </c>
      <c r="R438" s="5">
        <f>DATE(2023,8,30)</f>
        <v>45168</v>
      </c>
      <c r="S438" s="4" t="s">
        <v>1548</v>
      </c>
      <c r="T438" s="5">
        <f>DATE(2023,6,27)</f>
        <v>45104</v>
      </c>
      <c r="U438" s="4" t="s">
        <v>1504</v>
      </c>
      <c r="V438" s="5">
        <f>DATE(2021,12,22)</f>
        <v>44552</v>
      </c>
    </row>
    <row r="439" spans="1:28" ht="55.05" customHeight="1" x14ac:dyDescent="0.3">
      <c r="A439" s="4" t="s">
        <v>534</v>
      </c>
      <c r="B439" s="4" t="s">
        <v>81</v>
      </c>
      <c r="C439" s="4" t="s">
        <v>436</v>
      </c>
      <c r="D439" s="4" t="s">
        <v>20</v>
      </c>
      <c r="E439" s="4" t="s">
        <v>443</v>
      </c>
      <c r="F439" s="4" t="s">
        <v>444</v>
      </c>
      <c r="G439" s="4" t="s">
        <v>1612</v>
      </c>
      <c r="H439" s="4" t="s">
        <v>24</v>
      </c>
      <c r="I439" s="4" t="s">
        <v>25</v>
      </c>
      <c r="K439" s="4" t="s">
        <v>26</v>
      </c>
      <c r="L439" s="4" t="s">
        <v>1613</v>
      </c>
      <c r="O439" s="4" t="s">
        <v>1417</v>
      </c>
      <c r="P439" s="5">
        <f>DATE(2022,4,5)</f>
        <v>44656</v>
      </c>
      <c r="Q439" s="4" t="s">
        <v>1614</v>
      </c>
      <c r="R439" s="5">
        <f>DATE(2020,1,13)</f>
        <v>43843</v>
      </c>
    </row>
    <row r="440" spans="1:28" ht="55.05" customHeight="1" x14ac:dyDescent="0.3">
      <c r="A440" s="4" t="s">
        <v>534</v>
      </c>
      <c r="B440" s="4" t="s">
        <v>81</v>
      </c>
      <c r="C440" s="4" t="s">
        <v>436</v>
      </c>
      <c r="D440" s="4" t="s">
        <v>20</v>
      </c>
      <c r="E440" s="4" t="s">
        <v>443</v>
      </c>
      <c r="F440" s="4" t="s">
        <v>444</v>
      </c>
      <c r="G440" s="4" t="s">
        <v>1615</v>
      </c>
      <c r="H440" s="4" t="s">
        <v>24</v>
      </c>
      <c r="I440" s="4" t="s">
        <v>25</v>
      </c>
      <c r="K440" s="4" t="s">
        <v>26</v>
      </c>
      <c r="L440" s="4" t="s">
        <v>1616</v>
      </c>
      <c r="O440" s="4" t="s">
        <v>1605</v>
      </c>
      <c r="P440" s="5">
        <f>DATE(2022,12,29)</f>
        <v>44924</v>
      </c>
      <c r="Q440" s="4" t="s">
        <v>1617</v>
      </c>
      <c r="R440" s="5">
        <f>DATE(2022,3,8)</f>
        <v>44628</v>
      </c>
      <c r="S440" s="4" t="s">
        <v>53</v>
      </c>
      <c r="T440" s="5">
        <f>DATE(2021,12,21)</f>
        <v>44551</v>
      </c>
      <c r="U440" s="4" t="s">
        <v>1618</v>
      </c>
      <c r="V440" s="5">
        <f>DATE(2021,11,26)</f>
        <v>44526</v>
      </c>
    </row>
    <row r="441" spans="1:28" ht="55.05" customHeight="1" x14ac:dyDescent="0.3">
      <c r="A441" s="4" t="s">
        <v>534</v>
      </c>
      <c r="B441" s="4" t="s">
        <v>81</v>
      </c>
      <c r="C441" s="4" t="s">
        <v>436</v>
      </c>
      <c r="D441" s="4" t="s">
        <v>20</v>
      </c>
      <c r="E441" s="4" t="s">
        <v>463</v>
      </c>
      <c r="F441" s="4" t="s">
        <v>444</v>
      </c>
      <c r="G441" s="4" t="s">
        <v>1619</v>
      </c>
      <c r="H441" s="4" t="s">
        <v>24</v>
      </c>
      <c r="I441" s="4" t="s">
        <v>25</v>
      </c>
      <c r="K441" s="4" t="s">
        <v>26</v>
      </c>
      <c r="L441" s="4" t="s">
        <v>1620</v>
      </c>
      <c r="O441" s="4" t="s">
        <v>1603</v>
      </c>
      <c r="P441" s="5">
        <f>DATE(2023,12,15)</f>
        <v>45275</v>
      </c>
      <c r="Q441" s="4" t="s">
        <v>1621</v>
      </c>
      <c r="R441" s="5">
        <f>DATE(2023,3,30)</f>
        <v>45015</v>
      </c>
      <c r="S441" s="4" t="s">
        <v>1622</v>
      </c>
      <c r="T441" s="5">
        <f>DATE(2022,8,31)</f>
        <v>44804</v>
      </c>
      <c r="U441" s="4" t="s">
        <v>1623</v>
      </c>
      <c r="V441" s="5">
        <f>DATE(2021,11,30)</f>
        <v>44530</v>
      </c>
    </row>
    <row r="442" spans="1:28" ht="55.05" customHeight="1" x14ac:dyDescent="0.3">
      <c r="A442" s="4" t="s">
        <v>534</v>
      </c>
      <c r="B442" s="4" t="s">
        <v>81</v>
      </c>
      <c r="C442" s="4" t="s">
        <v>436</v>
      </c>
      <c r="D442" s="4" t="s">
        <v>20</v>
      </c>
      <c r="E442" s="4" t="s">
        <v>463</v>
      </c>
      <c r="F442" s="4" t="s">
        <v>444</v>
      </c>
      <c r="G442" s="4" t="s">
        <v>1624</v>
      </c>
      <c r="H442" s="4" t="s">
        <v>24</v>
      </c>
      <c r="I442" s="4" t="s">
        <v>25</v>
      </c>
      <c r="K442" s="4" t="s">
        <v>26</v>
      </c>
      <c r="L442" s="4" t="s">
        <v>1625</v>
      </c>
      <c r="O442" s="4" t="s">
        <v>1417</v>
      </c>
      <c r="P442" s="5">
        <f>DATE(2022,4,5)</f>
        <v>44656</v>
      </c>
      <c r="Q442" s="4" t="s">
        <v>1626</v>
      </c>
      <c r="R442" s="5">
        <f>DATE(2021,12,13)</f>
        <v>44543</v>
      </c>
    </row>
    <row r="443" spans="1:28" ht="55.05" customHeight="1" x14ac:dyDescent="0.3">
      <c r="A443" s="4" t="s">
        <v>534</v>
      </c>
      <c r="B443" s="4" t="s">
        <v>81</v>
      </c>
      <c r="C443" s="4" t="s">
        <v>436</v>
      </c>
      <c r="D443" s="4" t="s">
        <v>20</v>
      </c>
      <c r="E443" s="4" t="s">
        <v>463</v>
      </c>
      <c r="F443" s="4" t="s">
        <v>444</v>
      </c>
      <c r="G443" s="4" t="s">
        <v>1627</v>
      </c>
      <c r="H443" s="4" t="s">
        <v>24</v>
      </c>
      <c r="I443" s="4" t="s">
        <v>25</v>
      </c>
      <c r="K443" s="4" t="s">
        <v>26</v>
      </c>
      <c r="L443" s="4" t="s">
        <v>1628</v>
      </c>
      <c r="O443" s="4" t="s">
        <v>1603</v>
      </c>
      <c r="P443" s="5">
        <f>DATE(2023,12,15)</f>
        <v>45275</v>
      </c>
      <c r="Q443" s="4" t="s">
        <v>1417</v>
      </c>
      <c r="R443" s="5">
        <f>DATE(2022,4,5)</f>
        <v>44656</v>
      </c>
      <c r="S443" s="4" t="s">
        <v>1504</v>
      </c>
      <c r="T443" s="5">
        <f>DATE(2021,12,22)</f>
        <v>44552</v>
      </c>
    </row>
    <row r="444" spans="1:28" ht="55.05" customHeight="1" x14ac:dyDescent="0.3">
      <c r="A444" s="4" t="s">
        <v>534</v>
      </c>
      <c r="B444" s="4" t="s">
        <v>81</v>
      </c>
      <c r="C444" s="4" t="s">
        <v>436</v>
      </c>
      <c r="D444" s="4" t="s">
        <v>20</v>
      </c>
      <c r="E444" s="4" t="s">
        <v>463</v>
      </c>
      <c r="F444" s="4" t="s">
        <v>444</v>
      </c>
      <c r="G444" s="4" t="s">
        <v>1629</v>
      </c>
      <c r="H444" s="4" t="s">
        <v>24</v>
      </c>
      <c r="I444" s="4" t="s">
        <v>25</v>
      </c>
      <c r="K444" s="4" t="s">
        <v>26</v>
      </c>
      <c r="L444" s="4" t="s">
        <v>1630</v>
      </c>
      <c r="O444" s="4" t="s">
        <v>1631</v>
      </c>
      <c r="P444" s="5">
        <f>DATE(2023,2,27)</f>
        <v>44984</v>
      </c>
      <c r="Q444" s="4" t="s">
        <v>1632</v>
      </c>
      <c r="R444" s="5">
        <f>DATE(2021,11,24)</f>
        <v>44524</v>
      </c>
    </row>
    <row r="445" spans="1:28" ht="55.05" customHeight="1" x14ac:dyDescent="0.3">
      <c r="A445" s="4" t="s">
        <v>534</v>
      </c>
      <c r="B445" s="4" t="s">
        <v>81</v>
      </c>
      <c r="C445" s="4" t="s">
        <v>436</v>
      </c>
      <c r="D445" s="4" t="s">
        <v>20</v>
      </c>
      <c r="E445" s="4" t="s">
        <v>1633</v>
      </c>
      <c r="F445" s="4" t="s">
        <v>444</v>
      </c>
      <c r="G445" s="4" t="s">
        <v>1634</v>
      </c>
      <c r="H445" s="4" t="s">
        <v>24</v>
      </c>
      <c r="I445" s="4" t="s">
        <v>25</v>
      </c>
      <c r="K445" s="4" t="s">
        <v>26</v>
      </c>
      <c r="L445" s="4" t="s">
        <v>1635</v>
      </c>
      <c r="M445" s="4" t="s">
        <v>1636</v>
      </c>
      <c r="N445" s="5">
        <f>DATE(2022,4,25)</f>
        <v>44676</v>
      </c>
      <c r="O445" s="4" t="s">
        <v>170</v>
      </c>
      <c r="P445" s="5">
        <f>DATE(2022,6,28)</f>
        <v>44740</v>
      </c>
      <c r="Q445" s="4" t="s">
        <v>1637</v>
      </c>
      <c r="R445" s="5">
        <f>DATE(2020,6,17)</f>
        <v>43999</v>
      </c>
    </row>
    <row r="446" spans="1:28" ht="55.05" customHeight="1" x14ac:dyDescent="0.3">
      <c r="A446" s="4" t="s">
        <v>534</v>
      </c>
      <c r="B446" s="4" t="s">
        <v>119</v>
      </c>
      <c r="C446" s="4" t="s">
        <v>468</v>
      </c>
      <c r="D446" s="4" t="s">
        <v>20</v>
      </c>
      <c r="E446" s="4" t="s">
        <v>469</v>
      </c>
      <c r="F446" s="4" t="s">
        <v>22</v>
      </c>
      <c r="G446" s="4" t="s">
        <v>1638</v>
      </c>
      <c r="H446" s="4" t="s">
        <v>24</v>
      </c>
      <c r="I446" s="4" t="s">
        <v>25</v>
      </c>
      <c r="K446" s="4" t="s">
        <v>26</v>
      </c>
      <c r="L446" s="4" t="s">
        <v>1639</v>
      </c>
      <c r="O446" s="4" t="s">
        <v>1640</v>
      </c>
      <c r="P446" s="5">
        <f>DATE(2023,9,29)</f>
        <v>45198</v>
      </c>
      <c r="Q446" s="4" t="s">
        <v>1641</v>
      </c>
      <c r="R446" s="5">
        <f>DATE(2022,5,5)</f>
        <v>44686</v>
      </c>
      <c r="S446" s="4" t="s">
        <v>1642</v>
      </c>
      <c r="T446" s="5">
        <f>DATE(2020,6,10)</f>
        <v>43992</v>
      </c>
    </row>
    <row r="447" spans="1:28" ht="55.05" customHeight="1" x14ac:dyDescent="0.3">
      <c r="A447" s="4" t="s">
        <v>534</v>
      </c>
      <c r="B447" s="4" t="s">
        <v>119</v>
      </c>
      <c r="C447" s="4" t="s">
        <v>468</v>
      </c>
      <c r="D447" s="4" t="s">
        <v>20</v>
      </c>
      <c r="E447" s="4" t="s">
        <v>469</v>
      </c>
      <c r="F447" s="4" t="s">
        <v>22</v>
      </c>
      <c r="G447" s="4" t="s">
        <v>1643</v>
      </c>
      <c r="H447" s="4" t="s">
        <v>24</v>
      </c>
      <c r="I447" s="4" t="s">
        <v>25</v>
      </c>
      <c r="K447" s="4" t="s">
        <v>26</v>
      </c>
      <c r="L447" s="4" t="s">
        <v>1644</v>
      </c>
      <c r="O447" s="4" t="s">
        <v>1642</v>
      </c>
      <c r="P447" s="5">
        <f>DATE(2020,6,10)</f>
        <v>43992</v>
      </c>
    </row>
    <row r="448" spans="1:28" ht="55.05" customHeight="1" x14ac:dyDescent="0.3">
      <c r="A448" s="4" t="s">
        <v>534</v>
      </c>
      <c r="B448" s="4" t="s">
        <v>119</v>
      </c>
      <c r="C448" s="4" t="s">
        <v>468</v>
      </c>
      <c r="D448" s="4" t="s">
        <v>20</v>
      </c>
      <c r="E448" s="4" t="s">
        <v>469</v>
      </c>
      <c r="F448" s="4" t="s">
        <v>22</v>
      </c>
      <c r="G448" s="4" t="s">
        <v>1645</v>
      </c>
      <c r="H448" s="4" t="s">
        <v>24</v>
      </c>
      <c r="I448" s="4" t="s">
        <v>25</v>
      </c>
      <c r="K448" s="4" t="s">
        <v>26</v>
      </c>
      <c r="L448" s="4" t="s">
        <v>1646</v>
      </c>
      <c r="O448" s="4" t="s">
        <v>1647</v>
      </c>
      <c r="P448" s="5">
        <f>DATE(2020,12,16)</f>
        <v>44181</v>
      </c>
    </row>
    <row r="449" spans="1:28" ht="55.05" customHeight="1" x14ac:dyDescent="0.3">
      <c r="A449" s="4" t="s">
        <v>534</v>
      </c>
      <c r="B449" s="4" t="s">
        <v>119</v>
      </c>
      <c r="C449" s="4" t="s">
        <v>468</v>
      </c>
      <c r="D449" s="4" t="s">
        <v>20</v>
      </c>
      <c r="E449" s="4" t="s">
        <v>469</v>
      </c>
      <c r="F449" s="4" t="s">
        <v>22</v>
      </c>
      <c r="G449" s="4" t="s">
        <v>1648</v>
      </c>
      <c r="H449" s="4" t="s">
        <v>24</v>
      </c>
      <c r="I449" s="4" t="s">
        <v>25</v>
      </c>
      <c r="K449" s="4" t="s">
        <v>26</v>
      </c>
      <c r="L449" s="4" t="s">
        <v>1649</v>
      </c>
      <c r="O449" s="4" t="s">
        <v>1650</v>
      </c>
      <c r="P449" s="5">
        <f>DATE(2022,12,27)</f>
        <v>44922</v>
      </c>
      <c r="Q449" s="4" t="s">
        <v>1651</v>
      </c>
      <c r="R449" s="5">
        <f>DATE(2022,5,27)</f>
        <v>44708</v>
      </c>
      <c r="S449" s="4" t="s">
        <v>1652</v>
      </c>
      <c r="T449" s="5">
        <f>DATE(2021,9,20)</f>
        <v>44459</v>
      </c>
    </row>
    <row r="450" spans="1:28" ht="55.05" customHeight="1" x14ac:dyDescent="0.3">
      <c r="A450" s="4" t="s">
        <v>534</v>
      </c>
      <c r="B450" s="4" t="s">
        <v>119</v>
      </c>
      <c r="C450" s="4" t="s">
        <v>468</v>
      </c>
      <c r="D450" s="4" t="s">
        <v>20</v>
      </c>
      <c r="E450" s="4" t="s">
        <v>469</v>
      </c>
      <c r="F450" s="4" t="s">
        <v>22</v>
      </c>
      <c r="G450" s="4" t="s">
        <v>1653</v>
      </c>
      <c r="H450" s="4" t="s">
        <v>24</v>
      </c>
      <c r="I450" s="4" t="s">
        <v>25</v>
      </c>
      <c r="K450" s="4" t="s">
        <v>26</v>
      </c>
      <c r="L450" s="4" t="s">
        <v>1654</v>
      </c>
      <c r="O450" s="4" t="s">
        <v>1655</v>
      </c>
      <c r="P450" s="5">
        <f>DATE(2022,5,13)</f>
        <v>44694</v>
      </c>
      <c r="Q450" s="4" t="s">
        <v>1656</v>
      </c>
      <c r="R450" s="5">
        <f>DATE(2021,11,30)</f>
        <v>44530</v>
      </c>
    </row>
    <row r="451" spans="1:28" ht="55.05" customHeight="1" x14ac:dyDescent="0.3">
      <c r="A451" s="4" t="s">
        <v>534</v>
      </c>
      <c r="B451" s="4" t="s">
        <v>119</v>
      </c>
      <c r="C451" s="4" t="s">
        <v>468</v>
      </c>
      <c r="D451" s="4" t="s">
        <v>20</v>
      </c>
      <c r="E451" s="4" t="s">
        <v>469</v>
      </c>
      <c r="F451" s="4" t="s">
        <v>22</v>
      </c>
      <c r="G451" s="4" t="s">
        <v>1657</v>
      </c>
      <c r="H451" s="4" t="s">
        <v>24</v>
      </c>
      <c r="I451" s="4" t="s">
        <v>25</v>
      </c>
      <c r="K451" s="4" t="s">
        <v>26</v>
      </c>
      <c r="L451" s="4" t="s">
        <v>1658</v>
      </c>
      <c r="O451" s="4" t="s">
        <v>1659</v>
      </c>
      <c r="P451" s="5">
        <f>DATE(2023,12,19)</f>
        <v>45279</v>
      </c>
      <c r="Q451" s="4" t="s">
        <v>685</v>
      </c>
      <c r="R451" s="5">
        <f>DATE(2020,7,21)</f>
        <v>44033</v>
      </c>
    </row>
    <row r="452" spans="1:28" ht="55.05" customHeight="1" x14ac:dyDescent="0.3">
      <c r="A452" s="4" t="s">
        <v>534</v>
      </c>
      <c r="B452" s="4" t="s">
        <v>119</v>
      </c>
      <c r="C452" s="4" t="s">
        <v>468</v>
      </c>
      <c r="D452" s="4" t="s">
        <v>20</v>
      </c>
      <c r="E452" s="4" t="s">
        <v>469</v>
      </c>
      <c r="F452" s="4" t="s">
        <v>22</v>
      </c>
      <c r="G452" s="4" t="s">
        <v>1660</v>
      </c>
      <c r="H452" s="4" t="s">
        <v>24</v>
      </c>
      <c r="I452" s="4" t="s">
        <v>25</v>
      </c>
      <c r="K452" s="4" t="s">
        <v>26</v>
      </c>
      <c r="L452" s="4" t="s">
        <v>1661</v>
      </c>
      <c r="O452" s="4" t="s">
        <v>1662</v>
      </c>
      <c r="P452" s="5">
        <f>DATE(2023,12,11)</f>
        <v>45271</v>
      </c>
      <c r="Q452" s="4" t="s">
        <v>1663</v>
      </c>
      <c r="R452" s="5">
        <f>DATE(2023,6,28)</f>
        <v>45105</v>
      </c>
      <c r="S452" s="4" t="s">
        <v>1664</v>
      </c>
      <c r="T452" s="5">
        <f>DATE(2023,6,5)</f>
        <v>45082</v>
      </c>
      <c r="U452" s="4" t="s">
        <v>1665</v>
      </c>
      <c r="V452" s="5">
        <f>DATE(2023,2,27)</f>
        <v>44984</v>
      </c>
      <c r="W452" s="4" t="s">
        <v>1666</v>
      </c>
      <c r="X452" s="5">
        <f>DATE(2022,11,22)</f>
        <v>44887</v>
      </c>
      <c r="Y452" s="4" t="s">
        <v>1667</v>
      </c>
      <c r="Z452" s="5">
        <f>DATE(2022,9,15)</f>
        <v>44819</v>
      </c>
      <c r="AA452" s="4" t="s">
        <v>1668</v>
      </c>
      <c r="AB452" s="5">
        <f>DATE(2022,8,29)</f>
        <v>44802</v>
      </c>
    </row>
    <row r="453" spans="1:28" ht="55.05" customHeight="1" x14ac:dyDescent="0.3">
      <c r="A453" s="4" t="s">
        <v>534</v>
      </c>
      <c r="B453" s="4" t="s">
        <v>119</v>
      </c>
      <c r="C453" s="4" t="s">
        <v>468</v>
      </c>
      <c r="D453" s="4" t="s">
        <v>20</v>
      </c>
      <c r="E453" s="4" t="s">
        <v>1669</v>
      </c>
      <c r="F453" s="4" t="s">
        <v>22</v>
      </c>
      <c r="G453" s="4" t="s">
        <v>1670</v>
      </c>
      <c r="H453" s="4" t="s">
        <v>24</v>
      </c>
      <c r="I453" s="4" t="s">
        <v>25</v>
      </c>
      <c r="K453" s="4" t="s">
        <v>26</v>
      </c>
      <c r="L453" s="4" t="s">
        <v>1671</v>
      </c>
      <c r="O453" s="4" t="s">
        <v>758</v>
      </c>
      <c r="P453" s="5">
        <f>DATE(2021,10,21)</f>
        <v>44490</v>
      </c>
      <c r="Q453" s="4" t="s">
        <v>685</v>
      </c>
      <c r="R453" s="5">
        <f>DATE(2020,7,21)</f>
        <v>44033</v>
      </c>
    </row>
    <row r="454" spans="1:28" ht="55.05" customHeight="1" x14ac:dyDescent="0.3">
      <c r="A454" s="4" t="s">
        <v>534</v>
      </c>
      <c r="B454" s="4" t="s">
        <v>119</v>
      </c>
      <c r="C454" s="4" t="s">
        <v>468</v>
      </c>
      <c r="D454" s="4" t="s">
        <v>20</v>
      </c>
      <c r="E454" s="4" t="s">
        <v>1669</v>
      </c>
      <c r="F454" s="4" t="s">
        <v>22</v>
      </c>
      <c r="G454" s="4" t="s">
        <v>1672</v>
      </c>
      <c r="H454" s="4" t="s">
        <v>24</v>
      </c>
      <c r="I454" s="4" t="s">
        <v>25</v>
      </c>
      <c r="K454" s="4" t="s">
        <v>26</v>
      </c>
      <c r="L454" s="4" t="s">
        <v>1673</v>
      </c>
      <c r="O454" s="4" t="s">
        <v>1642</v>
      </c>
      <c r="P454" s="5">
        <f>DATE(2020,6,10)</f>
        <v>43992</v>
      </c>
    </row>
    <row r="455" spans="1:28" ht="55.05" customHeight="1" x14ac:dyDescent="0.3">
      <c r="A455" s="4" t="s">
        <v>534</v>
      </c>
      <c r="B455" s="4" t="s">
        <v>119</v>
      </c>
      <c r="C455" s="4" t="s">
        <v>468</v>
      </c>
      <c r="D455" s="4" t="s">
        <v>20</v>
      </c>
      <c r="E455" s="4" t="s">
        <v>1669</v>
      </c>
      <c r="F455" s="4" t="s">
        <v>22</v>
      </c>
      <c r="G455" s="4" t="s">
        <v>1674</v>
      </c>
      <c r="H455" s="4" t="s">
        <v>24</v>
      </c>
      <c r="I455" s="4" t="s">
        <v>25</v>
      </c>
      <c r="K455" s="4" t="s">
        <v>26</v>
      </c>
      <c r="L455" s="4" t="s">
        <v>1675</v>
      </c>
      <c r="O455" s="4" t="s">
        <v>1676</v>
      </c>
      <c r="P455" s="5">
        <f>DATE(2020,11,6)</f>
        <v>44141</v>
      </c>
    </row>
    <row r="456" spans="1:28" ht="55.05" customHeight="1" x14ac:dyDescent="0.3">
      <c r="A456" s="4" t="s">
        <v>534</v>
      </c>
      <c r="B456" s="4" t="s">
        <v>119</v>
      </c>
      <c r="C456" s="4" t="s">
        <v>468</v>
      </c>
      <c r="D456" s="4" t="s">
        <v>20</v>
      </c>
      <c r="E456" s="4" t="s">
        <v>1669</v>
      </c>
      <c r="F456" s="4" t="s">
        <v>22</v>
      </c>
      <c r="G456" s="4" t="s">
        <v>1677</v>
      </c>
      <c r="H456" s="4" t="s">
        <v>24</v>
      </c>
      <c r="I456" s="4" t="s">
        <v>25</v>
      </c>
      <c r="K456" s="4" t="s">
        <v>26</v>
      </c>
      <c r="L456" s="4" t="s">
        <v>1678</v>
      </c>
      <c r="O456" s="4" t="s">
        <v>1642</v>
      </c>
      <c r="P456" s="5">
        <f>DATE(2020,6,10)</f>
        <v>43992</v>
      </c>
    </row>
    <row r="457" spans="1:28" ht="55.05" customHeight="1" x14ac:dyDescent="0.3">
      <c r="A457" s="4" t="s">
        <v>534</v>
      </c>
      <c r="B457" s="4" t="s">
        <v>119</v>
      </c>
      <c r="C457" s="4" t="s">
        <v>120</v>
      </c>
      <c r="D457" s="4" t="s">
        <v>20</v>
      </c>
      <c r="E457" s="4" t="s">
        <v>473</v>
      </c>
      <c r="F457" s="4" t="s">
        <v>122</v>
      </c>
      <c r="G457" s="4" t="s">
        <v>1679</v>
      </c>
      <c r="H457" s="4" t="s">
        <v>24</v>
      </c>
      <c r="I457" s="4" t="s">
        <v>25</v>
      </c>
      <c r="K457" s="4" t="s">
        <v>26</v>
      </c>
      <c r="L457" s="4" t="s">
        <v>1680</v>
      </c>
      <c r="O457" s="4" t="s">
        <v>1681</v>
      </c>
      <c r="P457" s="5">
        <f>DATE(2022,3,29)</f>
        <v>44649</v>
      </c>
      <c r="Q457" s="4" t="s">
        <v>1682</v>
      </c>
      <c r="R457" s="5">
        <f>DATE(2021,4,22)</f>
        <v>44308</v>
      </c>
    </row>
    <row r="458" spans="1:28" ht="55.05" customHeight="1" x14ac:dyDescent="0.3">
      <c r="A458" s="4" t="s">
        <v>534</v>
      </c>
      <c r="B458" s="4" t="s">
        <v>119</v>
      </c>
      <c r="C458" s="4" t="s">
        <v>120</v>
      </c>
      <c r="D458" s="4" t="s">
        <v>20</v>
      </c>
      <c r="E458" s="4" t="s">
        <v>121</v>
      </c>
      <c r="F458" s="4" t="s">
        <v>122</v>
      </c>
      <c r="G458" s="4" t="s">
        <v>1683</v>
      </c>
      <c r="H458" s="4" t="s">
        <v>32</v>
      </c>
      <c r="I458" s="4" t="s">
        <v>130</v>
      </c>
      <c r="J458" s="5">
        <f>DATE(2022,11,30)</f>
        <v>44895</v>
      </c>
      <c r="K458" s="4" t="s">
        <v>26</v>
      </c>
      <c r="L458" s="4" t="s">
        <v>1684</v>
      </c>
      <c r="O458" s="4" t="s">
        <v>1685</v>
      </c>
      <c r="P458" s="5">
        <f>DATE(2022,11,30)</f>
        <v>44895</v>
      </c>
      <c r="Q458" s="4" t="s">
        <v>1685</v>
      </c>
      <c r="R458" s="5">
        <f>DATE(2022,11,30)</f>
        <v>44895</v>
      </c>
      <c r="S458" s="4" t="s">
        <v>1685</v>
      </c>
      <c r="T458" s="5">
        <f>DATE(2022,11,30)</f>
        <v>44895</v>
      </c>
      <c r="U458" s="4" t="s">
        <v>484</v>
      </c>
      <c r="V458" s="5">
        <f>DATE(2022,6,28)</f>
        <v>44740</v>
      </c>
      <c r="W458" s="4" t="s">
        <v>758</v>
      </c>
      <c r="X458" s="5">
        <f>DATE(2021,10,21)</f>
        <v>44490</v>
      </c>
      <c r="Y458" s="4" t="s">
        <v>125</v>
      </c>
      <c r="Z458" s="5">
        <f>DATE(2020,7,21)</f>
        <v>44033</v>
      </c>
    </row>
    <row r="459" spans="1:28" ht="55.05" customHeight="1" x14ac:dyDescent="0.3">
      <c r="A459" s="4" t="s">
        <v>534</v>
      </c>
      <c r="B459" s="4" t="s">
        <v>119</v>
      </c>
      <c r="C459" s="4" t="s">
        <v>120</v>
      </c>
      <c r="D459" s="4" t="s">
        <v>20</v>
      </c>
      <c r="E459" s="4" t="s">
        <v>121</v>
      </c>
      <c r="F459" s="4" t="s">
        <v>122</v>
      </c>
      <c r="G459" s="4" t="s">
        <v>1686</v>
      </c>
      <c r="H459" s="4" t="s">
        <v>32</v>
      </c>
      <c r="I459" s="4" t="s">
        <v>25</v>
      </c>
      <c r="J459" s="5">
        <f>DATE(2022,4,20)</f>
        <v>44671</v>
      </c>
      <c r="K459" s="4" t="s">
        <v>26</v>
      </c>
      <c r="L459" s="4" t="s">
        <v>1687</v>
      </c>
      <c r="O459" s="4" t="s">
        <v>1688</v>
      </c>
      <c r="P459" s="5">
        <f>DATE(2022,4,20)</f>
        <v>44671</v>
      </c>
      <c r="Q459" s="4" t="s">
        <v>1689</v>
      </c>
      <c r="R459" s="5">
        <f>DATE(2016,6,30)</f>
        <v>42551</v>
      </c>
    </row>
    <row r="460" spans="1:28" ht="55.05" customHeight="1" x14ac:dyDescent="0.3">
      <c r="A460" s="4" t="s">
        <v>534</v>
      </c>
      <c r="B460" s="4" t="s">
        <v>119</v>
      </c>
      <c r="C460" s="4" t="s">
        <v>120</v>
      </c>
      <c r="D460" s="4" t="s">
        <v>20</v>
      </c>
      <c r="E460" s="4" t="s">
        <v>480</v>
      </c>
      <c r="F460" s="4" t="s">
        <v>122</v>
      </c>
      <c r="G460" s="4" t="s">
        <v>1690</v>
      </c>
      <c r="H460" s="4" t="s">
        <v>24</v>
      </c>
      <c r="I460" s="4" t="s">
        <v>25</v>
      </c>
      <c r="K460" s="4" t="s">
        <v>26</v>
      </c>
      <c r="L460" s="4" t="s">
        <v>1691</v>
      </c>
      <c r="M460" s="4" t="s">
        <v>483</v>
      </c>
      <c r="N460" s="5">
        <f>DATE(2022,3,8)</f>
        <v>44628</v>
      </c>
      <c r="O460" s="4" t="s">
        <v>1692</v>
      </c>
      <c r="P460" s="5">
        <f>DATE(2022,6,28)</f>
        <v>44740</v>
      </c>
      <c r="Q460" s="4" t="s">
        <v>1693</v>
      </c>
      <c r="R460" s="5">
        <f>DATE(2021,12,16)</f>
        <v>44546</v>
      </c>
    </row>
    <row r="461" spans="1:28" ht="55.05" customHeight="1" x14ac:dyDescent="0.3">
      <c r="A461" s="4" t="s">
        <v>534</v>
      </c>
      <c r="B461" s="4" t="s">
        <v>119</v>
      </c>
      <c r="C461" s="4" t="s">
        <v>120</v>
      </c>
      <c r="D461" s="4" t="s">
        <v>20</v>
      </c>
      <c r="E461" s="4" t="s">
        <v>480</v>
      </c>
      <c r="F461" s="4" t="s">
        <v>122</v>
      </c>
      <c r="G461" s="4" t="s">
        <v>1694</v>
      </c>
      <c r="H461" s="4" t="s">
        <v>24</v>
      </c>
      <c r="I461" s="4" t="s">
        <v>25</v>
      </c>
      <c r="K461" s="4" t="s">
        <v>26</v>
      </c>
      <c r="L461" s="4" t="s">
        <v>1695</v>
      </c>
      <c r="M461" s="4" t="s">
        <v>483</v>
      </c>
      <c r="N461" s="5">
        <f>DATE(2022,3,8)</f>
        <v>44628</v>
      </c>
      <c r="O461" s="4" t="s">
        <v>1696</v>
      </c>
      <c r="P461" s="5">
        <f>DATE(2020,7,24)</f>
        <v>44036</v>
      </c>
    </row>
    <row r="462" spans="1:28" ht="55.05" customHeight="1" x14ac:dyDescent="0.3">
      <c r="A462" s="4" t="s">
        <v>534</v>
      </c>
      <c r="B462" s="4" t="s">
        <v>119</v>
      </c>
      <c r="C462" s="4" t="s">
        <v>120</v>
      </c>
      <c r="D462" s="4" t="s">
        <v>20</v>
      </c>
      <c r="E462" s="4" t="s">
        <v>480</v>
      </c>
      <c r="F462" s="4" t="s">
        <v>122</v>
      </c>
      <c r="G462" s="4" t="s">
        <v>1697</v>
      </c>
      <c r="H462" s="4" t="s">
        <v>24</v>
      </c>
      <c r="I462" s="4" t="s">
        <v>25</v>
      </c>
      <c r="K462" s="4" t="s">
        <v>26</v>
      </c>
      <c r="L462" s="4" t="s">
        <v>1698</v>
      </c>
      <c r="O462" s="4" t="s">
        <v>484</v>
      </c>
      <c r="P462" s="5">
        <f>DATE(2022,6,28)</f>
        <v>44740</v>
      </c>
      <c r="Q462" s="4" t="s">
        <v>1699</v>
      </c>
      <c r="R462" s="5">
        <f>DATE(2022,3,25)</f>
        <v>44645</v>
      </c>
      <c r="S462" s="4" t="s">
        <v>1700</v>
      </c>
      <c r="T462" s="5">
        <f>DATE(2021,12,16)</f>
        <v>44546</v>
      </c>
    </row>
    <row r="463" spans="1:28" ht="55.05" customHeight="1" x14ac:dyDescent="0.3">
      <c r="A463" s="4" t="s">
        <v>534</v>
      </c>
      <c r="B463" s="4" t="s">
        <v>119</v>
      </c>
      <c r="C463" s="4" t="s">
        <v>126</v>
      </c>
      <c r="D463" s="4" t="s">
        <v>20</v>
      </c>
      <c r="E463" s="4" t="s">
        <v>1701</v>
      </c>
      <c r="F463" s="4" t="s">
        <v>122</v>
      </c>
      <c r="G463" s="4" t="s">
        <v>1702</v>
      </c>
      <c r="H463" s="4" t="s">
        <v>24</v>
      </c>
      <c r="I463" s="4" t="s">
        <v>25</v>
      </c>
      <c r="K463" s="4" t="s">
        <v>26</v>
      </c>
      <c r="L463" s="4" t="s">
        <v>1703</v>
      </c>
      <c r="O463" s="4" t="s">
        <v>1704</v>
      </c>
      <c r="P463" s="5">
        <f>DATE(2023,2,24)</f>
        <v>44981</v>
      </c>
      <c r="Q463" s="4" t="s">
        <v>1705</v>
      </c>
      <c r="R463" s="5">
        <f>DATE(2022,4,18)</f>
        <v>44669</v>
      </c>
      <c r="S463" s="4" t="s">
        <v>125</v>
      </c>
      <c r="T463" s="5">
        <f>DATE(2020,7,21)</f>
        <v>44033</v>
      </c>
    </row>
    <row r="464" spans="1:28" ht="55.05" customHeight="1" x14ac:dyDescent="0.3">
      <c r="A464" s="4" t="s">
        <v>534</v>
      </c>
      <c r="B464" s="4" t="s">
        <v>119</v>
      </c>
      <c r="C464" s="4" t="s">
        <v>126</v>
      </c>
      <c r="D464" s="4" t="s">
        <v>20</v>
      </c>
      <c r="E464" s="4" t="s">
        <v>1701</v>
      </c>
      <c r="F464" s="4" t="s">
        <v>122</v>
      </c>
      <c r="G464" s="4" t="s">
        <v>1706</v>
      </c>
      <c r="H464" s="4" t="s">
        <v>24</v>
      </c>
      <c r="I464" s="4" t="s">
        <v>25</v>
      </c>
      <c r="K464" s="4" t="s">
        <v>26</v>
      </c>
      <c r="L464" s="4" t="s">
        <v>1707</v>
      </c>
      <c r="O464" s="4" t="s">
        <v>1708</v>
      </c>
      <c r="P464" s="5">
        <f>DATE(2023,5,19)</f>
        <v>45065</v>
      </c>
      <c r="Q464" s="4" t="s">
        <v>1709</v>
      </c>
      <c r="R464" s="5">
        <f>DATE(2022,4,29)</f>
        <v>44680</v>
      </c>
      <c r="S464" s="4" t="s">
        <v>125</v>
      </c>
      <c r="T464" s="5">
        <f>DATE(2020,7,21)</f>
        <v>44033</v>
      </c>
    </row>
    <row r="465" spans="1:20" ht="55.05" customHeight="1" x14ac:dyDescent="0.3">
      <c r="A465" s="4" t="s">
        <v>534</v>
      </c>
      <c r="B465" s="4" t="s">
        <v>119</v>
      </c>
      <c r="C465" s="4" t="s">
        <v>126</v>
      </c>
      <c r="D465" s="4" t="s">
        <v>20</v>
      </c>
      <c r="E465" s="4" t="s">
        <v>1701</v>
      </c>
      <c r="F465" s="4" t="s">
        <v>122</v>
      </c>
      <c r="G465" s="4" t="s">
        <v>1710</v>
      </c>
      <c r="H465" s="4" t="s">
        <v>24</v>
      </c>
      <c r="I465" s="4" t="s">
        <v>25</v>
      </c>
      <c r="K465" s="4" t="s">
        <v>26</v>
      </c>
      <c r="L465" s="4" t="s">
        <v>1711</v>
      </c>
      <c r="O465" s="4" t="s">
        <v>1709</v>
      </c>
      <c r="P465" s="5">
        <f>DATE(2022,4,29)</f>
        <v>44680</v>
      </c>
      <c r="Q465" s="4" t="s">
        <v>1705</v>
      </c>
      <c r="R465" s="5">
        <f>DATE(2022,4,18)</f>
        <v>44669</v>
      </c>
      <c r="S465" s="4" t="s">
        <v>125</v>
      </c>
      <c r="T465" s="5">
        <f>DATE(2020,7,21)</f>
        <v>44033</v>
      </c>
    </row>
    <row r="466" spans="1:20" ht="55.05" customHeight="1" x14ac:dyDescent="0.3">
      <c r="A466" s="4" t="s">
        <v>534</v>
      </c>
      <c r="B466" s="4" t="s">
        <v>119</v>
      </c>
      <c r="C466" s="4" t="s">
        <v>126</v>
      </c>
      <c r="D466" s="4" t="s">
        <v>20</v>
      </c>
      <c r="E466" s="4" t="s">
        <v>1701</v>
      </c>
      <c r="F466" s="4" t="s">
        <v>122</v>
      </c>
      <c r="G466" s="4" t="s">
        <v>1712</v>
      </c>
      <c r="H466" s="4" t="s">
        <v>24</v>
      </c>
      <c r="I466" s="4" t="s">
        <v>25</v>
      </c>
      <c r="K466" s="4" t="s">
        <v>26</v>
      </c>
      <c r="L466" s="4" t="s">
        <v>1713</v>
      </c>
      <c r="M466" s="4" t="s">
        <v>1714</v>
      </c>
      <c r="N466" s="5">
        <f>DATE(2022,8,26)</f>
        <v>44799</v>
      </c>
      <c r="O466" s="4" t="s">
        <v>125</v>
      </c>
      <c r="P466" s="5">
        <f>DATE(2020,7,21)</f>
        <v>44033</v>
      </c>
    </row>
    <row r="467" spans="1:20" ht="55.05" customHeight="1" x14ac:dyDescent="0.3">
      <c r="A467" s="4" t="s">
        <v>534</v>
      </c>
      <c r="B467" s="4" t="s">
        <v>119</v>
      </c>
      <c r="C467" s="4" t="s">
        <v>126</v>
      </c>
      <c r="D467" s="4" t="s">
        <v>20</v>
      </c>
      <c r="E467" s="4" t="s">
        <v>1715</v>
      </c>
      <c r="F467" s="4" t="s">
        <v>122</v>
      </c>
      <c r="G467" s="4" t="s">
        <v>1716</v>
      </c>
      <c r="H467" s="4" t="s">
        <v>24</v>
      </c>
      <c r="I467" s="4" t="s">
        <v>25</v>
      </c>
      <c r="K467" s="4" t="s">
        <v>26</v>
      </c>
      <c r="L467" s="4" t="s">
        <v>1717</v>
      </c>
      <c r="O467" s="4" t="s">
        <v>1705</v>
      </c>
      <c r="P467" s="5">
        <f>DATE(2022,4,18)</f>
        <v>44669</v>
      </c>
      <c r="Q467" s="4" t="s">
        <v>125</v>
      </c>
      <c r="R467" s="5">
        <f>DATE(2020,7,21)</f>
        <v>44033</v>
      </c>
    </row>
    <row r="468" spans="1:20" ht="55.05" customHeight="1" x14ac:dyDescent="0.3">
      <c r="A468" s="4" t="s">
        <v>534</v>
      </c>
      <c r="B468" s="4" t="s">
        <v>119</v>
      </c>
      <c r="C468" s="4" t="s">
        <v>126</v>
      </c>
      <c r="D468" s="4" t="s">
        <v>127</v>
      </c>
      <c r="E468" s="4" t="s">
        <v>128</v>
      </c>
      <c r="F468" s="4" t="s">
        <v>122</v>
      </c>
      <c r="G468" s="4" t="s">
        <v>1718</v>
      </c>
      <c r="H468" s="4" t="s">
        <v>24</v>
      </c>
      <c r="I468" s="4" t="s">
        <v>25</v>
      </c>
      <c r="K468" s="4" t="s">
        <v>26</v>
      </c>
      <c r="L468" s="4" t="s">
        <v>1719</v>
      </c>
      <c r="O468" s="4" t="s">
        <v>1720</v>
      </c>
      <c r="P468" s="5">
        <f>DATE(2022,6,21)</f>
        <v>44733</v>
      </c>
      <c r="Q468" s="4" t="s">
        <v>125</v>
      </c>
      <c r="R468" s="5">
        <f>DATE(2020,7,21)</f>
        <v>44033</v>
      </c>
    </row>
    <row r="469" spans="1:20" ht="55.05" customHeight="1" x14ac:dyDescent="0.3">
      <c r="A469" s="4" t="s">
        <v>534</v>
      </c>
      <c r="B469" s="4" t="s">
        <v>119</v>
      </c>
      <c r="C469" s="4" t="s">
        <v>126</v>
      </c>
      <c r="D469" s="4" t="s">
        <v>127</v>
      </c>
      <c r="E469" s="4" t="s">
        <v>128</v>
      </c>
      <c r="F469" s="4" t="s">
        <v>122</v>
      </c>
      <c r="G469" s="4" t="s">
        <v>1721</v>
      </c>
      <c r="H469" s="4" t="s">
        <v>24</v>
      </c>
      <c r="I469" s="4" t="s">
        <v>25</v>
      </c>
      <c r="K469" s="4" t="s">
        <v>26</v>
      </c>
      <c r="L469" s="4" t="s">
        <v>1722</v>
      </c>
      <c r="O469" s="4" t="s">
        <v>1723</v>
      </c>
      <c r="P469" s="5">
        <f>DATE(2022,10,28)</f>
        <v>44862</v>
      </c>
      <c r="Q469" s="4" t="s">
        <v>136</v>
      </c>
      <c r="R469" s="5">
        <f>DATE(2022,6,28)</f>
        <v>44740</v>
      </c>
      <c r="S469" s="4" t="s">
        <v>1724</v>
      </c>
      <c r="T469" s="5">
        <f>DATE(2021,12,28)</f>
        <v>44558</v>
      </c>
    </row>
    <row r="470" spans="1:20" ht="55.05" customHeight="1" x14ac:dyDescent="0.3">
      <c r="A470" s="4" t="s">
        <v>534</v>
      </c>
      <c r="B470" s="4" t="s">
        <v>119</v>
      </c>
      <c r="C470" s="4" t="s">
        <v>126</v>
      </c>
      <c r="D470" s="4" t="s">
        <v>127</v>
      </c>
      <c r="E470" s="4" t="s">
        <v>128</v>
      </c>
      <c r="F470" s="4" t="s">
        <v>122</v>
      </c>
      <c r="G470" s="4" t="s">
        <v>1725</v>
      </c>
      <c r="H470" s="4" t="s">
        <v>24</v>
      </c>
      <c r="I470" s="4" t="s">
        <v>25</v>
      </c>
      <c r="K470" s="4" t="s">
        <v>26</v>
      </c>
      <c r="L470" s="4" t="s">
        <v>1726</v>
      </c>
      <c r="O470" s="4" t="s">
        <v>1705</v>
      </c>
      <c r="P470" s="5">
        <f>DATE(2022,4,18)</f>
        <v>44669</v>
      </c>
      <c r="Q470" s="4" t="s">
        <v>125</v>
      </c>
      <c r="R470" s="5">
        <f>DATE(2020,7,21)</f>
        <v>44033</v>
      </c>
    </row>
    <row r="471" spans="1:20" ht="55.05" customHeight="1" x14ac:dyDescent="0.3">
      <c r="A471" s="4" t="s">
        <v>534</v>
      </c>
      <c r="B471" s="4" t="s">
        <v>119</v>
      </c>
      <c r="C471" s="4" t="s">
        <v>126</v>
      </c>
      <c r="D471" s="4" t="s">
        <v>127</v>
      </c>
      <c r="E471" s="4" t="s">
        <v>128</v>
      </c>
      <c r="F471" s="4" t="s">
        <v>122</v>
      </c>
      <c r="G471" s="4" t="s">
        <v>1727</v>
      </c>
      <c r="H471" s="4" t="s">
        <v>24</v>
      </c>
      <c r="I471" s="4" t="s">
        <v>25</v>
      </c>
      <c r="K471" s="4" t="s">
        <v>26</v>
      </c>
      <c r="L471" s="4" t="s">
        <v>1728</v>
      </c>
      <c r="O471" s="4" t="s">
        <v>1705</v>
      </c>
      <c r="P471" s="5">
        <f>DATE(2022,4,18)</f>
        <v>44669</v>
      </c>
      <c r="Q471" s="4" t="s">
        <v>125</v>
      </c>
      <c r="R471" s="5">
        <f>DATE(2020,7,21)</f>
        <v>44033</v>
      </c>
    </row>
    <row r="472" spans="1:20" ht="55.05" customHeight="1" x14ac:dyDescent="0.3">
      <c r="A472" s="4" t="s">
        <v>534</v>
      </c>
      <c r="B472" s="4" t="s">
        <v>119</v>
      </c>
      <c r="C472" s="4" t="s">
        <v>126</v>
      </c>
      <c r="D472" s="4" t="s">
        <v>127</v>
      </c>
      <c r="E472" s="4" t="s">
        <v>128</v>
      </c>
      <c r="F472" s="4" t="s">
        <v>122</v>
      </c>
      <c r="G472" s="4" t="s">
        <v>1729</v>
      </c>
      <c r="H472" s="4" t="s">
        <v>32</v>
      </c>
      <c r="I472" s="4" t="s">
        <v>130</v>
      </c>
      <c r="J472" s="5">
        <f>DATE(2022,10,28)</f>
        <v>44862</v>
      </c>
      <c r="K472" s="4" t="s">
        <v>26</v>
      </c>
      <c r="L472" s="4" t="s">
        <v>1730</v>
      </c>
      <c r="O472" s="4" t="s">
        <v>1723</v>
      </c>
      <c r="P472" s="5">
        <f>DATE(2022,10,28)</f>
        <v>44862</v>
      </c>
      <c r="Q472" s="4" t="s">
        <v>1723</v>
      </c>
      <c r="R472" s="5">
        <f>DATE(2022,10,28)</f>
        <v>44862</v>
      </c>
      <c r="S472" s="4" t="s">
        <v>125</v>
      </c>
      <c r="T472" s="5">
        <f>DATE(2020,7,21)</f>
        <v>44033</v>
      </c>
    </row>
    <row r="473" spans="1:20" ht="55.05" customHeight="1" x14ac:dyDescent="0.3">
      <c r="A473" s="4" t="s">
        <v>534</v>
      </c>
      <c r="B473" s="4" t="s">
        <v>119</v>
      </c>
      <c r="C473" s="4" t="s">
        <v>126</v>
      </c>
      <c r="D473" s="4" t="s">
        <v>127</v>
      </c>
      <c r="E473" s="4" t="s">
        <v>128</v>
      </c>
      <c r="F473" s="4" t="s">
        <v>122</v>
      </c>
      <c r="G473" s="4" t="s">
        <v>1731</v>
      </c>
      <c r="H473" s="4" t="s">
        <v>24</v>
      </c>
      <c r="I473" s="4" t="s">
        <v>25</v>
      </c>
      <c r="K473" s="4" t="s">
        <v>26</v>
      </c>
      <c r="L473" s="4" t="s">
        <v>1732</v>
      </c>
      <c r="O473" s="4" t="s">
        <v>1705</v>
      </c>
      <c r="P473" s="5">
        <f>DATE(2022,4,18)</f>
        <v>44669</v>
      </c>
      <c r="Q473" s="4" t="s">
        <v>1733</v>
      </c>
      <c r="R473" s="5">
        <f>DATE(2018,6,6)</f>
        <v>43257</v>
      </c>
    </row>
    <row r="474" spans="1:20" ht="55.05" customHeight="1" x14ac:dyDescent="0.3">
      <c r="A474" s="4" t="s">
        <v>534</v>
      </c>
      <c r="B474" s="4" t="s">
        <v>119</v>
      </c>
      <c r="C474" s="4" t="s">
        <v>126</v>
      </c>
      <c r="D474" s="4" t="s">
        <v>127</v>
      </c>
      <c r="E474" s="4" t="s">
        <v>128</v>
      </c>
      <c r="F474" s="4" t="s">
        <v>122</v>
      </c>
      <c r="G474" s="4" t="s">
        <v>1734</v>
      </c>
      <c r="H474" s="4" t="s">
        <v>24</v>
      </c>
      <c r="I474" s="4" t="s">
        <v>25</v>
      </c>
      <c r="K474" s="4" t="s">
        <v>26</v>
      </c>
      <c r="L474" s="4" t="s">
        <v>1735</v>
      </c>
      <c r="O474" s="4" t="s">
        <v>125</v>
      </c>
      <c r="P474" s="5">
        <f>DATE(2020,7,21)</f>
        <v>44033</v>
      </c>
    </row>
    <row r="475" spans="1:20" ht="55.05" customHeight="1" x14ac:dyDescent="0.3">
      <c r="A475" s="4" t="s">
        <v>534</v>
      </c>
      <c r="B475" s="4" t="s">
        <v>119</v>
      </c>
      <c r="C475" s="4" t="s">
        <v>126</v>
      </c>
      <c r="D475" s="4" t="s">
        <v>127</v>
      </c>
      <c r="E475" s="4" t="s">
        <v>128</v>
      </c>
      <c r="F475" s="4" t="s">
        <v>122</v>
      </c>
      <c r="G475" s="4" t="s">
        <v>1736</v>
      </c>
      <c r="H475" s="4" t="s">
        <v>24</v>
      </c>
      <c r="I475" s="4" t="s">
        <v>25</v>
      </c>
      <c r="K475" s="4" t="s">
        <v>26</v>
      </c>
      <c r="L475" s="4" t="s">
        <v>1737</v>
      </c>
      <c r="O475" s="4" t="s">
        <v>1705</v>
      </c>
      <c r="P475" s="5">
        <f>DATE(2022,4,18)</f>
        <v>44669</v>
      </c>
      <c r="Q475" s="4" t="s">
        <v>125</v>
      </c>
      <c r="R475" s="5">
        <f>DATE(2020,7,21)</f>
        <v>44033</v>
      </c>
    </row>
    <row r="476" spans="1:20" ht="55.05" customHeight="1" x14ac:dyDescent="0.3">
      <c r="A476" s="4" t="s">
        <v>534</v>
      </c>
      <c r="B476" s="4" t="s">
        <v>119</v>
      </c>
      <c r="C476" s="4" t="s">
        <v>126</v>
      </c>
      <c r="D476" s="4" t="s">
        <v>127</v>
      </c>
      <c r="E476" s="4" t="s">
        <v>128</v>
      </c>
      <c r="F476" s="4" t="s">
        <v>122</v>
      </c>
      <c r="G476" s="4" t="s">
        <v>1738</v>
      </c>
      <c r="H476" s="4" t="s">
        <v>24</v>
      </c>
      <c r="I476" s="4" t="s">
        <v>25</v>
      </c>
      <c r="K476" s="4" t="s">
        <v>26</v>
      </c>
      <c r="L476" s="4" t="s">
        <v>1739</v>
      </c>
      <c r="O476" s="4" t="s">
        <v>1740</v>
      </c>
      <c r="P476" s="5">
        <f>DATE(2022,6,20)</f>
        <v>44732</v>
      </c>
      <c r="Q476" s="4" t="s">
        <v>1705</v>
      </c>
      <c r="R476" s="5">
        <f>DATE(2022,4,18)</f>
        <v>44669</v>
      </c>
      <c r="S476" s="4" t="s">
        <v>125</v>
      </c>
      <c r="T476" s="5">
        <f>DATE(2020,7,21)</f>
        <v>44033</v>
      </c>
    </row>
    <row r="477" spans="1:20" ht="55.05" customHeight="1" x14ac:dyDescent="0.3">
      <c r="A477" s="4" t="s">
        <v>534</v>
      </c>
      <c r="B477" s="4" t="s">
        <v>119</v>
      </c>
      <c r="C477" s="4" t="s">
        <v>126</v>
      </c>
      <c r="D477" s="4" t="s">
        <v>127</v>
      </c>
      <c r="E477" s="4" t="s">
        <v>128</v>
      </c>
      <c r="F477" s="4" t="s">
        <v>122</v>
      </c>
      <c r="G477" s="4" t="s">
        <v>1741</v>
      </c>
      <c r="H477" s="4" t="s">
        <v>32</v>
      </c>
      <c r="I477" s="4" t="s">
        <v>130</v>
      </c>
      <c r="J477" s="5">
        <f>DATE(2022,12,30)</f>
        <v>44925</v>
      </c>
      <c r="K477" s="4" t="s">
        <v>26</v>
      </c>
      <c r="L477" s="4" t="s">
        <v>1742</v>
      </c>
      <c r="O477" s="4" t="s">
        <v>1257</v>
      </c>
      <c r="P477" s="5">
        <f>DATE(2022,12,30)</f>
        <v>44925</v>
      </c>
      <c r="Q477" s="4" t="s">
        <v>1257</v>
      </c>
      <c r="R477" s="5">
        <f>DATE(2022,12,30)</f>
        <v>44925</v>
      </c>
      <c r="S477" s="4" t="s">
        <v>125</v>
      </c>
      <c r="T477" s="5">
        <f>DATE(2020,7,21)</f>
        <v>44033</v>
      </c>
    </row>
    <row r="478" spans="1:20" ht="55.05" customHeight="1" x14ac:dyDescent="0.3">
      <c r="A478" s="4" t="s">
        <v>534</v>
      </c>
      <c r="B478" s="4" t="s">
        <v>119</v>
      </c>
      <c r="C478" s="4" t="s">
        <v>126</v>
      </c>
      <c r="D478" s="4" t="s">
        <v>127</v>
      </c>
      <c r="E478" s="4" t="s">
        <v>128</v>
      </c>
      <c r="F478" s="4" t="s">
        <v>122</v>
      </c>
      <c r="G478" s="4" t="s">
        <v>1743</v>
      </c>
      <c r="H478" s="4" t="s">
        <v>24</v>
      </c>
      <c r="I478" s="4" t="s">
        <v>25</v>
      </c>
      <c r="K478" s="4" t="s">
        <v>26</v>
      </c>
      <c r="L478" s="4" t="s">
        <v>1744</v>
      </c>
      <c r="O478" s="4" t="s">
        <v>1257</v>
      </c>
      <c r="P478" s="5">
        <f>DATE(2022,12,30)</f>
        <v>44925</v>
      </c>
      <c r="Q478" s="4" t="s">
        <v>125</v>
      </c>
      <c r="R478" s="5">
        <f>DATE(2020,7,21)</f>
        <v>44033</v>
      </c>
    </row>
    <row r="479" spans="1:20" ht="55.05" customHeight="1" x14ac:dyDescent="0.3">
      <c r="A479" s="4" t="s">
        <v>534</v>
      </c>
      <c r="B479" s="4" t="s">
        <v>119</v>
      </c>
      <c r="C479" s="4" t="s">
        <v>126</v>
      </c>
      <c r="D479" s="4" t="s">
        <v>127</v>
      </c>
      <c r="E479" s="4" t="s">
        <v>128</v>
      </c>
      <c r="F479" s="4" t="s">
        <v>122</v>
      </c>
      <c r="G479" s="4" t="s">
        <v>1745</v>
      </c>
      <c r="H479" s="4" t="s">
        <v>24</v>
      </c>
      <c r="I479" s="4" t="s">
        <v>25</v>
      </c>
      <c r="K479" s="4" t="s">
        <v>26</v>
      </c>
      <c r="L479" s="4" t="s">
        <v>1746</v>
      </c>
      <c r="O479" s="4" t="s">
        <v>1747</v>
      </c>
      <c r="P479" s="5">
        <f>DATE(2022,12,27)</f>
        <v>44922</v>
      </c>
      <c r="Q479" s="4" t="s">
        <v>1740</v>
      </c>
      <c r="R479" s="5">
        <f>DATE(2022,6,20)</f>
        <v>44732</v>
      </c>
      <c r="S479" s="4" t="s">
        <v>1748</v>
      </c>
      <c r="T479" s="5">
        <f>DATE(2021,8,23)</f>
        <v>44431</v>
      </c>
    </row>
    <row r="480" spans="1:20" ht="55.05" customHeight="1" x14ac:dyDescent="0.3">
      <c r="A480" s="4" t="s">
        <v>534</v>
      </c>
      <c r="B480" s="4" t="s">
        <v>119</v>
      </c>
      <c r="C480" s="4" t="s">
        <v>126</v>
      </c>
      <c r="D480" s="4" t="s">
        <v>127</v>
      </c>
      <c r="E480" s="4" t="s">
        <v>128</v>
      </c>
      <c r="F480" s="4" t="s">
        <v>122</v>
      </c>
      <c r="G480" s="4" t="s">
        <v>1749</v>
      </c>
      <c r="H480" s="4" t="s">
        <v>24</v>
      </c>
      <c r="I480" s="4" t="s">
        <v>25</v>
      </c>
      <c r="K480" s="4" t="s">
        <v>26</v>
      </c>
      <c r="L480" s="4" t="s">
        <v>1750</v>
      </c>
      <c r="O480" s="4" t="s">
        <v>125</v>
      </c>
      <c r="P480" s="5">
        <f>DATE(2020,7,21)</f>
        <v>44033</v>
      </c>
    </row>
    <row r="481" spans="1:28" ht="55.05" customHeight="1" x14ac:dyDescent="0.3">
      <c r="A481" s="4" t="s">
        <v>534</v>
      </c>
      <c r="B481" s="4" t="s">
        <v>119</v>
      </c>
      <c r="C481" s="4" t="s">
        <v>126</v>
      </c>
      <c r="D481" s="4" t="s">
        <v>127</v>
      </c>
      <c r="E481" s="4" t="s">
        <v>128</v>
      </c>
      <c r="F481" s="4" t="s">
        <v>122</v>
      </c>
      <c r="G481" s="4" t="s">
        <v>1751</v>
      </c>
      <c r="H481" s="4" t="s">
        <v>32</v>
      </c>
      <c r="I481" s="4" t="s">
        <v>33</v>
      </c>
      <c r="J481" s="5">
        <f>DATE(2022,12,27)</f>
        <v>44922</v>
      </c>
      <c r="K481" s="4" t="s">
        <v>26</v>
      </c>
      <c r="L481" s="4" t="s">
        <v>1752</v>
      </c>
      <c r="O481" s="4" t="s">
        <v>1747</v>
      </c>
      <c r="P481" s="5">
        <f>DATE(2022,12,27)</f>
        <v>44922</v>
      </c>
      <c r="Q481" s="4" t="s">
        <v>1705</v>
      </c>
      <c r="R481" s="5">
        <f>DATE(2022,4,18)</f>
        <v>44669</v>
      </c>
      <c r="S481" s="4" t="s">
        <v>125</v>
      </c>
      <c r="T481" s="5">
        <f>DATE(2020,7,21)</f>
        <v>44033</v>
      </c>
    </row>
    <row r="482" spans="1:28" ht="55.05" customHeight="1" x14ac:dyDescent="0.3">
      <c r="A482" s="4" t="s">
        <v>534</v>
      </c>
      <c r="B482" s="4" t="s">
        <v>119</v>
      </c>
      <c r="C482" s="4" t="s">
        <v>126</v>
      </c>
      <c r="D482" s="4" t="s">
        <v>127</v>
      </c>
      <c r="E482" s="4" t="s">
        <v>128</v>
      </c>
      <c r="F482" s="4" t="s">
        <v>122</v>
      </c>
      <c r="G482" s="4" t="s">
        <v>1753</v>
      </c>
      <c r="H482" s="4" t="s">
        <v>24</v>
      </c>
      <c r="I482" s="4" t="s">
        <v>25</v>
      </c>
      <c r="K482" s="4" t="s">
        <v>26</v>
      </c>
      <c r="L482" s="4" t="s">
        <v>1754</v>
      </c>
      <c r="O482" s="4" t="s">
        <v>1755</v>
      </c>
      <c r="P482" s="5">
        <f>DATE(2022,5,30)</f>
        <v>44711</v>
      </c>
      <c r="Q482" s="4" t="s">
        <v>125</v>
      </c>
      <c r="R482" s="5">
        <f>DATE(2020,7,21)</f>
        <v>44033</v>
      </c>
    </row>
    <row r="483" spans="1:28" ht="55.05" customHeight="1" x14ac:dyDescent="0.3">
      <c r="A483" s="4" t="s">
        <v>534</v>
      </c>
      <c r="B483" s="4" t="s">
        <v>119</v>
      </c>
      <c r="C483" s="4" t="s">
        <v>126</v>
      </c>
      <c r="D483" s="4" t="s">
        <v>127</v>
      </c>
      <c r="E483" s="4" t="s">
        <v>128</v>
      </c>
      <c r="F483" s="4" t="s">
        <v>122</v>
      </c>
      <c r="G483" s="4" t="s">
        <v>1756</v>
      </c>
      <c r="H483" s="4" t="s">
        <v>24</v>
      </c>
      <c r="I483" s="4" t="s">
        <v>25</v>
      </c>
      <c r="K483" s="4" t="s">
        <v>26</v>
      </c>
      <c r="L483" s="4" t="s">
        <v>1757</v>
      </c>
      <c r="O483" s="4" t="s">
        <v>1705</v>
      </c>
      <c r="P483" s="5">
        <f>DATE(2022,4,18)</f>
        <v>44669</v>
      </c>
      <c r="Q483" s="4" t="s">
        <v>1758</v>
      </c>
      <c r="R483" s="5">
        <f>DATE(2021,5,17)</f>
        <v>44333</v>
      </c>
    </row>
    <row r="484" spans="1:28" ht="55.05" customHeight="1" x14ac:dyDescent="0.3">
      <c r="A484" s="4" t="s">
        <v>534</v>
      </c>
      <c r="B484" s="4" t="s">
        <v>119</v>
      </c>
      <c r="C484" s="4" t="s">
        <v>137</v>
      </c>
      <c r="D484" s="4" t="s">
        <v>20</v>
      </c>
      <c r="E484" s="4" t="s">
        <v>138</v>
      </c>
      <c r="F484" s="4" t="s">
        <v>22</v>
      </c>
      <c r="G484" s="4" t="s">
        <v>1759</v>
      </c>
      <c r="H484" s="4" t="s">
        <v>24</v>
      </c>
      <c r="I484" s="4" t="s">
        <v>25</v>
      </c>
      <c r="K484" s="4" t="s">
        <v>26</v>
      </c>
      <c r="L484" s="4" t="s">
        <v>1760</v>
      </c>
      <c r="O484" s="4" t="s">
        <v>1761</v>
      </c>
      <c r="P484" s="5">
        <f>DATE(2023,2,8)</f>
        <v>44965</v>
      </c>
      <c r="Q484" s="4" t="s">
        <v>125</v>
      </c>
      <c r="R484" s="5">
        <f>DATE(2020,7,21)</f>
        <v>44033</v>
      </c>
    </row>
    <row r="485" spans="1:28" ht="55.05" customHeight="1" x14ac:dyDescent="0.3">
      <c r="A485" s="4" t="s">
        <v>534</v>
      </c>
      <c r="B485" s="4" t="s">
        <v>119</v>
      </c>
      <c r="C485" s="4" t="s">
        <v>137</v>
      </c>
      <c r="D485" s="4" t="s">
        <v>20</v>
      </c>
      <c r="E485" s="4" t="s">
        <v>138</v>
      </c>
      <c r="F485" s="4" t="s">
        <v>22</v>
      </c>
      <c r="G485" s="4" t="s">
        <v>1762</v>
      </c>
      <c r="H485" s="4" t="s">
        <v>24</v>
      </c>
      <c r="I485" s="4" t="s">
        <v>25</v>
      </c>
      <c r="K485" s="4" t="s">
        <v>26</v>
      </c>
      <c r="L485" s="4" t="s">
        <v>1763</v>
      </c>
      <c r="O485" s="4" t="s">
        <v>1764</v>
      </c>
      <c r="P485" s="5">
        <f>DATE(2023,12,6)</f>
        <v>45266</v>
      </c>
      <c r="Q485" s="4" t="s">
        <v>1765</v>
      </c>
      <c r="R485" s="5">
        <f>DATE(2023,8,21)</f>
        <v>45159</v>
      </c>
      <c r="S485" s="4" t="s">
        <v>1766</v>
      </c>
      <c r="T485" s="5">
        <f>DATE(2023,6,5)</f>
        <v>45082</v>
      </c>
      <c r="U485" s="4" t="s">
        <v>1767</v>
      </c>
      <c r="V485" s="5">
        <f>DATE(2022,12,30)</f>
        <v>44925</v>
      </c>
      <c r="W485" s="4" t="s">
        <v>1768</v>
      </c>
      <c r="X485" s="5">
        <f>DATE(2022,9,30)</f>
        <v>44834</v>
      </c>
      <c r="Y485" s="4" t="s">
        <v>1769</v>
      </c>
      <c r="Z485" s="5">
        <f>DATE(2022,8,29)</f>
        <v>44802</v>
      </c>
      <c r="AA485" s="4" t="s">
        <v>1770</v>
      </c>
      <c r="AB485" s="5">
        <f>DATE(2022,5,30)</f>
        <v>44711</v>
      </c>
    </row>
    <row r="486" spans="1:28" ht="55.05" customHeight="1" x14ac:dyDescent="0.3">
      <c r="A486" s="4" t="s">
        <v>534</v>
      </c>
      <c r="B486" s="4" t="s">
        <v>119</v>
      </c>
      <c r="C486" s="4" t="s">
        <v>137</v>
      </c>
      <c r="D486" s="4" t="s">
        <v>20</v>
      </c>
      <c r="E486" s="4" t="s">
        <v>138</v>
      </c>
      <c r="F486" s="4" t="s">
        <v>22</v>
      </c>
      <c r="G486" s="4" t="s">
        <v>1771</v>
      </c>
      <c r="H486" s="4" t="s">
        <v>24</v>
      </c>
      <c r="I486" s="4" t="s">
        <v>25</v>
      </c>
      <c r="K486" s="4" t="s">
        <v>26</v>
      </c>
      <c r="L486" s="4" t="s">
        <v>1772</v>
      </c>
      <c r="O486" s="4" t="s">
        <v>1773</v>
      </c>
      <c r="P486" s="5">
        <f>DATE(2021,2,9)</f>
        <v>44236</v>
      </c>
    </row>
    <row r="487" spans="1:28" ht="55.05" customHeight="1" x14ac:dyDescent="0.3">
      <c r="A487" s="4" t="s">
        <v>534</v>
      </c>
      <c r="B487" s="4" t="s">
        <v>119</v>
      </c>
      <c r="C487" s="4" t="s">
        <v>137</v>
      </c>
      <c r="D487" s="4" t="s">
        <v>20</v>
      </c>
      <c r="E487" s="4" t="s">
        <v>138</v>
      </c>
      <c r="F487" s="4" t="s">
        <v>22</v>
      </c>
      <c r="G487" s="4" t="s">
        <v>1774</v>
      </c>
      <c r="H487" s="4" t="s">
        <v>24</v>
      </c>
      <c r="I487" s="4" t="s">
        <v>25</v>
      </c>
      <c r="K487" s="4" t="s">
        <v>26</v>
      </c>
      <c r="L487" s="4" t="s">
        <v>1775</v>
      </c>
      <c r="O487" s="4" t="s">
        <v>125</v>
      </c>
      <c r="P487" s="5">
        <f>DATE(2020,7,21)</f>
        <v>44033</v>
      </c>
    </row>
    <row r="488" spans="1:28" ht="55.05" customHeight="1" x14ac:dyDescent="0.3">
      <c r="A488" s="4" t="s">
        <v>534</v>
      </c>
      <c r="B488" s="4" t="s">
        <v>119</v>
      </c>
      <c r="C488" s="4" t="s">
        <v>137</v>
      </c>
      <c r="D488" s="4" t="s">
        <v>20</v>
      </c>
      <c r="E488" s="4" t="s">
        <v>138</v>
      </c>
      <c r="F488" s="4" t="s">
        <v>22</v>
      </c>
      <c r="G488" s="4" t="s">
        <v>1776</v>
      </c>
      <c r="H488" s="4" t="s">
        <v>24</v>
      </c>
      <c r="I488" s="4" t="s">
        <v>25</v>
      </c>
      <c r="K488" s="4" t="s">
        <v>26</v>
      </c>
      <c r="L488" s="4" t="s">
        <v>1777</v>
      </c>
      <c r="O488" s="4" t="s">
        <v>1778</v>
      </c>
      <c r="P488" s="5">
        <f>DATE(2023,3,16)</f>
        <v>45001</v>
      </c>
      <c r="Q488" s="4" t="s">
        <v>1779</v>
      </c>
      <c r="R488" s="5">
        <f>DATE(2020,12,10)</f>
        <v>44175</v>
      </c>
    </row>
    <row r="489" spans="1:28" ht="55.05" customHeight="1" x14ac:dyDescent="0.3">
      <c r="A489" s="4" t="s">
        <v>534</v>
      </c>
      <c r="B489" s="4" t="s">
        <v>119</v>
      </c>
      <c r="C489" s="4" t="s">
        <v>137</v>
      </c>
      <c r="D489" s="4" t="s">
        <v>20</v>
      </c>
      <c r="E489" s="4" t="s">
        <v>138</v>
      </c>
      <c r="F489" s="4" t="s">
        <v>22</v>
      </c>
      <c r="G489" s="4" t="s">
        <v>1780</v>
      </c>
      <c r="H489" s="4" t="s">
        <v>24</v>
      </c>
      <c r="I489" s="4" t="s">
        <v>25</v>
      </c>
      <c r="K489" s="4" t="s">
        <v>26</v>
      </c>
      <c r="L489" s="4" t="s">
        <v>1781</v>
      </c>
      <c r="O489" s="4" t="s">
        <v>1764</v>
      </c>
      <c r="P489" s="5">
        <f>DATE(2023,12,6)</f>
        <v>45266</v>
      </c>
      <c r="Q489" s="4" t="s">
        <v>1782</v>
      </c>
      <c r="R489" s="5">
        <f>DATE(2023,2,27)</f>
        <v>44984</v>
      </c>
      <c r="S489" s="4" t="s">
        <v>1783</v>
      </c>
      <c r="T489" s="5">
        <f>DATE(2021,10,29)</f>
        <v>44498</v>
      </c>
    </row>
    <row r="490" spans="1:28" ht="55.05" customHeight="1" x14ac:dyDescent="0.3">
      <c r="A490" s="4" t="s">
        <v>534</v>
      </c>
      <c r="B490" s="4" t="s">
        <v>119</v>
      </c>
      <c r="C490" s="4" t="s">
        <v>137</v>
      </c>
      <c r="D490" s="4" t="s">
        <v>20</v>
      </c>
      <c r="E490" s="4" t="s">
        <v>138</v>
      </c>
      <c r="F490" s="4" t="s">
        <v>22</v>
      </c>
      <c r="G490" s="4" t="s">
        <v>1784</v>
      </c>
      <c r="H490" s="4" t="s">
        <v>24</v>
      </c>
      <c r="I490" s="4" t="s">
        <v>25</v>
      </c>
      <c r="K490" s="4" t="s">
        <v>26</v>
      </c>
      <c r="L490" s="4" t="s">
        <v>1785</v>
      </c>
      <c r="O490" s="4" t="s">
        <v>1786</v>
      </c>
      <c r="P490" s="5">
        <f>DATE(2021,8,19)</f>
        <v>44427</v>
      </c>
    </row>
    <row r="491" spans="1:28" ht="55.05" customHeight="1" x14ac:dyDescent="0.3">
      <c r="A491" s="4" t="s">
        <v>534</v>
      </c>
      <c r="B491" s="4" t="s">
        <v>119</v>
      </c>
      <c r="C491" s="4" t="s">
        <v>137</v>
      </c>
      <c r="D491" s="4" t="s">
        <v>20</v>
      </c>
      <c r="E491" s="4" t="s">
        <v>138</v>
      </c>
      <c r="F491" s="4" t="s">
        <v>22</v>
      </c>
      <c r="G491" s="4" t="s">
        <v>1787</v>
      </c>
      <c r="H491" s="4" t="s">
        <v>24</v>
      </c>
      <c r="I491" s="4" t="s">
        <v>25</v>
      </c>
      <c r="K491" s="4" t="s">
        <v>26</v>
      </c>
      <c r="L491" s="4" t="s">
        <v>1788</v>
      </c>
      <c r="O491" s="4" t="s">
        <v>1782</v>
      </c>
      <c r="P491" s="5">
        <f>DATE(2023,2,27)</f>
        <v>44984</v>
      </c>
      <c r="Q491" s="4" t="s">
        <v>1789</v>
      </c>
      <c r="R491" s="5">
        <f>DATE(2023,1,31)</f>
        <v>44957</v>
      </c>
      <c r="S491" s="4" t="s">
        <v>1790</v>
      </c>
      <c r="T491" s="5">
        <f>DATE(2022,12,28)</f>
        <v>44923</v>
      </c>
      <c r="U491" s="4" t="s">
        <v>1791</v>
      </c>
      <c r="V491" s="5">
        <f>DATE(2022,7,26)</f>
        <v>44768</v>
      </c>
      <c r="W491" s="4" t="s">
        <v>1792</v>
      </c>
      <c r="X491" s="5">
        <f>DATE(2021,2,9)</f>
        <v>44236</v>
      </c>
    </row>
    <row r="492" spans="1:28" ht="55.05" customHeight="1" x14ac:dyDescent="0.3">
      <c r="A492" s="4" t="s">
        <v>534</v>
      </c>
      <c r="B492" s="4" t="s">
        <v>145</v>
      </c>
      <c r="C492" s="4" t="s">
        <v>20</v>
      </c>
      <c r="D492" s="4" t="s">
        <v>20</v>
      </c>
      <c r="E492" s="4" t="s">
        <v>500</v>
      </c>
      <c r="F492" s="4" t="s">
        <v>162</v>
      </c>
      <c r="G492" s="4" t="s">
        <v>1793</v>
      </c>
      <c r="H492" s="4" t="s">
        <v>24</v>
      </c>
      <c r="I492" s="4" t="s">
        <v>25</v>
      </c>
      <c r="K492" s="4" t="s">
        <v>26</v>
      </c>
      <c r="L492" s="4" t="s">
        <v>1794</v>
      </c>
      <c r="O492" s="4" t="s">
        <v>1795</v>
      </c>
      <c r="P492" s="5">
        <f>DATE(2023,6,8)</f>
        <v>45085</v>
      </c>
      <c r="Q492" s="4" t="s">
        <v>125</v>
      </c>
      <c r="R492" s="5">
        <f>DATE(2020,7,21)</f>
        <v>44033</v>
      </c>
    </row>
    <row r="493" spans="1:28" ht="55.05" customHeight="1" x14ac:dyDescent="0.3">
      <c r="A493" s="4" t="s">
        <v>534</v>
      </c>
      <c r="B493" s="4" t="s">
        <v>145</v>
      </c>
      <c r="C493" s="4" t="s">
        <v>20</v>
      </c>
      <c r="D493" s="4" t="s">
        <v>20</v>
      </c>
      <c r="E493" s="4" t="s">
        <v>500</v>
      </c>
      <c r="F493" s="4" t="s">
        <v>162</v>
      </c>
      <c r="G493" s="4" t="s">
        <v>1796</v>
      </c>
      <c r="H493" s="4" t="s">
        <v>32</v>
      </c>
      <c r="I493" s="4" t="s">
        <v>1797</v>
      </c>
      <c r="J493" s="5">
        <f>DATE(2023,6,8)</f>
        <v>45085</v>
      </c>
      <c r="K493" s="4" t="s">
        <v>26</v>
      </c>
      <c r="L493" s="4" t="s">
        <v>1798</v>
      </c>
      <c r="O493" s="4" t="s">
        <v>1795</v>
      </c>
      <c r="P493" s="5">
        <f>DATE(2023,6,8)</f>
        <v>45085</v>
      </c>
      <c r="Q493" s="4" t="s">
        <v>1795</v>
      </c>
      <c r="R493" s="5">
        <f>DATE(2023,6,8)</f>
        <v>45085</v>
      </c>
      <c r="S493" s="4" t="s">
        <v>1795</v>
      </c>
      <c r="T493" s="5">
        <f>DATE(2023,6,8)</f>
        <v>45085</v>
      </c>
      <c r="U493" s="4" t="s">
        <v>1795</v>
      </c>
      <c r="V493" s="5">
        <f>DATE(2023,6,8)</f>
        <v>45085</v>
      </c>
      <c r="W493" s="4" t="s">
        <v>125</v>
      </c>
      <c r="X493" s="5">
        <f>DATE(2020,7,21)</f>
        <v>44033</v>
      </c>
    </row>
    <row r="494" spans="1:28" ht="55.05" customHeight="1" x14ac:dyDescent="0.3">
      <c r="A494" s="4" t="s">
        <v>534</v>
      </c>
      <c r="B494" s="4" t="s">
        <v>145</v>
      </c>
      <c r="C494" s="4" t="s">
        <v>20</v>
      </c>
      <c r="D494" s="4" t="s">
        <v>20</v>
      </c>
      <c r="E494" s="4" t="s">
        <v>500</v>
      </c>
      <c r="F494" s="4" t="s">
        <v>162</v>
      </c>
      <c r="G494" s="4" t="s">
        <v>1799</v>
      </c>
      <c r="H494" s="4" t="s">
        <v>24</v>
      </c>
      <c r="I494" s="4" t="s">
        <v>25</v>
      </c>
      <c r="K494" s="4" t="s">
        <v>26</v>
      </c>
      <c r="L494" s="4" t="s">
        <v>1800</v>
      </c>
      <c r="O494" s="4" t="s">
        <v>1795</v>
      </c>
      <c r="P494" s="5">
        <f>DATE(2023,6,8)</f>
        <v>45085</v>
      </c>
      <c r="Q494" s="4" t="s">
        <v>125</v>
      </c>
      <c r="R494" s="5">
        <f>DATE(2020,7,21)</f>
        <v>44033</v>
      </c>
    </row>
    <row r="495" spans="1:28" ht="55.05" customHeight="1" x14ac:dyDescent="0.3">
      <c r="A495" s="4" t="s">
        <v>534</v>
      </c>
      <c r="B495" s="4" t="s">
        <v>145</v>
      </c>
      <c r="C495" s="4" t="s">
        <v>20</v>
      </c>
      <c r="D495" s="4" t="s">
        <v>146</v>
      </c>
      <c r="E495" s="4" t="s">
        <v>147</v>
      </c>
      <c r="F495" s="4" t="s">
        <v>122</v>
      </c>
      <c r="G495" s="4" t="s">
        <v>1801</v>
      </c>
      <c r="H495" s="4" t="s">
        <v>24</v>
      </c>
      <c r="I495" s="4" t="s">
        <v>25</v>
      </c>
      <c r="K495" s="4" t="s">
        <v>26</v>
      </c>
      <c r="L495" s="4" t="s">
        <v>1802</v>
      </c>
      <c r="O495" s="4" t="s">
        <v>1803</v>
      </c>
      <c r="P495" s="5">
        <f>DATE(2023,12,5)</f>
        <v>45265</v>
      </c>
      <c r="Q495" s="4" t="s">
        <v>1804</v>
      </c>
      <c r="R495" s="5">
        <f>DATE(2022,12,29)</f>
        <v>44924</v>
      </c>
      <c r="S495" s="4" t="s">
        <v>125</v>
      </c>
      <c r="T495" s="5">
        <f>DATE(2020,7,21)</f>
        <v>44033</v>
      </c>
    </row>
    <row r="496" spans="1:28" ht="55.05" customHeight="1" x14ac:dyDescent="0.3">
      <c r="A496" s="4" t="s">
        <v>534</v>
      </c>
      <c r="B496" s="4" t="s">
        <v>145</v>
      </c>
      <c r="C496" s="4" t="s">
        <v>20</v>
      </c>
      <c r="D496" s="4" t="s">
        <v>146</v>
      </c>
      <c r="E496" s="4" t="s">
        <v>147</v>
      </c>
      <c r="F496" s="4" t="s">
        <v>122</v>
      </c>
      <c r="G496" s="4" t="s">
        <v>1805</v>
      </c>
      <c r="H496" s="4" t="s">
        <v>24</v>
      </c>
      <c r="I496" s="4" t="s">
        <v>25</v>
      </c>
      <c r="K496" s="4" t="s">
        <v>26</v>
      </c>
      <c r="L496" s="4" t="s">
        <v>1806</v>
      </c>
      <c r="O496" s="4" t="s">
        <v>1807</v>
      </c>
      <c r="P496" s="5">
        <f>DATE(2023,7,4)</f>
        <v>45111</v>
      </c>
      <c r="Q496" s="4" t="s">
        <v>125</v>
      </c>
      <c r="R496" s="5">
        <f>DATE(2020,7,21)</f>
        <v>44033</v>
      </c>
    </row>
    <row r="497" spans="1:24" ht="55.05" customHeight="1" x14ac:dyDescent="0.3">
      <c r="A497" s="4" t="s">
        <v>534</v>
      </c>
      <c r="B497" s="4" t="s">
        <v>145</v>
      </c>
      <c r="C497" s="4" t="s">
        <v>20</v>
      </c>
      <c r="D497" s="4" t="s">
        <v>146</v>
      </c>
      <c r="E497" s="4" t="s">
        <v>147</v>
      </c>
      <c r="F497" s="4" t="s">
        <v>122</v>
      </c>
      <c r="G497" s="4" t="s">
        <v>1808</v>
      </c>
      <c r="H497" s="4" t="s">
        <v>24</v>
      </c>
      <c r="I497" s="4" t="s">
        <v>25</v>
      </c>
      <c r="K497" s="4" t="s">
        <v>26</v>
      </c>
      <c r="L497" s="4" t="s">
        <v>1809</v>
      </c>
      <c r="O497" s="4" t="s">
        <v>1810</v>
      </c>
      <c r="P497" s="5">
        <f>DATE(2022,10,18)</f>
        <v>44852</v>
      </c>
      <c r="Q497" s="4" t="s">
        <v>758</v>
      </c>
      <c r="R497" s="5">
        <f>DATE(2021,10,21)</f>
        <v>44490</v>
      </c>
      <c r="S497" s="4" t="s">
        <v>125</v>
      </c>
      <c r="T497" s="5">
        <f>DATE(2020,7,21)</f>
        <v>44033</v>
      </c>
    </row>
    <row r="498" spans="1:24" ht="55.05" customHeight="1" x14ac:dyDescent="0.3">
      <c r="A498" s="4" t="s">
        <v>534</v>
      </c>
      <c r="B498" s="4" t="s">
        <v>145</v>
      </c>
      <c r="C498" s="4" t="s">
        <v>20</v>
      </c>
      <c r="D498" s="4" t="s">
        <v>146</v>
      </c>
      <c r="E498" s="4" t="s">
        <v>147</v>
      </c>
      <c r="F498" s="4" t="s">
        <v>122</v>
      </c>
      <c r="G498" s="4" t="s">
        <v>1811</v>
      </c>
      <c r="H498" s="4" t="s">
        <v>24</v>
      </c>
      <c r="I498" s="4" t="s">
        <v>25</v>
      </c>
      <c r="K498" s="4" t="s">
        <v>26</v>
      </c>
      <c r="L498" s="4" t="s">
        <v>1812</v>
      </c>
      <c r="O498" s="4" t="s">
        <v>1813</v>
      </c>
      <c r="P498" s="5">
        <f>DATE(2023,5,4)</f>
        <v>45050</v>
      </c>
      <c r="Q498" s="4" t="s">
        <v>758</v>
      </c>
      <c r="R498" s="5">
        <f>DATE(2021,10,21)</f>
        <v>44490</v>
      </c>
      <c r="S498" s="4" t="s">
        <v>125</v>
      </c>
      <c r="T498" s="5">
        <f>DATE(2020,7,21)</f>
        <v>44033</v>
      </c>
    </row>
    <row r="499" spans="1:24" ht="55.05" customHeight="1" x14ac:dyDescent="0.3">
      <c r="A499" s="4" t="s">
        <v>534</v>
      </c>
      <c r="B499" s="4" t="s">
        <v>145</v>
      </c>
      <c r="C499" s="4" t="s">
        <v>20</v>
      </c>
      <c r="D499" s="4" t="s">
        <v>146</v>
      </c>
      <c r="E499" s="4" t="s">
        <v>147</v>
      </c>
      <c r="F499" s="4" t="s">
        <v>122</v>
      </c>
      <c r="G499" s="4" t="s">
        <v>1814</v>
      </c>
      <c r="H499" s="4" t="s">
        <v>24</v>
      </c>
      <c r="I499" s="4" t="s">
        <v>25</v>
      </c>
      <c r="K499" s="4" t="s">
        <v>26</v>
      </c>
      <c r="L499" s="4" t="s">
        <v>1815</v>
      </c>
      <c r="O499" s="4" t="s">
        <v>758</v>
      </c>
      <c r="P499" s="5">
        <f>DATE(2021,10,21)</f>
        <v>44490</v>
      </c>
      <c r="Q499" s="4" t="s">
        <v>125</v>
      </c>
      <c r="R499" s="5">
        <f>DATE(2020,7,21)</f>
        <v>44033</v>
      </c>
    </row>
    <row r="500" spans="1:24" ht="55.05" customHeight="1" x14ac:dyDescent="0.3">
      <c r="A500" s="4" t="s">
        <v>534</v>
      </c>
      <c r="B500" s="4" t="s">
        <v>145</v>
      </c>
      <c r="C500" s="4" t="s">
        <v>20</v>
      </c>
      <c r="D500" s="4" t="s">
        <v>146</v>
      </c>
      <c r="E500" s="4" t="s">
        <v>147</v>
      </c>
      <c r="F500" s="4" t="s">
        <v>122</v>
      </c>
      <c r="G500" s="4" t="s">
        <v>1816</v>
      </c>
      <c r="H500" s="4" t="s">
        <v>24</v>
      </c>
      <c r="I500" s="4" t="s">
        <v>25</v>
      </c>
      <c r="K500" s="4" t="s">
        <v>26</v>
      </c>
      <c r="L500" s="4" t="s">
        <v>1817</v>
      </c>
      <c r="O500" s="4" t="s">
        <v>758</v>
      </c>
      <c r="P500" s="5">
        <f>DATE(2021,10,21)</f>
        <v>44490</v>
      </c>
      <c r="Q500" s="4" t="s">
        <v>125</v>
      </c>
      <c r="R500" s="5">
        <f>DATE(2020,7,21)</f>
        <v>44033</v>
      </c>
    </row>
    <row r="501" spans="1:24" ht="55.05" customHeight="1" x14ac:dyDescent="0.3">
      <c r="A501" s="4" t="s">
        <v>534</v>
      </c>
      <c r="B501" s="4" t="s">
        <v>145</v>
      </c>
      <c r="C501" s="4" t="s">
        <v>20</v>
      </c>
      <c r="D501" s="4" t="s">
        <v>146</v>
      </c>
      <c r="E501" s="4" t="s">
        <v>147</v>
      </c>
      <c r="F501" s="4" t="s">
        <v>122</v>
      </c>
      <c r="G501" s="4" t="s">
        <v>1818</v>
      </c>
      <c r="H501" s="4" t="s">
        <v>24</v>
      </c>
      <c r="I501" s="4" t="s">
        <v>25</v>
      </c>
      <c r="K501" s="4" t="s">
        <v>26</v>
      </c>
      <c r="L501" s="4" t="s">
        <v>1819</v>
      </c>
      <c r="O501" s="4" t="s">
        <v>758</v>
      </c>
      <c r="P501" s="5">
        <f>DATE(2021,10,21)</f>
        <v>44490</v>
      </c>
      <c r="Q501" s="4" t="s">
        <v>125</v>
      </c>
      <c r="R501" s="5">
        <f>DATE(2020,7,21)</f>
        <v>44033</v>
      </c>
    </row>
    <row r="502" spans="1:24" ht="55.05" customHeight="1" x14ac:dyDescent="0.3">
      <c r="A502" s="4" t="s">
        <v>534</v>
      </c>
      <c r="B502" s="4" t="s">
        <v>145</v>
      </c>
      <c r="C502" s="4" t="s">
        <v>20</v>
      </c>
      <c r="D502" s="4" t="s">
        <v>146</v>
      </c>
      <c r="E502" s="4" t="s">
        <v>147</v>
      </c>
      <c r="F502" s="4" t="s">
        <v>122</v>
      </c>
      <c r="G502" s="4" t="s">
        <v>1820</v>
      </c>
      <c r="H502" s="4" t="s">
        <v>24</v>
      </c>
      <c r="I502" s="4" t="s">
        <v>25</v>
      </c>
      <c r="K502" s="4" t="s">
        <v>26</v>
      </c>
      <c r="L502" s="4" t="s">
        <v>1821</v>
      </c>
      <c r="O502" s="4" t="s">
        <v>758</v>
      </c>
      <c r="P502" s="5">
        <f>DATE(2021,10,21)</f>
        <v>44490</v>
      </c>
      <c r="Q502" s="4" t="s">
        <v>125</v>
      </c>
      <c r="R502" s="5">
        <f>DATE(2020,7,21)</f>
        <v>44033</v>
      </c>
    </row>
    <row r="503" spans="1:24" ht="55.05" customHeight="1" x14ac:dyDescent="0.3">
      <c r="A503" s="4" t="s">
        <v>534</v>
      </c>
      <c r="B503" s="4" t="s">
        <v>145</v>
      </c>
      <c r="C503" s="4" t="s">
        <v>20</v>
      </c>
      <c r="D503" s="4" t="s">
        <v>146</v>
      </c>
      <c r="E503" s="4" t="s">
        <v>147</v>
      </c>
      <c r="F503" s="4" t="s">
        <v>122</v>
      </c>
      <c r="G503" s="4" t="s">
        <v>1822</v>
      </c>
      <c r="H503" s="4" t="s">
        <v>32</v>
      </c>
      <c r="I503" s="4" t="s">
        <v>130</v>
      </c>
      <c r="J503" s="5">
        <f>DATE(2022,12,29)</f>
        <v>44924</v>
      </c>
      <c r="K503" s="4" t="s">
        <v>26</v>
      </c>
      <c r="L503" s="4" t="s">
        <v>1823</v>
      </c>
      <c r="O503" s="4" t="s">
        <v>1804</v>
      </c>
      <c r="P503" s="5">
        <f>DATE(2022,12,29)</f>
        <v>44924</v>
      </c>
      <c r="Q503" s="4" t="s">
        <v>1804</v>
      </c>
      <c r="R503" s="5">
        <f>DATE(2022,12,29)</f>
        <v>44924</v>
      </c>
      <c r="S503" s="4" t="s">
        <v>1824</v>
      </c>
      <c r="T503" s="5">
        <f>DATE(2022,7,16)</f>
        <v>44758</v>
      </c>
      <c r="U503" s="4" t="s">
        <v>125</v>
      </c>
      <c r="V503" s="5">
        <f>DATE(2020,7,21)</f>
        <v>44033</v>
      </c>
    </row>
    <row r="504" spans="1:24" ht="55.05" customHeight="1" x14ac:dyDescent="0.3">
      <c r="A504" s="4" t="s">
        <v>534</v>
      </c>
      <c r="B504" s="4" t="s">
        <v>145</v>
      </c>
      <c r="C504" s="4" t="s">
        <v>20</v>
      </c>
      <c r="D504" s="4" t="s">
        <v>146</v>
      </c>
      <c r="E504" s="4" t="s">
        <v>147</v>
      </c>
      <c r="F504" s="4" t="s">
        <v>122</v>
      </c>
      <c r="G504" s="4" t="s">
        <v>1825</v>
      </c>
      <c r="H504" s="4" t="s">
        <v>24</v>
      </c>
      <c r="I504" s="4" t="s">
        <v>25</v>
      </c>
      <c r="K504" s="4" t="s">
        <v>26</v>
      </c>
      <c r="L504" s="4" t="s">
        <v>1826</v>
      </c>
      <c r="O504" s="4" t="s">
        <v>1827</v>
      </c>
      <c r="P504" s="5">
        <f>DATE(2023,2,10)</f>
        <v>44967</v>
      </c>
      <c r="Q504" s="4" t="s">
        <v>1828</v>
      </c>
      <c r="R504" s="5">
        <f>DATE(2022,10,27)</f>
        <v>44861</v>
      </c>
      <c r="S504" s="4" t="s">
        <v>1829</v>
      </c>
      <c r="T504" s="5">
        <f>DATE(2022,1,20)</f>
        <v>44581</v>
      </c>
      <c r="U504" s="4" t="s">
        <v>125</v>
      </c>
      <c r="V504" s="5">
        <f>DATE(2020,7,21)</f>
        <v>44033</v>
      </c>
    </row>
    <row r="505" spans="1:24" ht="55.05" customHeight="1" x14ac:dyDescent="0.3">
      <c r="A505" s="4" t="s">
        <v>534</v>
      </c>
      <c r="B505" s="4" t="s">
        <v>145</v>
      </c>
      <c r="C505" s="4" t="s">
        <v>155</v>
      </c>
      <c r="D505" s="4" t="s">
        <v>20</v>
      </c>
      <c r="E505" s="4" t="s">
        <v>156</v>
      </c>
      <c r="F505" s="4" t="s">
        <v>22</v>
      </c>
      <c r="G505" s="4" t="s">
        <v>1830</v>
      </c>
      <c r="H505" s="4" t="s">
        <v>24</v>
      </c>
      <c r="I505" s="4" t="s">
        <v>25</v>
      </c>
      <c r="K505" s="4" t="s">
        <v>26</v>
      </c>
      <c r="L505" s="4" t="s">
        <v>1831</v>
      </c>
      <c r="O505" s="4" t="s">
        <v>1832</v>
      </c>
      <c r="P505" s="5">
        <f>DATE(2020,10,23)</f>
        <v>44127</v>
      </c>
    </row>
    <row r="506" spans="1:24" ht="55.05" customHeight="1" x14ac:dyDescent="0.3">
      <c r="A506" s="4" t="s">
        <v>534</v>
      </c>
      <c r="B506" s="4" t="s">
        <v>145</v>
      </c>
      <c r="C506" s="4" t="s">
        <v>155</v>
      </c>
      <c r="D506" s="4" t="s">
        <v>20</v>
      </c>
      <c r="E506" s="4" t="s">
        <v>156</v>
      </c>
      <c r="F506" s="4" t="s">
        <v>22</v>
      </c>
      <c r="G506" s="4" t="s">
        <v>1833</v>
      </c>
      <c r="H506" s="4" t="s">
        <v>24</v>
      </c>
      <c r="I506" s="4" t="s">
        <v>25</v>
      </c>
      <c r="K506" s="4" t="s">
        <v>26</v>
      </c>
      <c r="L506" s="4" t="s">
        <v>1834</v>
      </c>
      <c r="O506" s="4" t="s">
        <v>1835</v>
      </c>
      <c r="P506" s="5">
        <f>DATE(2023,1,10)</f>
        <v>44936</v>
      </c>
      <c r="Q506" s="4" t="s">
        <v>1836</v>
      </c>
      <c r="R506" s="5">
        <f>DATE(2022,9,30)</f>
        <v>44834</v>
      </c>
      <c r="S506" s="4" t="s">
        <v>758</v>
      </c>
      <c r="T506" s="5">
        <f>DATE(2021,10,21)</f>
        <v>44490</v>
      </c>
    </row>
    <row r="507" spans="1:24" ht="55.05" customHeight="1" x14ac:dyDescent="0.3">
      <c r="A507" s="4" t="s">
        <v>534</v>
      </c>
      <c r="B507" s="4" t="s">
        <v>145</v>
      </c>
      <c r="C507" s="4" t="s">
        <v>155</v>
      </c>
      <c r="D507" s="4" t="s">
        <v>20</v>
      </c>
      <c r="E507" s="4" t="s">
        <v>156</v>
      </c>
      <c r="F507" s="4" t="s">
        <v>22</v>
      </c>
      <c r="G507" s="4" t="s">
        <v>1837</v>
      </c>
      <c r="H507" s="4" t="s">
        <v>24</v>
      </c>
      <c r="I507" s="4" t="s">
        <v>25</v>
      </c>
      <c r="K507" s="4" t="s">
        <v>26</v>
      </c>
      <c r="L507" s="4" t="s">
        <v>1838</v>
      </c>
      <c r="O507" s="4" t="s">
        <v>758</v>
      </c>
      <c r="P507" s="5">
        <f>DATE(2021,10,21)</f>
        <v>44490</v>
      </c>
    </row>
    <row r="508" spans="1:24" ht="55.05" customHeight="1" x14ac:dyDescent="0.3">
      <c r="A508" s="4" t="s">
        <v>534</v>
      </c>
      <c r="B508" s="4" t="s">
        <v>145</v>
      </c>
      <c r="C508" s="4" t="s">
        <v>155</v>
      </c>
      <c r="D508" s="4" t="s">
        <v>20</v>
      </c>
      <c r="E508" s="4" t="s">
        <v>156</v>
      </c>
      <c r="F508" s="4" t="s">
        <v>22</v>
      </c>
      <c r="G508" s="4" t="s">
        <v>1839</v>
      </c>
      <c r="H508" s="4" t="s">
        <v>24</v>
      </c>
      <c r="I508" s="4" t="s">
        <v>25</v>
      </c>
      <c r="K508" s="4" t="s">
        <v>26</v>
      </c>
      <c r="L508" s="4" t="s">
        <v>1840</v>
      </c>
      <c r="O508" s="4" t="s">
        <v>1841</v>
      </c>
      <c r="P508" s="5">
        <f>DATE(2023,11,29)</f>
        <v>45259</v>
      </c>
      <c r="Q508" s="4" t="s">
        <v>1842</v>
      </c>
      <c r="R508" s="5">
        <f>DATE(2021,6,30)</f>
        <v>44377</v>
      </c>
    </row>
    <row r="509" spans="1:24" ht="55.05" customHeight="1" x14ac:dyDescent="0.3">
      <c r="A509" s="4" t="s">
        <v>534</v>
      </c>
      <c r="B509" s="4" t="s">
        <v>145</v>
      </c>
      <c r="C509" s="4" t="s">
        <v>155</v>
      </c>
      <c r="D509" s="4" t="s">
        <v>20</v>
      </c>
      <c r="E509" s="4" t="s">
        <v>156</v>
      </c>
      <c r="F509" s="4" t="s">
        <v>22</v>
      </c>
      <c r="G509" s="4" t="s">
        <v>1843</v>
      </c>
      <c r="H509" s="4" t="s">
        <v>24</v>
      </c>
      <c r="I509" s="4" t="s">
        <v>25</v>
      </c>
      <c r="K509" s="4" t="s">
        <v>26</v>
      </c>
      <c r="L509" s="4" t="s">
        <v>1844</v>
      </c>
      <c r="O509" s="4" t="s">
        <v>1845</v>
      </c>
      <c r="P509" s="5">
        <f>DATE(2024,1,3)</f>
        <v>45294</v>
      </c>
      <c r="Q509" s="4" t="s">
        <v>1842</v>
      </c>
      <c r="R509" s="5">
        <f>DATE(2021,6,30)</f>
        <v>44377</v>
      </c>
    </row>
    <row r="510" spans="1:24" ht="55.05" customHeight="1" x14ac:dyDescent="0.3">
      <c r="A510" s="4" t="s">
        <v>534</v>
      </c>
      <c r="B510" s="4" t="s">
        <v>145</v>
      </c>
      <c r="C510" s="4" t="s">
        <v>155</v>
      </c>
      <c r="D510" s="4" t="s">
        <v>20</v>
      </c>
      <c r="E510" s="4" t="s">
        <v>156</v>
      </c>
      <c r="F510" s="4" t="s">
        <v>22</v>
      </c>
      <c r="G510" s="4" t="s">
        <v>1846</v>
      </c>
      <c r="H510" s="4" t="s">
        <v>24</v>
      </c>
      <c r="I510" s="4" t="s">
        <v>25</v>
      </c>
      <c r="K510" s="4" t="s">
        <v>26</v>
      </c>
      <c r="L510" s="4" t="s">
        <v>1847</v>
      </c>
      <c r="O510" s="4" t="s">
        <v>1848</v>
      </c>
      <c r="P510" s="5">
        <f>DATE(2024,1,3)</f>
        <v>45294</v>
      </c>
      <c r="Q510" s="4" t="s">
        <v>1849</v>
      </c>
      <c r="R510" s="5">
        <f>DATE(2021,12,30)</f>
        <v>44560</v>
      </c>
    </row>
    <row r="511" spans="1:24" ht="55.05" customHeight="1" x14ac:dyDescent="0.3">
      <c r="A511" s="4" t="s">
        <v>534</v>
      </c>
      <c r="B511" s="4" t="s">
        <v>145</v>
      </c>
      <c r="C511" s="4" t="s">
        <v>155</v>
      </c>
      <c r="D511" s="4" t="s">
        <v>20</v>
      </c>
      <c r="E511" s="4" t="s">
        <v>156</v>
      </c>
      <c r="F511" s="4" t="s">
        <v>22</v>
      </c>
      <c r="G511" s="4" t="s">
        <v>1850</v>
      </c>
      <c r="H511" s="4" t="s">
        <v>24</v>
      </c>
      <c r="I511" s="4" t="s">
        <v>25</v>
      </c>
      <c r="K511" s="4" t="s">
        <v>26</v>
      </c>
      <c r="L511" s="4" t="s">
        <v>1851</v>
      </c>
      <c r="O511" s="4" t="s">
        <v>1852</v>
      </c>
      <c r="P511" s="5">
        <f>DATE(2022,5,17)</f>
        <v>44698</v>
      </c>
      <c r="Q511" s="4" t="s">
        <v>1853</v>
      </c>
      <c r="R511" s="5">
        <f>DATE(2021,9,8)</f>
        <v>44447</v>
      </c>
    </row>
    <row r="512" spans="1:24" ht="55.05" customHeight="1" x14ac:dyDescent="0.3">
      <c r="A512" s="4" t="s">
        <v>534</v>
      </c>
      <c r="B512" s="4" t="s">
        <v>145</v>
      </c>
      <c r="C512" s="4" t="s">
        <v>160</v>
      </c>
      <c r="D512" s="4" t="s">
        <v>20</v>
      </c>
      <c r="E512" s="4" t="s">
        <v>161</v>
      </c>
      <c r="F512" s="4" t="s">
        <v>162</v>
      </c>
      <c r="G512" s="4" t="s">
        <v>1854</v>
      </c>
      <c r="H512" s="4" t="s">
        <v>24</v>
      </c>
      <c r="I512" s="4" t="s">
        <v>25</v>
      </c>
      <c r="K512" s="4" t="s">
        <v>26</v>
      </c>
      <c r="L512" s="4" t="s">
        <v>1855</v>
      </c>
      <c r="O512" s="4" t="s">
        <v>1856</v>
      </c>
      <c r="P512" s="5">
        <f>DATE(2022,8,31)</f>
        <v>44804</v>
      </c>
      <c r="Q512" s="4" t="s">
        <v>1857</v>
      </c>
      <c r="R512" s="5">
        <f>DATE(2022,8,29)</f>
        <v>44802</v>
      </c>
      <c r="S512" s="4" t="s">
        <v>1858</v>
      </c>
      <c r="T512" s="5">
        <f>DATE(2022,8,29)</f>
        <v>44802</v>
      </c>
      <c r="U512" s="4" t="s">
        <v>1859</v>
      </c>
      <c r="V512" s="5">
        <f>DATE(2022,3,18)</f>
        <v>44638</v>
      </c>
      <c r="W512" s="4" t="s">
        <v>1860</v>
      </c>
      <c r="X512" s="5">
        <f>DATE(2021,10,21)</f>
        <v>44490</v>
      </c>
    </row>
    <row r="513" spans="1:28" ht="55.05" customHeight="1" x14ac:dyDescent="0.3">
      <c r="A513" s="4" t="s">
        <v>534</v>
      </c>
      <c r="B513" s="4" t="s">
        <v>145</v>
      </c>
      <c r="C513" s="4" t="s">
        <v>160</v>
      </c>
      <c r="D513" s="4" t="s">
        <v>20</v>
      </c>
      <c r="E513" s="4" t="s">
        <v>161</v>
      </c>
      <c r="F513" s="4" t="s">
        <v>162</v>
      </c>
      <c r="G513" s="4" t="s">
        <v>1861</v>
      </c>
      <c r="H513" s="4" t="s">
        <v>24</v>
      </c>
      <c r="I513" s="4" t="s">
        <v>25</v>
      </c>
      <c r="K513" s="4" t="s">
        <v>26</v>
      </c>
      <c r="L513" s="4" t="s">
        <v>1862</v>
      </c>
      <c r="O513" s="4" t="s">
        <v>1863</v>
      </c>
      <c r="P513" s="5">
        <f>DATE(2023,11,20)</f>
        <v>45250</v>
      </c>
      <c r="Q513" s="4" t="s">
        <v>1864</v>
      </c>
      <c r="R513" s="5">
        <f>DATE(2023,7,14)</f>
        <v>45121</v>
      </c>
      <c r="S513" s="4" t="s">
        <v>1865</v>
      </c>
      <c r="T513" s="5">
        <f>DATE(2023,7,3)</f>
        <v>45110</v>
      </c>
      <c r="U513" s="4" t="s">
        <v>1866</v>
      </c>
      <c r="V513" s="5">
        <f>DATE(2023,6,14)</f>
        <v>45091</v>
      </c>
      <c r="W513" s="4" t="s">
        <v>1867</v>
      </c>
      <c r="X513" s="5">
        <f>DATE(2023,4,13)</f>
        <v>45029</v>
      </c>
      <c r="Y513" s="4" t="s">
        <v>1868</v>
      </c>
      <c r="Z513" s="5">
        <f>DATE(2022,11,9)</f>
        <v>44874</v>
      </c>
      <c r="AA513" s="4" t="s">
        <v>1869</v>
      </c>
      <c r="AB513" s="5">
        <f>DATE(2022,10,5)</f>
        <v>44839</v>
      </c>
    </row>
    <row r="514" spans="1:28" ht="55.05" customHeight="1" x14ac:dyDescent="0.3">
      <c r="A514" s="4" t="s">
        <v>534</v>
      </c>
      <c r="B514" s="4" t="s">
        <v>145</v>
      </c>
      <c r="C514" s="4" t="s">
        <v>160</v>
      </c>
      <c r="D514" s="4" t="s">
        <v>20</v>
      </c>
      <c r="E514" s="4" t="s">
        <v>161</v>
      </c>
      <c r="F514" s="4" t="s">
        <v>162</v>
      </c>
      <c r="G514" s="4" t="s">
        <v>1870</v>
      </c>
      <c r="H514" s="4" t="s">
        <v>24</v>
      </c>
      <c r="I514" s="4" t="s">
        <v>25</v>
      </c>
      <c r="K514" s="4" t="s">
        <v>26</v>
      </c>
      <c r="L514" s="4" t="s">
        <v>1871</v>
      </c>
      <c r="O514" s="4" t="s">
        <v>1872</v>
      </c>
      <c r="P514" s="5">
        <f>DATE(2022,12,23)</f>
        <v>44918</v>
      </c>
      <c r="Q514" s="4" t="s">
        <v>758</v>
      </c>
      <c r="R514" s="5">
        <f>DATE(2021,10,21)</f>
        <v>44490</v>
      </c>
    </row>
    <row r="515" spans="1:28" ht="55.05" customHeight="1" x14ac:dyDescent="0.3">
      <c r="A515" s="4" t="s">
        <v>534</v>
      </c>
      <c r="B515" s="4" t="s">
        <v>145</v>
      </c>
      <c r="C515" s="4" t="s">
        <v>160</v>
      </c>
      <c r="D515" s="4" t="s">
        <v>20</v>
      </c>
      <c r="E515" s="4" t="s">
        <v>161</v>
      </c>
      <c r="F515" s="4" t="s">
        <v>162</v>
      </c>
      <c r="G515" s="4" t="s">
        <v>1873</v>
      </c>
      <c r="H515" s="4" t="s">
        <v>24</v>
      </c>
      <c r="I515" s="4" t="s">
        <v>25</v>
      </c>
      <c r="K515" s="4" t="s">
        <v>26</v>
      </c>
      <c r="L515" s="4" t="s">
        <v>1874</v>
      </c>
      <c r="O515" s="4" t="s">
        <v>1875</v>
      </c>
      <c r="P515" s="5">
        <f>DATE(2023,3,14)</f>
        <v>44999</v>
      </c>
      <c r="Q515" s="4" t="s">
        <v>758</v>
      </c>
      <c r="R515" s="5">
        <f>DATE(2021,10,21)</f>
        <v>44490</v>
      </c>
    </row>
    <row r="516" spans="1:28" ht="55.05" customHeight="1" x14ac:dyDescent="0.3">
      <c r="A516" s="4" t="s">
        <v>534</v>
      </c>
      <c r="B516" s="4" t="s">
        <v>145</v>
      </c>
      <c r="C516" s="4" t="s">
        <v>160</v>
      </c>
      <c r="D516" s="4" t="s">
        <v>20</v>
      </c>
      <c r="E516" s="4" t="s">
        <v>161</v>
      </c>
      <c r="F516" s="4" t="s">
        <v>162</v>
      </c>
      <c r="G516" s="4" t="s">
        <v>1876</v>
      </c>
      <c r="H516" s="4" t="s">
        <v>32</v>
      </c>
      <c r="I516" s="4" t="s">
        <v>822</v>
      </c>
      <c r="J516" s="5">
        <f>DATE(2022,12,23)</f>
        <v>44918</v>
      </c>
      <c r="K516" s="4" t="s">
        <v>26</v>
      </c>
      <c r="L516" s="4" t="s">
        <v>1877</v>
      </c>
      <c r="O516" s="4" t="s">
        <v>1872</v>
      </c>
      <c r="P516" s="5">
        <f>DATE(2022,12,23)</f>
        <v>44918</v>
      </c>
      <c r="Q516" s="4" t="s">
        <v>1878</v>
      </c>
      <c r="R516" s="5">
        <f>DATE(2022,4,4)</f>
        <v>44655</v>
      </c>
      <c r="S516" s="4" t="s">
        <v>125</v>
      </c>
      <c r="T516" s="5">
        <f>DATE(2020,7,21)</f>
        <v>44033</v>
      </c>
    </row>
    <row r="517" spans="1:28" ht="55.05" customHeight="1" x14ac:dyDescent="0.3">
      <c r="A517" s="4" t="s">
        <v>534</v>
      </c>
      <c r="B517" s="4" t="s">
        <v>145</v>
      </c>
      <c r="C517" s="4" t="s">
        <v>160</v>
      </c>
      <c r="D517" s="4" t="s">
        <v>20</v>
      </c>
      <c r="E517" s="4" t="s">
        <v>161</v>
      </c>
      <c r="F517" s="4" t="s">
        <v>162</v>
      </c>
      <c r="G517" s="4" t="s">
        <v>1879</v>
      </c>
      <c r="H517" s="4" t="s">
        <v>24</v>
      </c>
      <c r="I517" s="4" t="s">
        <v>25</v>
      </c>
      <c r="K517" s="4" t="s">
        <v>26</v>
      </c>
      <c r="L517" s="4" t="s">
        <v>1880</v>
      </c>
      <c r="O517" s="4" t="s">
        <v>1872</v>
      </c>
      <c r="P517" s="5">
        <f>DATE(2022,12,23)</f>
        <v>44918</v>
      </c>
      <c r="Q517" s="4" t="s">
        <v>1881</v>
      </c>
      <c r="R517" s="5">
        <f>DATE(2022,4,4)</f>
        <v>44655</v>
      </c>
      <c r="S517" s="4" t="s">
        <v>758</v>
      </c>
      <c r="T517" s="5">
        <f>DATE(2021,10,21)</f>
        <v>44490</v>
      </c>
    </row>
    <row r="518" spans="1:28" ht="55.05" customHeight="1" x14ac:dyDescent="0.3">
      <c r="A518" s="4" t="s">
        <v>534</v>
      </c>
      <c r="B518" s="4" t="s">
        <v>145</v>
      </c>
      <c r="C518" s="4" t="s">
        <v>160</v>
      </c>
      <c r="D518" s="4" t="s">
        <v>20</v>
      </c>
      <c r="E518" s="4" t="s">
        <v>161</v>
      </c>
      <c r="F518" s="4" t="s">
        <v>162</v>
      </c>
      <c r="G518" s="4" t="s">
        <v>1882</v>
      </c>
      <c r="H518" s="4" t="s">
        <v>24</v>
      </c>
      <c r="I518" s="4" t="s">
        <v>25</v>
      </c>
      <c r="K518" s="4" t="s">
        <v>26</v>
      </c>
      <c r="L518" s="4" t="s">
        <v>1883</v>
      </c>
      <c r="O518" s="4" t="s">
        <v>1872</v>
      </c>
      <c r="P518" s="5">
        <f>DATE(2022,12,23)</f>
        <v>44918</v>
      </c>
      <c r="Q518" s="4" t="s">
        <v>758</v>
      </c>
      <c r="R518" s="5">
        <f>DATE(2021,10,21)</f>
        <v>44490</v>
      </c>
    </row>
    <row r="519" spans="1:28" ht="55.05" customHeight="1" x14ac:dyDescent="0.3">
      <c r="A519" s="4" t="s">
        <v>534</v>
      </c>
      <c r="B519" s="4" t="s">
        <v>145</v>
      </c>
      <c r="C519" s="4" t="s">
        <v>160</v>
      </c>
      <c r="D519" s="4" t="s">
        <v>20</v>
      </c>
      <c r="E519" s="4" t="s">
        <v>161</v>
      </c>
      <c r="F519" s="4" t="s">
        <v>162</v>
      </c>
      <c r="G519" s="4" t="s">
        <v>1884</v>
      </c>
      <c r="H519" s="4" t="s">
        <v>32</v>
      </c>
      <c r="I519" s="4" t="s">
        <v>1797</v>
      </c>
      <c r="J519" s="5">
        <f>DATE(2023,12,29)</f>
        <v>45289</v>
      </c>
      <c r="K519" s="4" t="s">
        <v>26</v>
      </c>
      <c r="L519" s="4" t="s">
        <v>1885</v>
      </c>
      <c r="O519" s="4" t="s">
        <v>1886</v>
      </c>
      <c r="P519" s="5">
        <f>DATE(2023,10,16)</f>
        <v>45215</v>
      </c>
      <c r="Q519" s="4" t="s">
        <v>1887</v>
      </c>
      <c r="R519" s="5">
        <f>DATE(2023,10,11)</f>
        <v>45210</v>
      </c>
      <c r="S519" s="4" t="s">
        <v>1864</v>
      </c>
      <c r="T519" s="5">
        <f>DATE(2023,7,14)</f>
        <v>45121</v>
      </c>
      <c r="U519" s="4" t="s">
        <v>1888</v>
      </c>
      <c r="V519" s="5">
        <f>DATE(2023,6,16)</f>
        <v>45093</v>
      </c>
      <c r="W519" s="4" t="s">
        <v>1889</v>
      </c>
      <c r="X519" s="5">
        <f>DATE(2022,9,22)</f>
        <v>44826</v>
      </c>
      <c r="Y519" s="4" t="s">
        <v>1890</v>
      </c>
      <c r="Z519" s="5">
        <f>DATE(2021,10,22)</f>
        <v>44491</v>
      </c>
    </row>
    <row r="520" spans="1:28" ht="55.05" customHeight="1" x14ac:dyDescent="0.3">
      <c r="A520" s="4" t="s">
        <v>534</v>
      </c>
      <c r="B520" s="4" t="s">
        <v>145</v>
      </c>
      <c r="C520" s="4" t="s">
        <v>160</v>
      </c>
      <c r="D520" s="4" t="s">
        <v>20</v>
      </c>
      <c r="E520" s="4" t="s">
        <v>161</v>
      </c>
      <c r="F520" s="4" t="s">
        <v>162</v>
      </c>
      <c r="G520" s="4" t="s">
        <v>1891</v>
      </c>
      <c r="H520" s="4" t="s">
        <v>24</v>
      </c>
      <c r="I520" s="4" t="s">
        <v>25</v>
      </c>
      <c r="K520" s="4" t="s">
        <v>26</v>
      </c>
      <c r="L520" s="4" t="s">
        <v>1892</v>
      </c>
      <c r="O520" s="4" t="s">
        <v>1893</v>
      </c>
      <c r="P520" s="5">
        <f>DATE(2023,7,24)</f>
        <v>45131</v>
      </c>
      <c r="Q520" s="4" t="s">
        <v>1894</v>
      </c>
      <c r="R520" s="5">
        <f>DATE(2023,2,9)</f>
        <v>44966</v>
      </c>
      <c r="S520" s="4" t="s">
        <v>1872</v>
      </c>
      <c r="T520" s="5">
        <f>DATE(2022,12,23)</f>
        <v>44918</v>
      </c>
      <c r="U520" s="4" t="s">
        <v>125</v>
      </c>
      <c r="V520" s="5">
        <f>DATE(2020,7,21)</f>
        <v>44033</v>
      </c>
    </row>
    <row r="521" spans="1:28" ht="55.05" customHeight="1" x14ac:dyDescent="0.3">
      <c r="A521" s="4" t="s">
        <v>534</v>
      </c>
      <c r="B521" s="4" t="s">
        <v>145</v>
      </c>
      <c r="C521" s="4" t="s">
        <v>160</v>
      </c>
      <c r="D521" s="4" t="s">
        <v>20</v>
      </c>
      <c r="E521" s="4" t="s">
        <v>161</v>
      </c>
      <c r="F521" s="4" t="s">
        <v>162</v>
      </c>
      <c r="G521" s="4" t="s">
        <v>1895</v>
      </c>
      <c r="H521" s="4" t="s">
        <v>24</v>
      </c>
      <c r="I521" s="4" t="s">
        <v>25</v>
      </c>
      <c r="K521" s="4" t="s">
        <v>26</v>
      </c>
      <c r="L521" s="4" t="s">
        <v>1896</v>
      </c>
      <c r="O521" s="4" t="s">
        <v>1897</v>
      </c>
      <c r="P521" s="5">
        <f>DATE(2022,12,23)</f>
        <v>44918</v>
      </c>
      <c r="Q521" s="4" t="s">
        <v>1898</v>
      </c>
      <c r="R521" s="5">
        <f>DATE(2022,3,22)</f>
        <v>44642</v>
      </c>
      <c r="S521" s="4" t="s">
        <v>758</v>
      </c>
      <c r="T521" s="5">
        <f>DATE(2021,10,21)</f>
        <v>44490</v>
      </c>
    </row>
    <row r="522" spans="1:28" ht="55.05" customHeight="1" x14ac:dyDescent="0.3">
      <c r="A522" s="4" t="s">
        <v>534</v>
      </c>
      <c r="B522" s="4" t="s">
        <v>145</v>
      </c>
      <c r="C522" s="4" t="s">
        <v>160</v>
      </c>
      <c r="D522" s="4" t="s">
        <v>20</v>
      </c>
      <c r="E522" s="4" t="s">
        <v>161</v>
      </c>
      <c r="F522" s="4" t="s">
        <v>162</v>
      </c>
      <c r="G522" s="4" t="s">
        <v>1899</v>
      </c>
      <c r="H522" s="4" t="s">
        <v>24</v>
      </c>
      <c r="I522" s="4" t="s">
        <v>25</v>
      </c>
      <c r="K522" s="4" t="s">
        <v>26</v>
      </c>
      <c r="L522" s="4" t="s">
        <v>1900</v>
      </c>
      <c r="O522" s="4" t="s">
        <v>1901</v>
      </c>
      <c r="P522" s="5">
        <f>DATE(2023,8,12)</f>
        <v>45150</v>
      </c>
      <c r="Q522" s="4" t="s">
        <v>1902</v>
      </c>
      <c r="R522" s="5">
        <f>DATE(2023,3,2)</f>
        <v>44987</v>
      </c>
      <c r="S522" s="4" t="s">
        <v>1903</v>
      </c>
      <c r="T522" s="5">
        <f>DATE(2023,1,24)</f>
        <v>44950</v>
      </c>
      <c r="U522" s="4" t="s">
        <v>1904</v>
      </c>
      <c r="V522" s="5">
        <f>DATE(2022,4,4)</f>
        <v>44655</v>
      </c>
      <c r="W522" s="4" t="s">
        <v>1905</v>
      </c>
      <c r="X522" s="5">
        <f>DATE(2021,10,6)</f>
        <v>44475</v>
      </c>
    </row>
    <row r="523" spans="1:28" ht="55.05" customHeight="1" x14ac:dyDescent="0.3">
      <c r="A523" s="4" t="s">
        <v>534</v>
      </c>
      <c r="B523" s="4" t="s">
        <v>145</v>
      </c>
      <c r="C523" s="4" t="s">
        <v>160</v>
      </c>
      <c r="D523" s="4" t="s">
        <v>20</v>
      </c>
      <c r="E523" s="4" t="s">
        <v>161</v>
      </c>
      <c r="F523" s="4" t="s">
        <v>162</v>
      </c>
      <c r="G523" s="4" t="s">
        <v>1906</v>
      </c>
      <c r="H523" s="4" t="s">
        <v>24</v>
      </c>
      <c r="I523" s="4" t="s">
        <v>25</v>
      </c>
      <c r="K523" s="4" t="s">
        <v>26</v>
      </c>
      <c r="L523" s="4" t="s">
        <v>1907</v>
      </c>
      <c r="O523" s="4" t="s">
        <v>1878</v>
      </c>
      <c r="P523" s="5">
        <f>DATE(2022,4,4)</f>
        <v>44655</v>
      </c>
      <c r="Q523" s="4" t="s">
        <v>125</v>
      </c>
      <c r="R523" s="5">
        <f>DATE(2020,10,14)</f>
        <v>44118</v>
      </c>
    </row>
    <row r="524" spans="1:28" ht="55.05" customHeight="1" x14ac:dyDescent="0.3">
      <c r="A524" s="4" t="s">
        <v>534</v>
      </c>
      <c r="B524" s="4" t="s">
        <v>145</v>
      </c>
      <c r="C524" s="4" t="s">
        <v>160</v>
      </c>
      <c r="D524" s="4" t="s">
        <v>20</v>
      </c>
      <c r="E524" s="4" t="s">
        <v>161</v>
      </c>
      <c r="F524" s="4" t="s">
        <v>162</v>
      </c>
      <c r="G524" s="4" t="s">
        <v>1908</v>
      </c>
      <c r="H524" s="4" t="s">
        <v>32</v>
      </c>
      <c r="I524" s="4" t="s">
        <v>25</v>
      </c>
      <c r="J524" s="5">
        <f>DATE(2022,6,14)</f>
        <v>44726</v>
      </c>
      <c r="K524" s="4" t="s">
        <v>26</v>
      </c>
      <c r="L524" s="4" t="s">
        <v>1909</v>
      </c>
      <c r="O524" s="4" t="s">
        <v>1910</v>
      </c>
      <c r="P524" s="5">
        <f>DATE(2022,6,14)</f>
        <v>44726</v>
      </c>
      <c r="Q524" s="4" t="s">
        <v>1911</v>
      </c>
      <c r="R524" s="5">
        <f>DATE(2022,4,4)</f>
        <v>44655</v>
      </c>
      <c r="S524" s="4" t="s">
        <v>125</v>
      </c>
      <c r="T524" s="5">
        <f>DATE(2020,7,21)</f>
        <v>44033</v>
      </c>
    </row>
    <row r="525" spans="1:28" ht="55.05" customHeight="1" x14ac:dyDescent="0.3">
      <c r="A525" s="4" t="s">
        <v>534</v>
      </c>
      <c r="B525" s="4" t="s">
        <v>145</v>
      </c>
      <c r="C525" s="4" t="s">
        <v>160</v>
      </c>
      <c r="D525" s="4" t="s">
        <v>20</v>
      </c>
      <c r="E525" s="4" t="s">
        <v>161</v>
      </c>
      <c r="F525" s="4" t="s">
        <v>162</v>
      </c>
      <c r="G525" s="4" t="s">
        <v>1912</v>
      </c>
      <c r="H525" s="4" t="s">
        <v>24</v>
      </c>
      <c r="I525" s="4" t="s">
        <v>25</v>
      </c>
      <c r="K525" s="4" t="s">
        <v>26</v>
      </c>
      <c r="L525" s="4" t="s">
        <v>1913</v>
      </c>
      <c r="O525" s="4" t="s">
        <v>1914</v>
      </c>
      <c r="P525" s="5">
        <f>DATE(2023,10,9)</f>
        <v>45208</v>
      </c>
      <c r="Q525" s="4" t="s">
        <v>1915</v>
      </c>
      <c r="R525" s="5">
        <f>DATE(2023,6,16)</f>
        <v>45093</v>
      </c>
      <c r="S525" s="4" t="s">
        <v>1916</v>
      </c>
      <c r="T525" s="5">
        <f>DATE(2022,4,4)</f>
        <v>44655</v>
      </c>
      <c r="U525" s="4" t="s">
        <v>1917</v>
      </c>
      <c r="V525" s="5">
        <f>DATE(2022,3,24)</f>
        <v>44644</v>
      </c>
      <c r="W525" s="4" t="s">
        <v>1860</v>
      </c>
      <c r="X525" s="5">
        <f>DATE(2021,10,21)</f>
        <v>44490</v>
      </c>
    </row>
    <row r="526" spans="1:28" ht="55.05" customHeight="1" x14ac:dyDescent="0.3">
      <c r="A526" s="4" t="s">
        <v>534</v>
      </c>
      <c r="B526" s="4" t="s">
        <v>145</v>
      </c>
      <c r="C526" s="4" t="s">
        <v>160</v>
      </c>
      <c r="D526" s="4" t="s">
        <v>20</v>
      </c>
      <c r="E526" s="4" t="s">
        <v>161</v>
      </c>
      <c r="F526" s="4" t="s">
        <v>162</v>
      </c>
      <c r="G526" s="4" t="s">
        <v>1918</v>
      </c>
      <c r="H526" s="4" t="s">
        <v>24</v>
      </c>
      <c r="I526" s="4" t="s">
        <v>25</v>
      </c>
      <c r="K526" s="4" t="s">
        <v>26</v>
      </c>
      <c r="L526" s="4" t="s">
        <v>1919</v>
      </c>
      <c r="O526" s="4" t="s">
        <v>1872</v>
      </c>
      <c r="P526" s="5">
        <f>DATE(2022,12,23)</f>
        <v>44918</v>
      </c>
      <c r="Q526" s="4" t="s">
        <v>1920</v>
      </c>
      <c r="R526" s="5">
        <f>DATE(2022,4,4)</f>
        <v>44655</v>
      </c>
      <c r="S526" s="4" t="s">
        <v>758</v>
      </c>
      <c r="T526" s="5">
        <f>DATE(2021,10,21)</f>
        <v>44490</v>
      </c>
    </row>
    <row r="527" spans="1:28" ht="55.05" customHeight="1" x14ac:dyDescent="0.3">
      <c r="A527" s="4" t="s">
        <v>534</v>
      </c>
      <c r="B527" s="4" t="s">
        <v>145</v>
      </c>
      <c r="C527" s="4" t="s">
        <v>160</v>
      </c>
      <c r="D527" s="4" t="s">
        <v>20</v>
      </c>
      <c r="E527" s="4" t="s">
        <v>161</v>
      </c>
      <c r="F527" s="4" t="s">
        <v>162</v>
      </c>
      <c r="G527" s="4" t="s">
        <v>1921</v>
      </c>
      <c r="H527" s="4" t="s">
        <v>24</v>
      </c>
      <c r="I527" s="4" t="s">
        <v>25</v>
      </c>
      <c r="K527" s="4" t="s">
        <v>26</v>
      </c>
      <c r="L527" s="4" t="s">
        <v>1922</v>
      </c>
      <c r="O527" s="4" t="s">
        <v>1923</v>
      </c>
      <c r="P527" s="5">
        <f>DATE(2022,6,27)</f>
        <v>44739</v>
      </c>
      <c r="Q527" s="4" t="s">
        <v>758</v>
      </c>
      <c r="R527" s="5">
        <f>DATE(2021,10,21)</f>
        <v>44490</v>
      </c>
    </row>
    <row r="528" spans="1:28" ht="55.05" customHeight="1" x14ac:dyDescent="0.3">
      <c r="A528" s="4" t="s">
        <v>534</v>
      </c>
      <c r="B528" s="4" t="s">
        <v>145</v>
      </c>
      <c r="C528" s="4" t="s">
        <v>160</v>
      </c>
      <c r="D528" s="4" t="s">
        <v>20</v>
      </c>
      <c r="E528" s="4" t="s">
        <v>161</v>
      </c>
      <c r="F528" s="4" t="s">
        <v>162</v>
      </c>
      <c r="G528" s="4" t="s">
        <v>1924</v>
      </c>
      <c r="H528" s="4" t="s">
        <v>24</v>
      </c>
      <c r="I528" s="4" t="s">
        <v>25</v>
      </c>
      <c r="K528" s="4" t="s">
        <v>26</v>
      </c>
      <c r="L528" s="4" t="s">
        <v>1925</v>
      </c>
      <c r="O528" s="4" t="s">
        <v>1926</v>
      </c>
      <c r="P528" s="5">
        <f>DATE(2023,9,11)</f>
        <v>45180</v>
      </c>
      <c r="Q528" s="4" t="s">
        <v>1927</v>
      </c>
      <c r="R528" s="5">
        <f>DATE(2023,2,2)</f>
        <v>44959</v>
      </c>
      <c r="S528" s="4" t="s">
        <v>1928</v>
      </c>
      <c r="T528" s="5">
        <f>DATE(2022,12,23)</f>
        <v>44918</v>
      </c>
      <c r="U528" s="4" t="s">
        <v>1929</v>
      </c>
      <c r="V528" s="5">
        <f>DATE(2022,10,5)</f>
        <v>44839</v>
      </c>
      <c r="W528" s="4" t="s">
        <v>1930</v>
      </c>
      <c r="X528" s="5">
        <f>DATE(2022,4,28)</f>
        <v>44679</v>
      </c>
      <c r="Y528" s="4" t="s">
        <v>1931</v>
      </c>
      <c r="Z528" s="5">
        <f>DATE(2022,3,21)</f>
        <v>44641</v>
      </c>
      <c r="AA528" s="4" t="s">
        <v>1932</v>
      </c>
      <c r="AB528" s="5">
        <f>DATE(2022,1,27)</f>
        <v>44588</v>
      </c>
    </row>
    <row r="529" spans="1:28" ht="55.05" customHeight="1" x14ac:dyDescent="0.3">
      <c r="A529" s="4" t="s">
        <v>534</v>
      </c>
      <c r="B529" s="4" t="s">
        <v>145</v>
      </c>
      <c r="C529" s="4" t="s">
        <v>160</v>
      </c>
      <c r="D529" s="4" t="s">
        <v>20</v>
      </c>
      <c r="E529" s="4" t="s">
        <v>1933</v>
      </c>
      <c r="F529" s="4" t="s">
        <v>162</v>
      </c>
      <c r="G529" s="4" t="s">
        <v>1934</v>
      </c>
      <c r="H529" s="4" t="s">
        <v>24</v>
      </c>
      <c r="I529" s="4" t="s">
        <v>25</v>
      </c>
      <c r="K529" s="4" t="s">
        <v>26</v>
      </c>
      <c r="L529" s="4" t="s">
        <v>1935</v>
      </c>
      <c r="O529" s="4" t="s">
        <v>1936</v>
      </c>
      <c r="P529" s="5">
        <f>DATE(2023,11,21)</f>
        <v>45251</v>
      </c>
      <c r="Q529" s="4" t="s">
        <v>1937</v>
      </c>
      <c r="R529" s="5">
        <f>DATE(2023,6,16)</f>
        <v>45093</v>
      </c>
      <c r="S529" s="4" t="s">
        <v>758</v>
      </c>
      <c r="T529" s="5">
        <f>DATE(2021,10,21)</f>
        <v>44490</v>
      </c>
    </row>
    <row r="530" spans="1:28" ht="55.05" customHeight="1" x14ac:dyDescent="0.3">
      <c r="A530" s="4" t="s">
        <v>534</v>
      </c>
      <c r="B530" s="4" t="s">
        <v>145</v>
      </c>
      <c r="C530" s="4" t="s">
        <v>160</v>
      </c>
      <c r="D530" s="4" t="s">
        <v>20</v>
      </c>
      <c r="E530" s="4" t="s">
        <v>1933</v>
      </c>
      <c r="F530" s="4" t="s">
        <v>162</v>
      </c>
      <c r="G530" s="4" t="s">
        <v>1938</v>
      </c>
      <c r="H530" s="4" t="s">
        <v>24</v>
      </c>
      <c r="I530" s="4" t="s">
        <v>25</v>
      </c>
      <c r="K530" s="4" t="s">
        <v>26</v>
      </c>
      <c r="L530" s="4" t="s">
        <v>1939</v>
      </c>
      <c r="O530" s="4" t="s">
        <v>1937</v>
      </c>
      <c r="P530" s="5">
        <f>DATE(2023,6,16)</f>
        <v>45093</v>
      </c>
      <c r="Q530" s="4" t="s">
        <v>758</v>
      </c>
      <c r="R530" s="5">
        <f>DATE(2021,10,21)</f>
        <v>44490</v>
      </c>
    </row>
    <row r="531" spans="1:28" ht="55.05" customHeight="1" x14ac:dyDescent="0.3">
      <c r="A531" s="4" t="s">
        <v>534</v>
      </c>
      <c r="B531" s="4" t="s">
        <v>145</v>
      </c>
      <c r="C531" s="4" t="s">
        <v>521</v>
      </c>
      <c r="D531" s="4" t="s">
        <v>20</v>
      </c>
      <c r="E531" s="4" t="s">
        <v>1940</v>
      </c>
      <c r="F531" s="4" t="s">
        <v>162</v>
      </c>
      <c r="G531" s="4" t="s">
        <v>1941</v>
      </c>
      <c r="H531" s="4" t="s">
        <v>24</v>
      </c>
      <c r="I531" s="4" t="s">
        <v>25</v>
      </c>
      <c r="K531" s="4" t="s">
        <v>26</v>
      </c>
      <c r="L531" s="4" t="s">
        <v>1942</v>
      </c>
      <c r="O531" s="4" t="s">
        <v>1943</v>
      </c>
      <c r="P531" s="5">
        <f>DATE(2022,10,11)</f>
        <v>44845</v>
      </c>
      <c r="Q531" s="4" t="s">
        <v>1944</v>
      </c>
      <c r="R531" s="5">
        <f>DATE(2022,5,13)</f>
        <v>44694</v>
      </c>
      <c r="S531" s="4" t="s">
        <v>758</v>
      </c>
      <c r="T531" s="5">
        <f>DATE(2021,10,21)</f>
        <v>44490</v>
      </c>
    </row>
    <row r="532" spans="1:28" ht="55.05" customHeight="1" x14ac:dyDescent="0.3">
      <c r="A532" s="4" t="s">
        <v>534</v>
      </c>
      <c r="B532" s="4" t="s">
        <v>145</v>
      </c>
      <c r="C532" s="4" t="s">
        <v>521</v>
      </c>
      <c r="D532" s="4" t="s">
        <v>20</v>
      </c>
      <c r="E532" s="4" t="s">
        <v>1940</v>
      </c>
      <c r="F532" s="4" t="s">
        <v>162</v>
      </c>
      <c r="G532" s="4" t="s">
        <v>1945</v>
      </c>
      <c r="H532" s="4" t="s">
        <v>24</v>
      </c>
      <c r="I532" s="4" t="s">
        <v>25</v>
      </c>
      <c r="K532" s="4" t="s">
        <v>26</v>
      </c>
      <c r="L532" s="4" t="s">
        <v>1946</v>
      </c>
      <c r="O532" s="4" t="s">
        <v>1947</v>
      </c>
      <c r="P532" s="5">
        <f>DATE(2023,5,15)</f>
        <v>45061</v>
      </c>
      <c r="Q532" s="4" t="s">
        <v>1948</v>
      </c>
      <c r="R532" s="5">
        <f>DATE(2022,6,28)</f>
        <v>44740</v>
      </c>
      <c r="S532" s="4" t="s">
        <v>1944</v>
      </c>
      <c r="T532" s="5">
        <f>DATE(2022,5,13)</f>
        <v>44694</v>
      </c>
      <c r="U532" s="4" t="s">
        <v>1949</v>
      </c>
      <c r="V532" s="5">
        <f>DATE(2022,2,9)</f>
        <v>44601</v>
      </c>
      <c r="W532" s="4" t="s">
        <v>1950</v>
      </c>
      <c r="X532" s="5">
        <f>DATE(2021,10,22)</f>
        <v>44491</v>
      </c>
    </row>
    <row r="533" spans="1:28" ht="55.05" customHeight="1" x14ac:dyDescent="0.3">
      <c r="A533" s="4" t="s">
        <v>534</v>
      </c>
      <c r="B533" s="4" t="s">
        <v>145</v>
      </c>
      <c r="C533" s="4" t="s">
        <v>521</v>
      </c>
      <c r="D533" s="4" t="s">
        <v>20</v>
      </c>
      <c r="E533" s="4" t="s">
        <v>1940</v>
      </c>
      <c r="F533" s="4" t="s">
        <v>162</v>
      </c>
      <c r="G533" s="4" t="s">
        <v>1951</v>
      </c>
      <c r="H533" s="4" t="s">
        <v>24</v>
      </c>
      <c r="I533" s="4" t="s">
        <v>25</v>
      </c>
      <c r="K533" s="4" t="s">
        <v>26</v>
      </c>
      <c r="L533" s="4" t="s">
        <v>1952</v>
      </c>
      <c r="O533" s="4" t="s">
        <v>1953</v>
      </c>
      <c r="P533" s="5">
        <f>DATE(2023,9,4)</f>
        <v>45173</v>
      </c>
      <c r="Q533" s="4" t="s">
        <v>1948</v>
      </c>
      <c r="R533" s="5">
        <f>DATE(2022,6,28)</f>
        <v>44740</v>
      </c>
      <c r="S533" s="4" t="s">
        <v>1954</v>
      </c>
      <c r="T533" s="5">
        <f>DATE(2022,5,31)</f>
        <v>44712</v>
      </c>
      <c r="U533" s="4" t="s">
        <v>1955</v>
      </c>
      <c r="V533" s="5">
        <f>DATE(2022,5,13)</f>
        <v>44694</v>
      </c>
      <c r="W533" s="4" t="s">
        <v>1956</v>
      </c>
      <c r="X533" s="5">
        <f>DATE(2022,1,17)</f>
        <v>44578</v>
      </c>
      <c r="Y533" s="4" t="s">
        <v>1957</v>
      </c>
      <c r="Z533" s="5">
        <f>DATE(2021,7,26)</f>
        <v>44403</v>
      </c>
    </row>
    <row r="534" spans="1:28" ht="55.05" customHeight="1" x14ac:dyDescent="0.3">
      <c r="A534" s="4" t="s">
        <v>534</v>
      </c>
      <c r="B534" s="4" t="s">
        <v>145</v>
      </c>
      <c r="C534" s="4" t="s">
        <v>521</v>
      </c>
      <c r="D534" s="4" t="s">
        <v>20</v>
      </c>
      <c r="E534" s="4" t="s">
        <v>1940</v>
      </c>
      <c r="F534" s="4" t="s">
        <v>162</v>
      </c>
      <c r="G534" s="4" t="s">
        <v>1958</v>
      </c>
      <c r="H534" s="4" t="s">
        <v>24</v>
      </c>
      <c r="I534" s="4" t="s">
        <v>25</v>
      </c>
      <c r="K534" s="4" t="s">
        <v>26</v>
      </c>
      <c r="L534" s="4" t="s">
        <v>1959</v>
      </c>
      <c r="O534" s="4" t="s">
        <v>1960</v>
      </c>
      <c r="P534" s="5">
        <f>DATE(2023,9,7)</f>
        <v>45176</v>
      </c>
      <c r="Q534" s="4" t="s">
        <v>1948</v>
      </c>
      <c r="R534" s="5">
        <f>DATE(2022,6,28)</f>
        <v>44740</v>
      </c>
      <c r="S534" s="4" t="s">
        <v>1944</v>
      </c>
      <c r="T534" s="5">
        <f>DATE(2022,5,13)</f>
        <v>44694</v>
      </c>
      <c r="U534" s="4" t="s">
        <v>1961</v>
      </c>
      <c r="V534" s="5">
        <f>DATE(2021,8,12)</f>
        <v>44420</v>
      </c>
    </row>
    <row r="535" spans="1:28" ht="55.05" customHeight="1" x14ac:dyDescent="0.3">
      <c r="A535" s="4" t="s">
        <v>534</v>
      </c>
      <c r="B535" s="4" t="s">
        <v>145</v>
      </c>
      <c r="C535" s="4" t="s">
        <v>521</v>
      </c>
      <c r="D535" s="4" t="s">
        <v>20</v>
      </c>
      <c r="E535" s="4" t="s">
        <v>1940</v>
      </c>
      <c r="F535" s="4" t="s">
        <v>162</v>
      </c>
      <c r="G535" s="4" t="s">
        <v>1962</v>
      </c>
      <c r="H535" s="4" t="s">
        <v>24</v>
      </c>
      <c r="I535" s="4" t="s">
        <v>25</v>
      </c>
      <c r="K535" s="4" t="s">
        <v>26</v>
      </c>
      <c r="L535" s="4" t="s">
        <v>1963</v>
      </c>
      <c r="O535" s="4" t="s">
        <v>1948</v>
      </c>
      <c r="P535" s="5">
        <f>DATE(2022,6,28)</f>
        <v>44740</v>
      </c>
      <c r="Q535" s="4" t="s">
        <v>1944</v>
      </c>
      <c r="R535" s="5">
        <f>DATE(2022,5,13)</f>
        <v>44694</v>
      </c>
      <c r="S535" s="4" t="s">
        <v>1950</v>
      </c>
      <c r="T535" s="5">
        <f>DATE(2021,10,22)</f>
        <v>44491</v>
      </c>
    </row>
    <row r="536" spans="1:28" ht="55.05" customHeight="1" x14ac:dyDescent="0.3">
      <c r="A536" s="4" t="s">
        <v>534</v>
      </c>
      <c r="B536" s="4" t="s">
        <v>145</v>
      </c>
      <c r="C536" s="4" t="s">
        <v>521</v>
      </c>
      <c r="D536" s="4" t="s">
        <v>20</v>
      </c>
      <c r="E536" s="4" t="s">
        <v>1940</v>
      </c>
      <c r="F536" s="4" t="s">
        <v>162</v>
      </c>
      <c r="G536" s="4" t="s">
        <v>1964</v>
      </c>
      <c r="H536" s="4" t="s">
        <v>37</v>
      </c>
      <c r="I536" s="4" t="s">
        <v>25</v>
      </c>
      <c r="K536" s="4" t="s">
        <v>26</v>
      </c>
      <c r="L536" s="4" t="s">
        <v>1965</v>
      </c>
      <c r="O536" s="4" t="s">
        <v>1948</v>
      </c>
      <c r="P536" s="5">
        <f>DATE(2022,6,28)</f>
        <v>44740</v>
      </c>
      <c r="Q536" s="4" t="s">
        <v>1944</v>
      </c>
      <c r="R536" s="5">
        <f>DATE(2022,5,13)</f>
        <v>44694</v>
      </c>
      <c r="S536" s="4" t="s">
        <v>1956</v>
      </c>
      <c r="T536" s="5">
        <f>DATE(2022,1,17)</f>
        <v>44578</v>
      </c>
    </row>
    <row r="537" spans="1:28" ht="55.05" customHeight="1" x14ac:dyDescent="0.3">
      <c r="A537" s="4" t="s">
        <v>534</v>
      </c>
      <c r="B537" s="4" t="s">
        <v>145</v>
      </c>
      <c r="C537" s="4" t="s">
        <v>521</v>
      </c>
      <c r="D537" s="4" t="s">
        <v>20</v>
      </c>
      <c r="E537" s="4" t="s">
        <v>1940</v>
      </c>
      <c r="F537" s="4" t="s">
        <v>162</v>
      </c>
      <c r="G537" s="4" t="s">
        <v>1966</v>
      </c>
      <c r="H537" s="4" t="s">
        <v>24</v>
      </c>
      <c r="I537" s="4" t="s">
        <v>25</v>
      </c>
      <c r="K537" s="4" t="s">
        <v>26</v>
      </c>
      <c r="L537" s="4" t="s">
        <v>1967</v>
      </c>
      <c r="O537" s="4" t="s">
        <v>1968</v>
      </c>
      <c r="P537" s="5">
        <f>DATE(2023,9,8)</f>
        <v>45177</v>
      </c>
      <c r="Q537" s="4" t="s">
        <v>1969</v>
      </c>
      <c r="R537" s="5">
        <f>DATE(2023,2,21)</f>
        <v>44978</v>
      </c>
      <c r="S537" s="4" t="s">
        <v>1948</v>
      </c>
      <c r="T537" s="5">
        <f>DATE(2022,6,28)</f>
        <v>44740</v>
      </c>
      <c r="U537" s="4" t="s">
        <v>1944</v>
      </c>
      <c r="V537" s="5">
        <f>DATE(2022,5,13)</f>
        <v>44694</v>
      </c>
      <c r="W537" s="4" t="s">
        <v>1970</v>
      </c>
      <c r="X537" s="5">
        <f>DATE(2021,12,17)</f>
        <v>44547</v>
      </c>
    </row>
    <row r="538" spans="1:28" ht="55.05" customHeight="1" x14ac:dyDescent="0.3">
      <c r="A538" s="4" t="s">
        <v>534</v>
      </c>
      <c r="B538" s="4" t="s">
        <v>145</v>
      </c>
      <c r="C538" s="4" t="s">
        <v>521</v>
      </c>
      <c r="D538" s="4" t="s">
        <v>20</v>
      </c>
      <c r="E538" s="4" t="s">
        <v>1940</v>
      </c>
      <c r="F538" s="4" t="s">
        <v>162</v>
      </c>
      <c r="G538" s="4" t="s">
        <v>1971</v>
      </c>
      <c r="H538" s="4" t="s">
        <v>32</v>
      </c>
      <c r="I538" s="4" t="s">
        <v>1797</v>
      </c>
      <c r="J538" s="5">
        <f>DATE(2023,2,21)</f>
        <v>44978</v>
      </c>
      <c r="K538" s="4" t="s">
        <v>26</v>
      </c>
      <c r="L538" s="4" t="s">
        <v>1972</v>
      </c>
      <c r="O538" s="4" t="s">
        <v>1969</v>
      </c>
      <c r="P538" s="5">
        <f>DATE(2023,2,21)</f>
        <v>44978</v>
      </c>
      <c r="Q538" s="4" t="s">
        <v>1969</v>
      </c>
      <c r="R538" s="5">
        <f>DATE(2023,2,21)</f>
        <v>44978</v>
      </c>
      <c r="S538" s="4" t="s">
        <v>1969</v>
      </c>
      <c r="T538" s="5">
        <f>DATE(2023,2,21)</f>
        <v>44978</v>
      </c>
      <c r="U538" s="4" t="s">
        <v>1969</v>
      </c>
      <c r="V538" s="5">
        <f>DATE(2023,2,21)</f>
        <v>44978</v>
      </c>
      <c r="W538" s="4" t="s">
        <v>1948</v>
      </c>
      <c r="X538" s="5">
        <f>DATE(2022,6,28)</f>
        <v>44740</v>
      </c>
      <c r="Y538" s="4" t="s">
        <v>1944</v>
      </c>
      <c r="Z538" s="5">
        <f>DATE(2022,5,13)</f>
        <v>44694</v>
      </c>
      <c r="AA538" s="4" t="s">
        <v>1970</v>
      </c>
      <c r="AB538" s="5">
        <f>DATE(2021,12,17)</f>
        <v>44547</v>
      </c>
    </row>
    <row r="539" spans="1:28" ht="55.05" customHeight="1" x14ac:dyDescent="0.3">
      <c r="A539" s="4" t="s">
        <v>534</v>
      </c>
      <c r="B539" s="4" t="s">
        <v>145</v>
      </c>
      <c r="C539" s="4" t="s">
        <v>521</v>
      </c>
      <c r="D539" s="4" t="s">
        <v>20</v>
      </c>
      <c r="E539" s="4" t="s">
        <v>1940</v>
      </c>
      <c r="F539" s="4" t="s">
        <v>162</v>
      </c>
      <c r="G539" s="4" t="s">
        <v>1973</v>
      </c>
      <c r="H539" s="4" t="s">
        <v>24</v>
      </c>
      <c r="I539" s="4" t="s">
        <v>25</v>
      </c>
      <c r="K539" s="4" t="s">
        <v>26</v>
      </c>
      <c r="L539" s="4" t="s">
        <v>1974</v>
      </c>
      <c r="O539" s="4" t="s">
        <v>1975</v>
      </c>
      <c r="P539" s="5">
        <f>DATE(2023,6,19)</f>
        <v>45096</v>
      </c>
      <c r="Q539" s="4" t="s">
        <v>1948</v>
      </c>
      <c r="R539" s="5">
        <f>DATE(2022,6,28)</f>
        <v>44740</v>
      </c>
      <c r="S539" s="4" t="s">
        <v>1944</v>
      </c>
      <c r="T539" s="5">
        <f>DATE(2022,5,13)</f>
        <v>44694</v>
      </c>
      <c r="U539" s="4" t="s">
        <v>1976</v>
      </c>
      <c r="V539" s="5">
        <f>DATE(2020,12,14)</f>
        <v>44179</v>
      </c>
    </row>
    <row r="540" spans="1:28" ht="55.05" customHeight="1" x14ac:dyDescent="0.3">
      <c r="A540" s="4" t="s">
        <v>534</v>
      </c>
      <c r="B540" s="4" t="s">
        <v>145</v>
      </c>
      <c r="C540" s="4" t="s">
        <v>521</v>
      </c>
      <c r="D540" s="4" t="s">
        <v>20</v>
      </c>
      <c r="E540" s="4" t="s">
        <v>1977</v>
      </c>
      <c r="F540" s="4" t="s">
        <v>84</v>
      </c>
      <c r="G540" s="4" t="s">
        <v>1978</v>
      </c>
      <c r="H540" s="4" t="s">
        <v>24</v>
      </c>
      <c r="I540" s="4" t="s">
        <v>25</v>
      </c>
      <c r="K540" s="4" t="s">
        <v>26</v>
      </c>
      <c r="L540" s="4" t="s">
        <v>1979</v>
      </c>
      <c r="O540" s="4" t="s">
        <v>1980</v>
      </c>
      <c r="P540" s="5">
        <f>DATE(2022,9,20)</f>
        <v>44824</v>
      </c>
      <c r="Q540" s="4" t="s">
        <v>1981</v>
      </c>
      <c r="R540" s="5">
        <f>DATE(2022,4,25)</f>
        <v>44676</v>
      </c>
      <c r="S540" s="4" t="s">
        <v>1860</v>
      </c>
      <c r="T540" s="5">
        <f>DATE(2021,10,21)</f>
        <v>44490</v>
      </c>
    </row>
    <row r="541" spans="1:28" ht="55.05" customHeight="1" x14ac:dyDescent="0.3">
      <c r="A541" s="4" t="s">
        <v>534</v>
      </c>
      <c r="B541" s="4" t="s">
        <v>145</v>
      </c>
      <c r="C541" s="4" t="s">
        <v>521</v>
      </c>
      <c r="D541" s="4" t="s">
        <v>20</v>
      </c>
      <c r="E541" s="4" t="s">
        <v>1977</v>
      </c>
      <c r="F541" s="4" t="s">
        <v>84</v>
      </c>
      <c r="G541" s="4" t="s">
        <v>1982</v>
      </c>
      <c r="H541" s="4" t="s">
        <v>24</v>
      </c>
      <c r="I541" s="4" t="s">
        <v>25</v>
      </c>
      <c r="K541" s="4" t="s">
        <v>26</v>
      </c>
      <c r="L541" s="4" t="s">
        <v>1983</v>
      </c>
      <c r="O541" s="4" t="s">
        <v>1981</v>
      </c>
      <c r="P541" s="5">
        <f>DATE(2022,4,25)</f>
        <v>44676</v>
      </c>
      <c r="Q541" s="4" t="s">
        <v>1984</v>
      </c>
      <c r="R541" s="5">
        <f>DATE(2021,7,22)</f>
        <v>44399</v>
      </c>
    </row>
    <row r="542" spans="1:28" ht="55.05" customHeight="1" x14ac:dyDescent="0.3">
      <c r="A542" s="4" t="s">
        <v>534</v>
      </c>
      <c r="B542" s="4" t="s">
        <v>145</v>
      </c>
      <c r="C542" s="4" t="s">
        <v>521</v>
      </c>
      <c r="D542" s="4" t="s">
        <v>20</v>
      </c>
      <c r="E542" s="4" t="s">
        <v>522</v>
      </c>
      <c r="F542" s="4" t="s">
        <v>84</v>
      </c>
      <c r="G542" s="4" t="s">
        <v>1985</v>
      </c>
      <c r="H542" s="4" t="s">
        <v>24</v>
      </c>
      <c r="I542" s="4" t="s">
        <v>25</v>
      </c>
      <c r="K542" s="4" t="s">
        <v>26</v>
      </c>
      <c r="L542" s="4" t="s">
        <v>1986</v>
      </c>
      <c r="O542" s="4" t="s">
        <v>1987</v>
      </c>
      <c r="P542" s="5">
        <f>DATE(2023,8,28)</f>
        <v>45166</v>
      </c>
      <c r="Q542" s="4" t="s">
        <v>1988</v>
      </c>
      <c r="R542" s="5">
        <f>DATE(2023,8,10)</f>
        <v>45148</v>
      </c>
      <c r="S542" s="4" t="s">
        <v>1989</v>
      </c>
      <c r="T542" s="5">
        <f>DATE(2023,7,4)</f>
        <v>45111</v>
      </c>
      <c r="U542" s="4" t="s">
        <v>1990</v>
      </c>
      <c r="V542" s="5">
        <f>DATE(2023,1,20)</f>
        <v>44946</v>
      </c>
      <c r="W542" s="4" t="s">
        <v>1991</v>
      </c>
      <c r="X542" s="5">
        <f>DATE(2023,1,17)</f>
        <v>44943</v>
      </c>
      <c r="Y542" s="4" t="s">
        <v>1992</v>
      </c>
      <c r="Z542" s="5">
        <f>DATE(2023,1,12)</f>
        <v>44938</v>
      </c>
      <c r="AA542" s="4" t="s">
        <v>1993</v>
      </c>
      <c r="AB542" s="5">
        <f>DATE(2021,12,3)</f>
        <v>44533</v>
      </c>
    </row>
    <row r="543" spans="1:28" ht="55.05" customHeight="1" x14ac:dyDescent="0.3">
      <c r="A543" s="4" t="s">
        <v>534</v>
      </c>
      <c r="B543" s="4" t="s">
        <v>145</v>
      </c>
      <c r="C543" s="4" t="s">
        <v>521</v>
      </c>
      <c r="D543" s="4" t="s">
        <v>20</v>
      </c>
      <c r="E543" s="4" t="s">
        <v>522</v>
      </c>
      <c r="F543" s="4" t="s">
        <v>84</v>
      </c>
      <c r="G543" s="4" t="s">
        <v>1994</v>
      </c>
      <c r="H543" s="4" t="s">
        <v>24</v>
      </c>
      <c r="I543" s="4" t="s">
        <v>25</v>
      </c>
      <c r="K543" s="4" t="s">
        <v>26</v>
      </c>
      <c r="L543" s="4" t="s">
        <v>1995</v>
      </c>
      <c r="O543" s="4" t="s">
        <v>1996</v>
      </c>
      <c r="P543" s="5">
        <f>DATE(2023,6,9)</f>
        <v>45086</v>
      </c>
      <c r="Q543" s="4" t="s">
        <v>1997</v>
      </c>
      <c r="R543" s="5">
        <f>DATE(2020,6,18)</f>
        <v>44000</v>
      </c>
    </row>
    <row r="544" spans="1:28" ht="55.05" customHeight="1" x14ac:dyDescent="0.3">
      <c r="A544" s="4" t="s">
        <v>534</v>
      </c>
      <c r="B544" s="4" t="s">
        <v>145</v>
      </c>
      <c r="C544" s="4" t="s">
        <v>521</v>
      </c>
      <c r="D544" s="4" t="s">
        <v>20</v>
      </c>
      <c r="E544" s="4" t="s">
        <v>1998</v>
      </c>
      <c r="F544" s="4" t="s">
        <v>84</v>
      </c>
      <c r="G544" s="4" t="s">
        <v>1999</v>
      </c>
      <c r="H544" s="4" t="s">
        <v>24</v>
      </c>
      <c r="I544" s="4" t="s">
        <v>25</v>
      </c>
      <c r="K544" s="4" t="s">
        <v>26</v>
      </c>
      <c r="L544" s="4" t="s">
        <v>2000</v>
      </c>
      <c r="O544" s="4" t="s">
        <v>2001</v>
      </c>
      <c r="P544" s="5">
        <f>DATE(2023,8,23)</f>
        <v>45161</v>
      </c>
      <c r="Q544" s="4" t="s">
        <v>2002</v>
      </c>
      <c r="R544" s="5">
        <f>DATE(2023,7,3)</f>
        <v>45110</v>
      </c>
      <c r="S544" s="4" t="s">
        <v>2003</v>
      </c>
      <c r="T544" s="5">
        <f>DATE(2022,5,30)</f>
        <v>44711</v>
      </c>
      <c r="U544" s="4" t="s">
        <v>2004</v>
      </c>
      <c r="V544" s="5">
        <f>DATE(2022,3,23)</f>
        <v>44643</v>
      </c>
      <c r="W544" s="4" t="s">
        <v>125</v>
      </c>
      <c r="X544" s="5">
        <f>DATE(2020,7,21)</f>
        <v>44033</v>
      </c>
    </row>
    <row r="545" spans="1:22" ht="55.05" customHeight="1" x14ac:dyDescent="0.3">
      <c r="A545" s="4" t="s">
        <v>534</v>
      </c>
      <c r="B545" s="4" t="s">
        <v>145</v>
      </c>
      <c r="C545" s="4" t="s">
        <v>521</v>
      </c>
      <c r="D545" s="4" t="s">
        <v>20</v>
      </c>
      <c r="E545" s="4" t="s">
        <v>1998</v>
      </c>
      <c r="F545" s="4" t="s">
        <v>84</v>
      </c>
      <c r="G545" s="4" t="s">
        <v>2005</v>
      </c>
      <c r="H545" s="4" t="s">
        <v>24</v>
      </c>
      <c r="I545" s="4" t="s">
        <v>25</v>
      </c>
      <c r="K545" s="4" t="s">
        <v>26</v>
      </c>
      <c r="L545" s="4" t="s">
        <v>2006</v>
      </c>
      <c r="O545" s="4" t="s">
        <v>2003</v>
      </c>
      <c r="P545" s="5">
        <f>DATE(2022,5,30)</f>
        <v>44711</v>
      </c>
      <c r="Q545" s="4" t="s">
        <v>2004</v>
      </c>
      <c r="R545" s="5">
        <f>DATE(2022,3,23)</f>
        <v>44643</v>
      </c>
      <c r="S545" s="4" t="s">
        <v>125</v>
      </c>
      <c r="T545" s="5">
        <f>DATE(2020,7,21)</f>
        <v>44033</v>
      </c>
    </row>
    <row r="546" spans="1:22" ht="55.05" customHeight="1" x14ac:dyDescent="0.3">
      <c r="A546" s="4" t="s">
        <v>534</v>
      </c>
      <c r="B546" s="4" t="s">
        <v>145</v>
      </c>
      <c r="C546" s="4" t="s">
        <v>165</v>
      </c>
      <c r="D546" s="4" t="s">
        <v>20</v>
      </c>
      <c r="E546" s="4" t="s">
        <v>531</v>
      </c>
      <c r="F546" s="4" t="s">
        <v>122</v>
      </c>
      <c r="G546" s="4" t="s">
        <v>2007</v>
      </c>
      <c r="H546" s="4" t="s">
        <v>24</v>
      </c>
      <c r="I546" s="4" t="s">
        <v>25</v>
      </c>
      <c r="K546" s="4" t="s">
        <v>26</v>
      </c>
      <c r="L546" s="4" t="s">
        <v>2008</v>
      </c>
      <c r="O546" s="4" t="s">
        <v>136</v>
      </c>
      <c r="P546" s="5">
        <f>DATE(2022,6,28)</f>
        <v>44740</v>
      </c>
      <c r="Q546" s="4" t="s">
        <v>125</v>
      </c>
      <c r="R546" s="5">
        <f>DATE(2020,7,21)</f>
        <v>44033</v>
      </c>
    </row>
    <row r="547" spans="1:22" ht="55.05" customHeight="1" x14ac:dyDescent="0.3">
      <c r="A547" s="4" t="s">
        <v>534</v>
      </c>
      <c r="B547" s="4" t="s">
        <v>145</v>
      </c>
      <c r="C547" s="4" t="s">
        <v>165</v>
      </c>
      <c r="D547" s="4" t="s">
        <v>20</v>
      </c>
      <c r="E547" s="4" t="s">
        <v>531</v>
      </c>
      <c r="F547" s="4" t="s">
        <v>122</v>
      </c>
      <c r="G547" s="4" t="s">
        <v>2009</v>
      </c>
      <c r="H547" s="4" t="s">
        <v>24</v>
      </c>
      <c r="I547" s="4" t="s">
        <v>25</v>
      </c>
      <c r="K547" s="4" t="s">
        <v>26</v>
      </c>
      <c r="L547" s="4" t="s">
        <v>2010</v>
      </c>
      <c r="O547" s="4" t="s">
        <v>2011</v>
      </c>
      <c r="P547" s="5">
        <f>DATE(2023,3,17)</f>
        <v>45002</v>
      </c>
      <c r="Q547" s="4" t="s">
        <v>136</v>
      </c>
      <c r="R547" s="5">
        <f>DATE(2022,6,28)</f>
        <v>44740</v>
      </c>
      <c r="S547" s="4" t="s">
        <v>2012</v>
      </c>
      <c r="T547" s="5">
        <f>DATE(2022,6,16)</f>
        <v>44728</v>
      </c>
      <c r="U547" s="4" t="s">
        <v>125</v>
      </c>
      <c r="V547" s="5">
        <f>DATE(2020,7,21)</f>
        <v>44033</v>
      </c>
    </row>
    <row r="548" spans="1:22" ht="55.05" customHeight="1" x14ac:dyDescent="0.3">
      <c r="A548" s="4" t="s">
        <v>534</v>
      </c>
      <c r="B548" s="4" t="s">
        <v>145</v>
      </c>
      <c r="C548" s="4" t="s">
        <v>165</v>
      </c>
      <c r="D548" s="4" t="s">
        <v>20</v>
      </c>
      <c r="E548" s="4" t="s">
        <v>166</v>
      </c>
      <c r="F548" s="4" t="s">
        <v>122</v>
      </c>
      <c r="G548" s="4" t="s">
        <v>2013</v>
      </c>
      <c r="H548" s="4" t="s">
        <v>24</v>
      </c>
      <c r="I548" s="4" t="s">
        <v>25</v>
      </c>
      <c r="K548" s="4" t="s">
        <v>26</v>
      </c>
      <c r="L548" s="4" t="s">
        <v>2014</v>
      </c>
      <c r="M548" s="4" t="s">
        <v>169</v>
      </c>
      <c r="N548" s="5">
        <f t="shared" ref="N548:N562" si="5">DATE(2022,3,24)</f>
        <v>44644</v>
      </c>
      <c r="O548" s="4" t="s">
        <v>136</v>
      </c>
      <c r="P548" s="5">
        <f>DATE(2022,6,28)</f>
        <v>44740</v>
      </c>
      <c r="Q548" s="4" t="s">
        <v>125</v>
      </c>
      <c r="R548" s="5">
        <f>DATE(2020,7,21)</f>
        <v>44033</v>
      </c>
    </row>
    <row r="549" spans="1:22" ht="55.05" customHeight="1" x14ac:dyDescent="0.3">
      <c r="A549" s="4" t="s">
        <v>534</v>
      </c>
      <c r="B549" s="4" t="s">
        <v>145</v>
      </c>
      <c r="C549" s="4" t="s">
        <v>165</v>
      </c>
      <c r="D549" s="4" t="s">
        <v>20</v>
      </c>
      <c r="E549" s="4" t="s">
        <v>166</v>
      </c>
      <c r="F549" s="4" t="s">
        <v>122</v>
      </c>
      <c r="G549" s="4" t="s">
        <v>2015</v>
      </c>
      <c r="H549" s="4" t="s">
        <v>24</v>
      </c>
      <c r="I549" s="4" t="s">
        <v>25</v>
      </c>
      <c r="K549" s="4" t="s">
        <v>26</v>
      </c>
      <c r="L549" s="4" t="s">
        <v>2016</v>
      </c>
      <c r="M549" s="4" t="s">
        <v>169</v>
      </c>
      <c r="N549" s="5">
        <f t="shared" si="5"/>
        <v>44644</v>
      </c>
      <c r="O549" s="4" t="s">
        <v>136</v>
      </c>
      <c r="P549" s="5">
        <f>DATE(2022,6,28)</f>
        <v>44740</v>
      </c>
      <c r="Q549" s="4" t="s">
        <v>125</v>
      </c>
      <c r="R549" s="5">
        <f>DATE(2020,7,21)</f>
        <v>44033</v>
      </c>
    </row>
    <row r="550" spans="1:22" ht="55.05" customHeight="1" x14ac:dyDescent="0.3">
      <c r="A550" s="4" t="s">
        <v>534</v>
      </c>
      <c r="B550" s="4" t="s">
        <v>145</v>
      </c>
      <c r="C550" s="4" t="s">
        <v>165</v>
      </c>
      <c r="D550" s="4" t="s">
        <v>20</v>
      </c>
      <c r="E550" s="4" t="s">
        <v>166</v>
      </c>
      <c r="F550" s="4" t="s">
        <v>122</v>
      </c>
      <c r="G550" s="4" t="s">
        <v>2017</v>
      </c>
      <c r="H550" s="4" t="s">
        <v>24</v>
      </c>
      <c r="I550" s="4" t="s">
        <v>25</v>
      </c>
      <c r="K550" s="4" t="s">
        <v>26</v>
      </c>
      <c r="L550" s="4" t="s">
        <v>2018</v>
      </c>
      <c r="M550" s="4" t="s">
        <v>169</v>
      </c>
      <c r="N550" s="5">
        <f t="shared" si="5"/>
        <v>44644</v>
      </c>
      <c r="O550" s="4" t="s">
        <v>2019</v>
      </c>
      <c r="P550" s="5">
        <f>DATE(2020,6,30)</f>
        <v>44012</v>
      </c>
    </row>
    <row r="551" spans="1:22" ht="55.05" customHeight="1" x14ac:dyDescent="0.3">
      <c r="A551" s="4" t="s">
        <v>534</v>
      </c>
      <c r="B551" s="4" t="s">
        <v>145</v>
      </c>
      <c r="C551" s="4" t="s">
        <v>165</v>
      </c>
      <c r="D551" s="4" t="s">
        <v>20</v>
      </c>
      <c r="E551" s="4" t="s">
        <v>166</v>
      </c>
      <c r="F551" s="4" t="s">
        <v>122</v>
      </c>
      <c r="G551" s="4" t="s">
        <v>2020</v>
      </c>
      <c r="H551" s="4" t="s">
        <v>24</v>
      </c>
      <c r="I551" s="4" t="s">
        <v>25</v>
      </c>
      <c r="K551" s="4" t="s">
        <v>26</v>
      </c>
      <c r="L551" s="4" t="s">
        <v>2021</v>
      </c>
      <c r="M551" s="4" t="s">
        <v>169</v>
      </c>
      <c r="N551" s="5">
        <f t="shared" si="5"/>
        <v>44644</v>
      </c>
      <c r="O551" s="4" t="s">
        <v>758</v>
      </c>
      <c r="P551" s="5">
        <f>DATE(2021,10,21)</f>
        <v>44490</v>
      </c>
      <c r="Q551" s="4" t="s">
        <v>125</v>
      </c>
      <c r="R551" s="5">
        <f>DATE(2020,7,21)</f>
        <v>44033</v>
      </c>
    </row>
    <row r="552" spans="1:22" ht="55.05" customHeight="1" x14ac:dyDescent="0.3">
      <c r="A552" s="4" t="s">
        <v>534</v>
      </c>
      <c r="B552" s="4" t="s">
        <v>145</v>
      </c>
      <c r="C552" s="4" t="s">
        <v>165</v>
      </c>
      <c r="D552" s="4" t="s">
        <v>20</v>
      </c>
      <c r="E552" s="4" t="s">
        <v>166</v>
      </c>
      <c r="F552" s="4" t="s">
        <v>122</v>
      </c>
      <c r="G552" s="4" t="s">
        <v>2022</v>
      </c>
      <c r="H552" s="4" t="s">
        <v>24</v>
      </c>
      <c r="I552" s="4" t="s">
        <v>25</v>
      </c>
      <c r="K552" s="4" t="s">
        <v>26</v>
      </c>
      <c r="L552" s="4" t="s">
        <v>2023</v>
      </c>
      <c r="M552" s="4" t="s">
        <v>169</v>
      </c>
      <c r="N552" s="5">
        <f t="shared" si="5"/>
        <v>44644</v>
      </c>
      <c r="O552" s="4" t="s">
        <v>136</v>
      </c>
      <c r="P552" s="5">
        <f>DATE(2022,6,28)</f>
        <v>44740</v>
      </c>
      <c r="Q552" s="4" t="s">
        <v>125</v>
      </c>
      <c r="R552" s="5">
        <f>DATE(2020,7,21)</f>
        <v>44033</v>
      </c>
    </row>
    <row r="553" spans="1:22" ht="55.05" customHeight="1" x14ac:dyDescent="0.3">
      <c r="A553" s="4" t="s">
        <v>534</v>
      </c>
      <c r="B553" s="4" t="s">
        <v>145</v>
      </c>
      <c r="C553" s="4" t="s">
        <v>165</v>
      </c>
      <c r="D553" s="4" t="s">
        <v>20</v>
      </c>
      <c r="E553" s="4" t="s">
        <v>166</v>
      </c>
      <c r="F553" s="4" t="s">
        <v>122</v>
      </c>
      <c r="G553" s="4" t="s">
        <v>2024</v>
      </c>
      <c r="H553" s="4" t="s">
        <v>24</v>
      </c>
      <c r="I553" s="4" t="s">
        <v>25</v>
      </c>
      <c r="K553" s="4" t="s">
        <v>26</v>
      </c>
      <c r="L553" s="4" t="s">
        <v>2025</v>
      </c>
      <c r="M553" s="4" t="s">
        <v>169</v>
      </c>
      <c r="N553" s="5">
        <f t="shared" si="5"/>
        <v>44644</v>
      </c>
      <c r="O553" s="4" t="s">
        <v>136</v>
      </c>
      <c r="P553" s="5">
        <f>DATE(2022,6,28)</f>
        <v>44740</v>
      </c>
      <c r="Q553" s="4" t="s">
        <v>125</v>
      </c>
      <c r="R553" s="5">
        <f>DATE(2020,7,21)</f>
        <v>44033</v>
      </c>
    </row>
    <row r="554" spans="1:22" ht="55.05" customHeight="1" x14ac:dyDescent="0.3">
      <c r="A554" s="4" t="s">
        <v>534</v>
      </c>
      <c r="B554" s="4" t="s">
        <v>145</v>
      </c>
      <c r="C554" s="4" t="s">
        <v>165</v>
      </c>
      <c r="D554" s="4" t="s">
        <v>20</v>
      </c>
      <c r="E554" s="4" t="s">
        <v>166</v>
      </c>
      <c r="F554" s="4" t="s">
        <v>122</v>
      </c>
      <c r="G554" s="4" t="s">
        <v>2026</v>
      </c>
      <c r="H554" s="4" t="s">
        <v>24</v>
      </c>
      <c r="I554" s="4" t="s">
        <v>25</v>
      </c>
      <c r="K554" s="4" t="s">
        <v>26</v>
      </c>
      <c r="L554" s="4" t="s">
        <v>2027</v>
      </c>
      <c r="M554" s="4" t="s">
        <v>169</v>
      </c>
      <c r="N554" s="5">
        <f t="shared" si="5"/>
        <v>44644</v>
      </c>
      <c r="O554" s="4" t="s">
        <v>758</v>
      </c>
      <c r="P554" s="5">
        <f>DATE(2021,10,21)</f>
        <v>44490</v>
      </c>
      <c r="Q554" s="4" t="s">
        <v>2019</v>
      </c>
      <c r="R554" s="5">
        <f>DATE(2020,6,30)</f>
        <v>44012</v>
      </c>
    </row>
    <row r="555" spans="1:22" ht="55.05" customHeight="1" x14ac:dyDescent="0.3">
      <c r="A555" s="4" t="s">
        <v>534</v>
      </c>
      <c r="B555" s="4" t="s">
        <v>145</v>
      </c>
      <c r="C555" s="4" t="s">
        <v>165</v>
      </c>
      <c r="D555" s="4" t="s">
        <v>20</v>
      </c>
      <c r="E555" s="4" t="s">
        <v>166</v>
      </c>
      <c r="F555" s="4" t="s">
        <v>122</v>
      </c>
      <c r="G555" s="4" t="s">
        <v>2028</v>
      </c>
      <c r="H555" s="4" t="s">
        <v>24</v>
      </c>
      <c r="I555" s="4" t="s">
        <v>25</v>
      </c>
      <c r="K555" s="4" t="s">
        <v>26</v>
      </c>
      <c r="L555" s="4" t="s">
        <v>2029</v>
      </c>
      <c r="M555" s="4" t="s">
        <v>169</v>
      </c>
      <c r="N555" s="5">
        <f t="shared" si="5"/>
        <v>44644</v>
      </c>
      <c r="O555" s="4" t="s">
        <v>136</v>
      </c>
      <c r="P555" s="5">
        <f>DATE(2022,6,28)</f>
        <v>44740</v>
      </c>
      <c r="Q555" s="4" t="s">
        <v>758</v>
      </c>
      <c r="R555" s="5">
        <f>DATE(2021,10,21)</f>
        <v>44490</v>
      </c>
      <c r="S555" s="4" t="s">
        <v>2030</v>
      </c>
      <c r="T555" s="5">
        <f>DATE(2020,6,30)</f>
        <v>44012</v>
      </c>
    </row>
    <row r="556" spans="1:22" ht="55.05" customHeight="1" x14ac:dyDescent="0.3">
      <c r="A556" s="4" t="s">
        <v>534</v>
      </c>
      <c r="B556" s="4" t="s">
        <v>145</v>
      </c>
      <c r="C556" s="4" t="s">
        <v>165</v>
      </c>
      <c r="D556" s="4" t="s">
        <v>20</v>
      </c>
      <c r="E556" s="4" t="s">
        <v>166</v>
      </c>
      <c r="F556" s="4" t="s">
        <v>122</v>
      </c>
      <c r="G556" s="4" t="s">
        <v>2031</v>
      </c>
      <c r="H556" s="4" t="s">
        <v>24</v>
      </c>
      <c r="I556" s="4" t="s">
        <v>25</v>
      </c>
      <c r="K556" s="4" t="s">
        <v>26</v>
      </c>
      <c r="L556" s="4" t="s">
        <v>2032</v>
      </c>
      <c r="M556" s="4" t="s">
        <v>169</v>
      </c>
      <c r="N556" s="5">
        <f t="shared" si="5"/>
        <v>44644</v>
      </c>
      <c r="O556" s="4" t="s">
        <v>136</v>
      </c>
      <c r="P556" s="5">
        <f>DATE(2022,6,28)</f>
        <v>44740</v>
      </c>
      <c r="Q556" s="4" t="s">
        <v>2033</v>
      </c>
      <c r="R556" s="5">
        <f>DATE(2021,12,30)</f>
        <v>44560</v>
      </c>
      <c r="S556" s="4" t="s">
        <v>125</v>
      </c>
      <c r="T556" s="5">
        <f>DATE(2020,7,21)</f>
        <v>44033</v>
      </c>
    </row>
    <row r="557" spans="1:22" ht="55.05" customHeight="1" x14ac:dyDescent="0.3">
      <c r="A557" s="4" t="s">
        <v>534</v>
      </c>
      <c r="B557" s="4" t="s">
        <v>145</v>
      </c>
      <c r="C557" s="4" t="s">
        <v>165</v>
      </c>
      <c r="D557" s="4" t="s">
        <v>20</v>
      </c>
      <c r="E557" s="4" t="s">
        <v>166</v>
      </c>
      <c r="F557" s="4" t="s">
        <v>122</v>
      </c>
      <c r="G557" s="4" t="s">
        <v>2034</v>
      </c>
      <c r="H557" s="4" t="s">
        <v>24</v>
      </c>
      <c r="I557" s="4" t="s">
        <v>25</v>
      </c>
      <c r="K557" s="4" t="s">
        <v>26</v>
      </c>
      <c r="L557" s="4" t="s">
        <v>2035</v>
      </c>
      <c r="M557" s="4" t="s">
        <v>169</v>
      </c>
      <c r="N557" s="5">
        <f t="shared" si="5"/>
        <v>44644</v>
      </c>
      <c r="O557" s="4" t="s">
        <v>136</v>
      </c>
      <c r="P557" s="5">
        <f>DATE(2022,6,28)</f>
        <v>44740</v>
      </c>
      <c r="Q557" s="4" t="s">
        <v>125</v>
      </c>
      <c r="R557" s="5">
        <f>DATE(2020,7,21)</f>
        <v>44033</v>
      </c>
    </row>
    <row r="558" spans="1:22" ht="55.05" customHeight="1" x14ac:dyDescent="0.3">
      <c r="A558" s="4" t="s">
        <v>534</v>
      </c>
      <c r="B558" s="4" t="s">
        <v>145</v>
      </c>
      <c r="C558" s="4" t="s">
        <v>165</v>
      </c>
      <c r="D558" s="4" t="s">
        <v>20</v>
      </c>
      <c r="E558" s="4" t="s">
        <v>166</v>
      </c>
      <c r="F558" s="4" t="s">
        <v>122</v>
      </c>
      <c r="G558" s="4" t="s">
        <v>2036</v>
      </c>
      <c r="H558" s="4" t="s">
        <v>24</v>
      </c>
      <c r="I558" s="4" t="s">
        <v>25</v>
      </c>
      <c r="K558" s="4" t="s">
        <v>26</v>
      </c>
      <c r="L558" s="4" t="s">
        <v>2037</v>
      </c>
      <c r="M558" s="4" t="s">
        <v>169</v>
      </c>
      <c r="N558" s="5">
        <f t="shared" si="5"/>
        <v>44644</v>
      </c>
      <c r="O558" s="4" t="s">
        <v>2019</v>
      </c>
      <c r="P558" s="5">
        <f>DATE(2020,6,30)</f>
        <v>44012</v>
      </c>
    </row>
    <row r="559" spans="1:22" ht="55.05" customHeight="1" x14ac:dyDescent="0.3">
      <c r="A559" s="4" t="s">
        <v>534</v>
      </c>
      <c r="B559" s="4" t="s">
        <v>145</v>
      </c>
      <c r="C559" s="4" t="s">
        <v>165</v>
      </c>
      <c r="D559" s="4" t="s">
        <v>20</v>
      </c>
      <c r="E559" s="4" t="s">
        <v>166</v>
      </c>
      <c r="F559" s="4" t="s">
        <v>122</v>
      </c>
      <c r="G559" s="4" t="s">
        <v>2038</v>
      </c>
      <c r="H559" s="4" t="s">
        <v>24</v>
      </c>
      <c r="I559" s="4" t="s">
        <v>25</v>
      </c>
      <c r="K559" s="4" t="s">
        <v>26</v>
      </c>
      <c r="L559" s="4" t="s">
        <v>2039</v>
      </c>
      <c r="M559" s="4" t="s">
        <v>169</v>
      </c>
      <c r="N559" s="5">
        <f t="shared" si="5"/>
        <v>44644</v>
      </c>
      <c r="O559" s="4" t="s">
        <v>2019</v>
      </c>
      <c r="P559" s="5">
        <f>DATE(2020,6,30)</f>
        <v>44012</v>
      </c>
    </row>
    <row r="560" spans="1:22" ht="55.05" customHeight="1" x14ac:dyDescent="0.3">
      <c r="A560" s="4" t="s">
        <v>534</v>
      </c>
      <c r="B560" s="4" t="s">
        <v>145</v>
      </c>
      <c r="C560" s="4" t="s">
        <v>165</v>
      </c>
      <c r="D560" s="4" t="s">
        <v>20</v>
      </c>
      <c r="E560" s="4" t="s">
        <v>166</v>
      </c>
      <c r="F560" s="4" t="s">
        <v>122</v>
      </c>
      <c r="G560" s="4" t="s">
        <v>2040</v>
      </c>
      <c r="H560" s="4" t="s">
        <v>24</v>
      </c>
      <c r="I560" s="4" t="s">
        <v>25</v>
      </c>
      <c r="K560" s="4" t="s">
        <v>26</v>
      </c>
      <c r="L560" s="4" t="s">
        <v>2041</v>
      </c>
      <c r="M560" s="4" t="s">
        <v>169</v>
      </c>
      <c r="N560" s="5">
        <f t="shared" si="5"/>
        <v>44644</v>
      </c>
      <c r="O560" s="4" t="s">
        <v>136</v>
      </c>
      <c r="P560" s="5">
        <f>DATE(2022,6,28)</f>
        <v>44740</v>
      </c>
      <c r="Q560" s="4" t="s">
        <v>2033</v>
      </c>
      <c r="R560" s="5">
        <f>DATE(2021,12,30)</f>
        <v>44560</v>
      </c>
      <c r="S560" s="4" t="s">
        <v>125</v>
      </c>
      <c r="T560" s="5">
        <f>DATE(2020,7,21)</f>
        <v>44033</v>
      </c>
    </row>
    <row r="561" spans="1:28" ht="55.05" customHeight="1" x14ac:dyDescent="0.3">
      <c r="A561" s="4" t="s">
        <v>534</v>
      </c>
      <c r="B561" s="4" t="s">
        <v>145</v>
      </c>
      <c r="C561" s="4" t="s">
        <v>165</v>
      </c>
      <c r="D561" s="4" t="s">
        <v>20</v>
      </c>
      <c r="E561" s="4" t="s">
        <v>166</v>
      </c>
      <c r="F561" s="4" t="s">
        <v>122</v>
      </c>
      <c r="G561" s="4" t="s">
        <v>2042</v>
      </c>
      <c r="H561" s="4" t="s">
        <v>24</v>
      </c>
      <c r="I561" s="4" t="s">
        <v>25</v>
      </c>
      <c r="K561" s="4" t="s">
        <v>26</v>
      </c>
      <c r="L561" s="4" t="s">
        <v>2043</v>
      </c>
      <c r="M561" s="4" t="s">
        <v>169</v>
      </c>
      <c r="N561" s="5">
        <f t="shared" si="5"/>
        <v>44644</v>
      </c>
      <c r="O561" s="4" t="s">
        <v>136</v>
      </c>
      <c r="P561" s="5">
        <f>DATE(2022,6,28)</f>
        <v>44740</v>
      </c>
      <c r="Q561" s="4" t="s">
        <v>125</v>
      </c>
      <c r="R561" s="5">
        <f>DATE(2020,7,21)</f>
        <v>44033</v>
      </c>
    </row>
    <row r="562" spans="1:28" ht="55.05" customHeight="1" x14ac:dyDescent="0.3">
      <c r="A562" s="4" t="s">
        <v>534</v>
      </c>
      <c r="B562" s="4" t="s">
        <v>145</v>
      </c>
      <c r="C562" s="4" t="s">
        <v>165</v>
      </c>
      <c r="D562" s="4" t="s">
        <v>20</v>
      </c>
      <c r="E562" s="4" t="s">
        <v>166</v>
      </c>
      <c r="F562" s="4" t="s">
        <v>122</v>
      </c>
      <c r="G562" s="4" t="s">
        <v>2044</v>
      </c>
      <c r="H562" s="4" t="s">
        <v>24</v>
      </c>
      <c r="I562" s="4" t="s">
        <v>25</v>
      </c>
      <c r="K562" s="4" t="s">
        <v>26</v>
      </c>
      <c r="L562" s="4" t="s">
        <v>2045</v>
      </c>
      <c r="M562" s="4" t="s">
        <v>169</v>
      </c>
      <c r="N562" s="5">
        <f t="shared" si="5"/>
        <v>44644</v>
      </c>
      <c r="O562" s="4" t="s">
        <v>136</v>
      </c>
      <c r="P562" s="5">
        <f>DATE(2022,6,28)</f>
        <v>44740</v>
      </c>
      <c r="Q562" s="4" t="s">
        <v>758</v>
      </c>
      <c r="R562" s="5">
        <f>DATE(2021,10,21)</f>
        <v>44490</v>
      </c>
      <c r="S562" s="4" t="s">
        <v>125</v>
      </c>
      <c r="T562" s="5">
        <f>DATE(2020,7,21)</f>
        <v>44033</v>
      </c>
    </row>
    <row r="563" spans="1:28" ht="55.05" customHeight="1" x14ac:dyDescent="0.3">
      <c r="A563" s="4" t="s">
        <v>534</v>
      </c>
      <c r="B563" s="4" t="s">
        <v>145</v>
      </c>
      <c r="C563" s="4" t="s">
        <v>165</v>
      </c>
      <c r="D563" s="4" t="s">
        <v>20</v>
      </c>
      <c r="E563" s="4" t="s">
        <v>2046</v>
      </c>
      <c r="F563" s="4" t="s">
        <v>122</v>
      </c>
      <c r="G563" s="4" t="s">
        <v>2047</v>
      </c>
      <c r="H563" s="4" t="s">
        <v>24</v>
      </c>
      <c r="I563" s="4" t="s">
        <v>25</v>
      </c>
      <c r="K563" s="4" t="s">
        <v>26</v>
      </c>
      <c r="L563" s="4" t="s">
        <v>2048</v>
      </c>
      <c r="O563" s="4" t="s">
        <v>2049</v>
      </c>
      <c r="P563" s="5">
        <f>DATE(2022,11,28)</f>
        <v>44893</v>
      </c>
      <c r="Q563" s="4" t="s">
        <v>170</v>
      </c>
      <c r="R563" s="5">
        <f>DATE(2022,6,28)</f>
        <v>44740</v>
      </c>
      <c r="S563" s="4" t="s">
        <v>2050</v>
      </c>
      <c r="T563" s="5">
        <f>DATE(2022,4,27)</f>
        <v>44678</v>
      </c>
      <c r="U563" s="4" t="s">
        <v>2051</v>
      </c>
      <c r="V563" s="5">
        <f>DATE(2021,1,25)</f>
        <v>44221</v>
      </c>
    </row>
    <row r="564" spans="1:28" ht="55.05" customHeight="1" x14ac:dyDescent="0.3">
      <c r="A564" s="4" t="s">
        <v>534</v>
      </c>
      <c r="B564" s="4" t="s">
        <v>145</v>
      </c>
      <c r="C564" s="4" t="s">
        <v>165</v>
      </c>
      <c r="D564" s="4" t="s">
        <v>20</v>
      </c>
      <c r="E564" s="4" t="s">
        <v>2052</v>
      </c>
      <c r="F564" s="4" t="s">
        <v>122</v>
      </c>
      <c r="G564" s="4" t="s">
        <v>2053</v>
      </c>
      <c r="H564" s="4" t="s">
        <v>24</v>
      </c>
      <c r="I564" s="4" t="s">
        <v>25</v>
      </c>
      <c r="K564" s="4" t="s">
        <v>26</v>
      </c>
      <c r="L564" s="4" t="s">
        <v>2054</v>
      </c>
      <c r="O564" s="4" t="s">
        <v>136</v>
      </c>
      <c r="P564" s="5">
        <f>DATE(2022,6,28)</f>
        <v>44740</v>
      </c>
      <c r="Q564" s="4" t="s">
        <v>2055</v>
      </c>
      <c r="R564" s="5">
        <f>DATE(2021,2,1)</f>
        <v>44228</v>
      </c>
    </row>
    <row r="565" spans="1:28" ht="55.05" customHeight="1" x14ac:dyDescent="0.3">
      <c r="A565" s="4" t="s">
        <v>534</v>
      </c>
      <c r="B565" s="4" t="s">
        <v>145</v>
      </c>
      <c r="C565" s="4" t="s">
        <v>165</v>
      </c>
      <c r="D565" s="4" t="s">
        <v>20</v>
      </c>
      <c r="E565" s="4" t="s">
        <v>2052</v>
      </c>
      <c r="F565" s="4" t="s">
        <v>122</v>
      </c>
      <c r="G565" s="4" t="s">
        <v>2056</v>
      </c>
      <c r="H565" s="4" t="s">
        <v>24</v>
      </c>
      <c r="I565" s="4" t="s">
        <v>25</v>
      </c>
      <c r="K565" s="4" t="s">
        <v>26</v>
      </c>
      <c r="L565" s="4" t="s">
        <v>2057</v>
      </c>
      <c r="O565" s="4" t="s">
        <v>2058</v>
      </c>
      <c r="P565" s="5">
        <f>DATE(2023,12,28)</f>
        <v>45288</v>
      </c>
      <c r="Q565" s="4" t="s">
        <v>2059</v>
      </c>
      <c r="R565" s="5">
        <f>DATE(2023,7,24)</f>
        <v>45131</v>
      </c>
      <c r="S565" s="4" t="s">
        <v>2060</v>
      </c>
      <c r="T565" s="5">
        <f>DATE(2023,6,19)</f>
        <v>45096</v>
      </c>
      <c r="U565" s="4" t="s">
        <v>2061</v>
      </c>
      <c r="V565" s="5">
        <f>DATE(2023,2,28)</f>
        <v>44985</v>
      </c>
      <c r="W565" s="4" t="s">
        <v>136</v>
      </c>
      <c r="X565" s="5">
        <f>DATE(2022,6,28)</f>
        <v>44740</v>
      </c>
      <c r="Y565" s="4" t="s">
        <v>2062</v>
      </c>
      <c r="Z565" s="5">
        <f>DATE(2021,6,16)</f>
        <v>44363</v>
      </c>
    </row>
    <row r="566" spans="1:28" ht="55.05" customHeight="1" x14ac:dyDescent="0.3">
      <c r="A566" s="4" t="s">
        <v>534</v>
      </c>
      <c r="B566" s="4" t="s">
        <v>145</v>
      </c>
      <c r="C566" s="4" t="s">
        <v>165</v>
      </c>
      <c r="D566" s="4" t="s">
        <v>20</v>
      </c>
      <c r="E566" s="4" t="s">
        <v>2052</v>
      </c>
      <c r="F566" s="4" t="s">
        <v>122</v>
      </c>
      <c r="G566" s="4" t="s">
        <v>2063</v>
      </c>
      <c r="H566" s="4" t="s">
        <v>24</v>
      </c>
      <c r="I566" s="4" t="s">
        <v>25</v>
      </c>
      <c r="K566" s="4" t="s">
        <v>26</v>
      </c>
      <c r="L566" s="4" t="s">
        <v>2064</v>
      </c>
      <c r="O566" s="4" t="s">
        <v>2058</v>
      </c>
      <c r="P566" s="5">
        <f>DATE(2023,12,28)</f>
        <v>45288</v>
      </c>
      <c r="Q566" s="4" t="s">
        <v>2065</v>
      </c>
      <c r="R566" s="5">
        <f>DATE(2023,7,24)</f>
        <v>45131</v>
      </c>
      <c r="S566" s="4" t="s">
        <v>2066</v>
      </c>
      <c r="T566" s="5">
        <f>DATE(2023,5,15)</f>
        <v>45061</v>
      </c>
      <c r="U566" s="4" t="s">
        <v>2067</v>
      </c>
      <c r="V566" s="5">
        <f>DATE(2023,2,28)</f>
        <v>44985</v>
      </c>
      <c r="W566" s="4" t="s">
        <v>2068</v>
      </c>
      <c r="X566" s="5">
        <f>DATE(2022,9,29)</f>
        <v>44833</v>
      </c>
      <c r="Y566" s="4" t="s">
        <v>136</v>
      </c>
      <c r="Z566" s="5">
        <f>DATE(2022,6,28)</f>
        <v>44740</v>
      </c>
      <c r="AA566" s="4" t="s">
        <v>2069</v>
      </c>
      <c r="AB566" s="5">
        <f>DATE(2022,4,19)</f>
        <v>44670</v>
      </c>
    </row>
    <row r="567" spans="1:28" ht="55.05" customHeight="1" x14ac:dyDescent="0.3">
      <c r="A567" s="4" t="s">
        <v>534</v>
      </c>
      <c r="B567" s="4" t="s">
        <v>145</v>
      </c>
      <c r="C567" s="4" t="s">
        <v>165</v>
      </c>
      <c r="D567" s="4" t="s">
        <v>20</v>
      </c>
      <c r="E567" s="4" t="s">
        <v>2052</v>
      </c>
      <c r="F567" s="4" t="s">
        <v>122</v>
      </c>
      <c r="G567" s="4" t="s">
        <v>2070</v>
      </c>
      <c r="H567" s="4" t="s">
        <v>32</v>
      </c>
      <c r="I567" s="4" t="s">
        <v>25</v>
      </c>
      <c r="J567" s="5">
        <f>DATE(2022,3,30)</f>
        <v>44650</v>
      </c>
      <c r="K567" s="4" t="s">
        <v>26</v>
      </c>
      <c r="L567" s="4" t="s">
        <v>1125</v>
      </c>
      <c r="O567" s="4" t="s">
        <v>2071</v>
      </c>
      <c r="P567" s="5">
        <f>DATE(2022,3,29)</f>
        <v>44649</v>
      </c>
      <c r="Q567" s="4" t="s">
        <v>2072</v>
      </c>
      <c r="R567" s="5">
        <f>DATE(2020,8,11)</f>
        <v>44054</v>
      </c>
    </row>
    <row r="568" spans="1:28" ht="55.05" customHeight="1" x14ac:dyDescent="0.3">
      <c r="A568" s="4" t="s">
        <v>534</v>
      </c>
      <c r="B568" s="4" t="s">
        <v>145</v>
      </c>
      <c r="C568" s="4" t="s">
        <v>165</v>
      </c>
      <c r="D568" s="4" t="s">
        <v>20</v>
      </c>
      <c r="E568" s="4" t="s">
        <v>2052</v>
      </c>
      <c r="F568" s="4" t="s">
        <v>122</v>
      </c>
      <c r="G568" s="4" t="s">
        <v>2073</v>
      </c>
      <c r="H568" s="4" t="s">
        <v>32</v>
      </c>
      <c r="I568" s="4" t="s">
        <v>25</v>
      </c>
      <c r="J568" s="5">
        <f>DATE(2022,3,30)</f>
        <v>44650</v>
      </c>
      <c r="K568" s="4" t="s">
        <v>26</v>
      </c>
      <c r="L568" s="4" t="s">
        <v>2074</v>
      </c>
      <c r="O568" s="4" t="s">
        <v>2071</v>
      </c>
      <c r="P568" s="5">
        <f>DATE(2022,3,29)</f>
        <v>44649</v>
      </c>
      <c r="Q568" s="4" t="s">
        <v>2075</v>
      </c>
      <c r="R568" s="5">
        <f>DATE(2019,11,22)</f>
        <v>43791</v>
      </c>
    </row>
    <row r="569" spans="1:28" ht="55.05" customHeight="1" x14ac:dyDescent="0.3">
      <c r="A569" s="4" t="s">
        <v>534</v>
      </c>
      <c r="B569" s="4" t="s">
        <v>145</v>
      </c>
      <c r="C569" s="4" t="s">
        <v>165</v>
      </c>
      <c r="D569" s="4" t="s">
        <v>20</v>
      </c>
      <c r="E569" s="4" t="s">
        <v>2052</v>
      </c>
      <c r="F569" s="4" t="s">
        <v>122</v>
      </c>
      <c r="G569" s="4" t="s">
        <v>2076</v>
      </c>
      <c r="H569" s="4" t="s">
        <v>32</v>
      </c>
      <c r="I569" s="4" t="s">
        <v>25</v>
      </c>
      <c r="J569" s="5">
        <f>DATE(2022,3,30)</f>
        <v>44650</v>
      </c>
      <c r="K569" s="4" t="s">
        <v>26</v>
      </c>
      <c r="L569" s="4" t="s">
        <v>2077</v>
      </c>
      <c r="O569" s="4" t="s">
        <v>2071</v>
      </c>
      <c r="P569" s="5">
        <f>DATE(2022,3,29)</f>
        <v>44649</v>
      </c>
      <c r="Q569" s="4" t="s">
        <v>125</v>
      </c>
      <c r="R569" s="5">
        <f>DATE(2020,7,21)</f>
        <v>44033</v>
      </c>
    </row>
    <row r="570" spans="1:28" ht="55.05" customHeight="1" x14ac:dyDescent="0.3">
      <c r="A570" s="4" t="s">
        <v>534</v>
      </c>
      <c r="B570" s="4" t="s">
        <v>145</v>
      </c>
      <c r="C570" s="4" t="s">
        <v>165</v>
      </c>
      <c r="D570" s="4" t="s">
        <v>20</v>
      </c>
      <c r="E570" s="4" t="s">
        <v>2052</v>
      </c>
      <c r="F570" s="4" t="s">
        <v>122</v>
      </c>
      <c r="G570" s="4" t="s">
        <v>2078</v>
      </c>
      <c r="H570" s="4" t="s">
        <v>24</v>
      </c>
      <c r="I570" s="4" t="s">
        <v>25</v>
      </c>
      <c r="K570" s="4" t="s">
        <v>26</v>
      </c>
      <c r="L570" s="4" t="s">
        <v>2079</v>
      </c>
      <c r="O570" s="4" t="s">
        <v>2080</v>
      </c>
      <c r="P570" s="5">
        <f>DATE(2023,7,27)</f>
        <v>45134</v>
      </c>
      <c r="Q570" s="4" t="s">
        <v>2081</v>
      </c>
      <c r="R570" s="5">
        <f>DATE(2023,7,4)</f>
        <v>45111</v>
      </c>
      <c r="S570" s="4" t="s">
        <v>2082</v>
      </c>
      <c r="T570" s="5">
        <f>DATE(2022,10,10)</f>
        <v>44844</v>
      </c>
      <c r="U570" s="4" t="s">
        <v>2083</v>
      </c>
      <c r="V570" s="5">
        <f>DATE(2022,7,18)</f>
        <v>44760</v>
      </c>
      <c r="W570" s="4" t="s">
        <v>2084</v>
      </c>
      <c r="X570" s="5">
        <f>DATE(2021,2,1)</f>
        <v>44228</v>
      </c>
    </row>
    <row r="571" spans="1:28" ht="55.05" customHeight="1" x14ac:dyDescent="0.3">
      <c r="A571" s="4" t="s">
        <v>534</v>
      </c>
      <c r="B571" s="4" t="s">
        <v>145</v>
      </c>
      <c r="C571" s="4" t="s">
        <v>165</v>
      </c>
      <c r="D571" s="4" t="s">
        <v>20</v>
      </c>
      <c r="E571" s="4" t="s">
        <v>172</v>
      </c>
      <c r="F571" s="4" t="s">
        <v>122</v>
      </c>
      <c r="G571" s="4" t="s">
        <v>2085</v>
      </c>
      <c r="H571" s="4" t="s">
        <v>24</v>
      </c>
      <c r="I571" s="4" t="s">
        <v>25</v>
      </c>
      <c r="K571" s="4" t="s">
        <v>26</v>
      </c>
      <c r="L571" s="4" t="s">
        <v>2086</v>
      </c>
      <c r="O571" s="4" t="s">
        <v>2087</v>
      </c>
      <c r="P571" s="5">
        <f>DATE(2022,12,20)</f>
        <v>44915</v>
      </c>
      <c r="Q571" s="4" t="s">
        <v>685</v>
      </c>
      <c r="R571" s="5">
        <f>DATE(2020,7,21)</f>
        <v>44033</v>
      </c>
    </row>
    <row r="572" spans="1:28" ht="55.05" customHeight="1" x14ac:dyDescent="0.3">
      <c r="A572" s="4" t="s">
        <v>534</v>
      </c>
      <c r="B572" s="4" t="s">
        <v>145</v>
      </c>
      <c r="C572" s="4" t="s">
        <v>2088</v>
      </c>
      <c r="D572" s="4" t="s">
        <v>20</v>
      </c>
      <c r="E572" s="4" t="s">
        <v>2089</v>
      </c>
      <c r="F572" s="4" t="s">
        <v>84</v>
      </c>
      <c r="G572" s="4" t="s">
        <v>2090</v>
      </c>
      <c r="H572" s="4" t="s">
        <v>37</v>
      </c>
      <c r="I572" s="4" t="s">
        <v>25</v>
      </c>
      <c r="K572" s="4" t="s">
        <v>402</v>
      </c>
      <c r="L572" s="4" t="s">
        <v>2091</v>
      </c>
      <c r="O572" s="4" t="s">
        <v>2092</v>
      </c>
      <c r="P572" s="5">
        <f>DATE(2022,1,31)</f>
        <v>44592</v>
      </c>
    </row>
    <row r="573" spans="1:28" ht="55.05" customHeight="1" x14ac:dyDescent="0.3">
      <c r="A573" s="4" t="s">
        <v>534</v>
      </c>
      <c r="B573" s="4" t="s">
        <v>145</v>
      </c>
      <c r="C573" s="4" t="s">
        <v>2088</v>
      </c>
      <c r="D573" s="4" t="s">
        <v>20</v>
      </c>
      <c r="E573" s="4" t="s">
        <v>2089</v>
      </c>
      <c r="F573" s="4" t="s">
        <v>84</v>
      </c>
      <c r="G573" s="4" t="s">
        <v>2093</v>
      </c>
      <c r="H573" s="4" t="s">
        <v>37</v>
      </c>
      <c r="I573" s="4" t="s">
        <v>25</v>
      </c>
      <c r="K573" s="4" t="s">
        <v>26</v>
      </c>
      <c r="L573" s="4" t="s">
        <v>2094</v>
      </c>
      <c r="O573" s="4" t="s">
        <v>2092</v>
      </c>
      <c r="P573" s="5">
        <f>DATE(2022,1,31)</f>
        <v>44592</v>
      </c>
    </row>
    <row r="574" spans="1:28" ht="55.05" customHeight="1" x14ac:dyDescent="0.3">
      <c r="A574" s="4" t="s">
        <v>2095</v>
      </c>
      <c r="B574" s="4" t="s">
        <v>18</v>
      </c>
      <c r="C574" s="4" t="s">
        <v>182</v>
      </c>
      <c r="D574" s="4" t="s">
        <v>20</v>
      </c>
      <c r="E574" s="4" t="s">
        <v>2096</v>
      </c>
      <c r="F574" s="4" t="s">
        <v>42</v>
      </c>
      <c r="G574" s="4" t="s">
        <v>2097</v>
      </c>
      <c r="H574" s="4" t="s">
        <v>24</v>
      </c>
      <c r="I574" s="4" t="s">
        <v>25</v>
      </c>
      <c r="K574" s="4" t="s">
        <v>26</v>
      </c>
      <c r="L574" s="4" t="s">
        <v>2098</v>
      </c>
      <c r="O574" s="4" t="s">
        <v>2099</v>
      </c>
      <c r="P574" s="5">
        <f>DATE(2023,11,23)</f>
        <v>45253</v>
      </c>
      <c r="Q574" s="4" t="s">
        <v>543</v>
      </c>
      <c r="R574" s="5">
        <f>DATE(2022,2,16)</f>
        <v>44608</v>
      </c>
      <c r="S574" s="4" t="s">
        <v>1448</v>
      </c>
      <c r="T574" s="5">
        <f>DATE(2021,12,21)</f>
        <v>44551</v>
      </c>
      <c r="U574" s="4" t="s">
        <v>2100</v>
      </c>
      <c r="V574" s="5">
        <f>DATE(2020,8,8)</f>
        <v>44051</v>
      </c>
    </row>
    <row r="575" spans="1:28" ht="55.05" customHeight="1" x14ac:dyDescent="0.3">
      <c r="A575" s="4" t="s">
        <v>2095</v>
      </c>
      <c r="B575" s="4" t="s">
        <v>18</v>
      </c>
      <c r="C575" s="4" t="s">
        <v>182</v>
      </c>
      <c r="D575" s="4" t="s">
        <v>20</v>
      </c>
      <c r="E575" s="4" t="s">
        <v>2096</v>
      </c>
      <c r="F575" s="4" t="s">
        <v>42</v>
      </c>
      <c r="G575" s="4" t="s">
        <v>2101</v>
      </c>
      <c r="H575" s="4" t="s">
        <v>24</v>
      </c>
      <c r="I575" s="4" t="s">
        <v>25</v>
      </c>
      <c r="K575" s="4" t="s">
        <v>26</v>
      </c>
      <c r="L575" s="4" t="s">
        <v>2102</v>
      </c>
      <c r="O575" s="4" t="s">
        <v>2099</v>
      </c>
      <c r="P575" s="5">
        <f>DATE(2023,11,23)</f>
        <v>45253</v>
      </c>
      <c r="Q575" s="4" t="s">
        <v>543</v>
      </c>
      <c r="R575" s="5">
        <f>DATE(2022,2,16)</f>
        <v>44608</v>
      </c>
      <c r="S575" s="4" t="s">
        <v>1448</v>
      </c>
      <c r="T575" s="5">
        <f>DATE(2021,12,21)</f>
        <v>44551</v>
      </c>
      <c r="U575" s="4" t="s">
        <v>2100</v>
      </c>
      <c r="V575" s="5">
        <f>DATE(2020,8,8)</f>
        <v>44051</v>
      </c>
    </row>
    <row r="576" spans="1:28" ht="55.05" customHeight="1" x14ac:dyDescent="0.3">
      <c r="A576" s="4" t="s">
        <v>2095</v>
      </c>
      <c r="B576" s="4" t="s">
        <v>18</v>
      </c>
      <c r="C576" s="4" t="s">
        <v>182</v>
      </c>
      <c r="D576" s="4" t="s">
        <v>20</v>
      </c>
      <c r="E576" s="4" t="s">
        <v>2096</v>
      </c>
      <c r="F576" s="4" t="s">
        <v>42</v>
      </c>
      <c r="G576" s="4" t="s">
        <v>2103</v>
      </c>
      <c r="H576" s="4" t="s">
        <v>24</v>
      </c>
      <c r="I576" s="4" t="s">
        <v>25</v>
      </c>
      <c r="K576" s="4" t="s">
        <v>26</v>
      </c>
      <c r="L576" s="4" t="s">
        <v>2104</v>
      </c>
      <c r="O576" s="4" t="s">
        <v>2099</v>
      </c>
      <c r="P576" s="5">
        <f>DATE(2023,11,23)</f>
        <v>45253</v>
      </c>
      <c r="Q576" s="4" t="s">
        <v>2105</v>
      </c>
      <c r="R576" s="5">
        <f>DATE(2023,7,21)</f>
        <v>45128</v>
      </c>
      <c r="S576" s="4" t="s">
        <v>1448</v>
      </c>
      <c r="T576" s="5">
        <f>DATE(2021,12,21)</f>
        <v>44551</v>
      </c>
      <c r="U576" s="4" t="s">
        <v>2106</v>
      </c>
      <c r="V576" s="5">
        <f>DATE(2020,8,8)</f>
        <v>44051</v>
      </c>
    </row>
    <row r="577" spans="1:20" ht="55.05" customHeight="1" x14ac:dyDescent="0.3">
      <c r="A577" s="4" t="s">
        <v>2095</v>
      </c>
      <c r="B577" s="4" t="s">
        <v>18</v>
      </c>
      <c r="C577" s="4" t="s">
        <v>182</v>
      </c>
      <c r="D577" s="4" t="s">
        <v>20</v>
      </c>
      <c r="E577" s="4" t="s">
        <v>2096</v>
      </c>
      <c r="F577" s="4" t="s">
        <v>42</v>
      </c>
      <c r="G577" s="4" t="s">
        <v>2107</v>
      </c>
      <c r="H577" s="4" t="s">
        <v>24</v>
      </c>
      <c r="I577" s="4" t="s">
        <v>25</v>
      </c>
      <c r="K577" s="4" t="s">
        <v>26</v>
      </c>
      <c r="L577" s="4" t="s">
        <v>2108</v>
      </c>
      <c r="O577" s="4" t="s">
        <v>2099</v>
      </c>
      <c r="P577" s="5">
        <f>DATE(2023,11,23)</f>
        <v>45253</v>
      </c>
      <c r="Q577" s="4" t="s">
        <v>1448</v>
      </c>
      <c r="R577" s="5">
        <f>DATE(2021,12,21)</f>
        <v>44551</v>
      </c>
      <c r="S577" s="4" t="s">
        <v>2106</v>
      </c>
      <c r="T577" s="5">
        <f>DATE(2020,8,8)</f>
        <v>44051</v>
      </c>
    </row>
    <row r="578" spans="1:20" ht="55.05" customHeight="1" x14ac:dyDescent="0.3">
      <c r="A578" s="4" t="s">
        <v>2095</v>
      </c>
      <c r="B578" s="4" t="s">
        <v>18</v>
      </c>
      <c r="C578" s="4" t="s">
        <v>182</v>
      </c>
      <c r="D578" s="4" t="s">
        <v>20</v>
      </c>
      <c r="E578" s="4" t="s">
        <v>2096</v>
      </c>
      <c r="F578" s="4" t="s">
        <v>42</v>
      </c>
      <c r="G578" s="4" t="s">
        <v>2109</v>
      </c>
      <c r="H578" s="4" t="s">
        <v>24</v>
      </c>
      <c r="I578" s="4" t="s">
        <v>25</v>
      </c>
      <c r="K578" s="4" t="s">
        <v>26</v>
      </c>
      <c r="L578" s="4" t="s">
        <v>2110</v>
      </c>
      <c r="O578" s="4" t="s">
        <v>2099</v>
      </c>
      <c r="P578" s="5">
        <f>DATE(2023,11,23)</f>
        <v>45253</v>
      </c>
      <c r="Q578" s="4" t="s">
        <v>1448</v>
      </c>
      <c r="R578" s="5">
        <f>DATE(2021,12,21)</f>
        <v>44551</v>
      </c>
      <c r="S578" s="4" t="s">
        <v>2106</v>
      </c>
      <c r="T578" s="5">
        <f>DATE(2020,8,8)</f>
        <v>44051</v>
      </c>
    </row>
    <row r="579" spans="1:20" ht="55.05" customHeight="1" x14ac:dyDescent="0.3">
      <c r="A579" s="4" t="s">
        <v>2095</v>
      </c>
      <c r="B579" s="4" t="s">
        <v>18</v>
      </c>
      <c r="C579" s="4" t="s">
        <v>203</v>
      </c>
      <c r="D579" s="4" t="s">
        <v>20</v>
      </c>
      <c r="E579" s="4" t="s">
        <v>2111</v>
      </c>
      <c r="F579" s="4" t="s">
        <v>22</v>
      </c>
      <c r="G579" s="4" t="s">
        <v>2112</v>
      </c>
      <c r="H579" s="4" t="s">
        <v>24</v>
      </c>
      <c r="I579" s="4" t="s">
        <v>25</v>
      </c>
      <c r="K579" s="4" t="s">
        <v>26</v>
      </c>
      <c r="L579" s="4" t="s">
        <v>2113</v>
      </c>
      <c r="O579" s="4" t="s">
        <v>2114</v>
      </c>
      <c r="P579" s="5">
        <f t="shared" ref="P579:P591" si="6">DATE(2021,12,21)</f>
        <v>44551</v>
      </c>
      <c r="Q579" s="4" t="s">
        <v>2115</v>
      </c>
      <c r="R579" s="5">
        <f t="shared" ref="R579:R591" si="7">DATE(2021,3,9)</f>
        <v>44264</v>
      </c>
    </row>
    <row r="580" spans="1:20" ht="55.05" customHeight="1" x14ac:dyDescent="0.3">
      <c r="A580" s="4" t="s">
        <v>2095</v>
      </c>
      <c r="B580" s="4" t="s">
        <v>18</v>
      </c>
      <c r="C580" s="4" t="s">
        <v>203</v>
      </c>
      <c r="D580" s="4" t="s">
        <v>20</v>
      </c>
      <c r="E580" s="4" t="s">
        <v>2111</v>
      </c>
      <c r="F580" s="4" t="s">
        <v>22</v>
      </c>
      <c r="G580" s="4" t="s">
        <v>2116</v>
      </c>
      <c r="H580" s="4" t="s">
        <v>24</v>
      </c>
      <c r="I580" s="4" t="s">
        <v>25</v>
      </c>
      <c r="K580" s="4" t="s">
        <v>26</v>
      </c>
      <c r="L580" s="4" t="s">
        <v>2117</v>
      </c>
      <c r="O580" s="4" t="s">
        <v>2114</v>
      </c>
      <c r="P580" s="5">
        <f t="shared" si="6"/>
        <v>44551</v>
      </c>
      <c r="Q580" s="4" t="s">
        <v>2115</v>
      </c>
      <c r="R580" s="5">
        <f t="shared" si="7"/>
        <v>44264</v>
      </c>
    </row>
    <row r="581" spans="1:20" ht="55.05" customHeight="1" x14ac:dyDescent="0.3">
      <c r="A581" s="4" t="s">
        <v>2095</v>
      </c>
      <c r="B581" s="4" t="s">
        <v>18</v>
      </c>
      <c r="C581" s="4" t="s">
        <v>203</v>
      </c>
      <c r="D581" s="4" t="s">
        <v>20</v>
      </c>
      <c r="E581" s="4" t="s">
        <v>2111</v>
      </c>
      <c r="F581" s="4" t="s">
        <v>22</v>
      </c>
      <c r="G581" s="4" t="s">
        <v>2118</v>
      </c>
      <c r="H581" s="4" t="s">
        <v>24</v>
      </c>
      <c r="I581" s="4" t="s">
        <v>25</v>
      </c>
      <c r="K581" s="4" t="s">
        <v>26</v>
      </c>
      <c r="L581" s="4" t="s">
        <v>2119</v>
      </c>
      <c r="O581" s="4" t="s">
        <v>2114</v>
      </c>
      <c r="P581" s="5">
        <f t="shared" si="6"/>
        <v>44551</v>
      </c>
      <c r="Q581" s="4" t="s">
        <v>2115</v>
      </c>
      <c r="R581" s="5">
        <f t="shared" si="7"/>
        <v>44264</v>
      </c>
    </row>
    <row r="582" spans="1:20" ht="55.05" customHeight="1" x14ac:dyDescent="0.3">
      <c r="A582" s="4" t="s">
        <v>2095</v>
      </c>
      <c r="B582" s="4" t="s">
        <v>18</v>
      </c>
      <c r="C582" s="4" t="s">
        <v>203</v>
      </c>
      <c r="D582" s="4" t="s">
        <v>20</v>
      </c>
      <c r="E582" s="4" t="s">
        <v>2111</v>
      </c>
      <c r="F582" s="4" t="s">
        <v>22</v>
      </c>
      <c r="G582" s="4" t="s">
        <v>2120</v>
      </c>
      <c r="H582" s="4" t="s">
        <v>24</v>
      </c>
      <c r="I582" s="4" t="s">
        <v>25</v>
      </c>
      <c r="K582" s="4" t="s">
        <v>26</v>
      </c>
      <c r="L582" s="4" t="s">
        <v>2121</v>
      </c>
      <c r="O582" s="4" t="s">
        <v>2114</v>
      </c>
      <c r="P582" s="5">
        <f t="shared" si="6"/>
        <v>44551</v>
      </c>
      <c r="Q582" s="4" t="s">
        <v>2115</v>
      </c>
      <c r="R582" s="5">
        <f t="shared" si="7"/>
        <v>44264</v>
      </c>
    </row>
    <row r="583" spans="1:20" ht="55.05" customHeight="1" x14ac:dyDescent="0.3">
      <c r="A583" s="4" t="s">
        <v>2095</v>
      </c>
      <c r="B583" s="4" t="s">
        <v>18</v>
      </c>
      <c r="C583" s="4" t="s">
        <v>203</v>
      </c>
      <c r="D583" s="4" t="s">
        <v>20</v>
      </c>
      <c r="E583" s="4" t="s">
        <v>2111</v>
      </c>
      <c r="F583" s="4" t="s">
        <v>22</v>
      </c>
      <c r="G583" s="4" t="s">
        <v>2122</v>
      </c>
      <c r="H583" s="4" t="s">
        <v>24</v>
      </c>
      <c r="I583" s="4" t="s">
        <v>25</v>
      </c>
      <c r="K583" s="4" t="s">
        <v>26</v>
      </c>
      <c r="L583" s="4" t="s">
        <v>2123</v>
      </c>
      <c r="O583" s="4" t="s">
        <v>2114</v>
      </c>
      <c r="P583" s="5">
        <f t="shared" si="6"/>
        <v>44551</v>
      </c>
      <c r="Q583" s="4" t="s">
        <v>2115</v>
      </c>
      <c r="R583" s="5">
        <f t="shared" si="7"/>
        <v>44264</v>
      </c>
    </row>
    <row r="584" spans="1:20" ht="55.05" customHeight="1" x14ac:dyDescent="0.3">
      <c r="A584" s="4" t="s">
        <v>2095</v>
      </c>
      <c r="B584" s="4" t="s">
        <v>18</v>
      </c>
      <c r="C584" s="4" t="s">
        <v>203</v>
      </c>
      <c r="D584" s="4" t="s">
        <v>20</v>
      </c>
      <c r="E584" s="4" t="s">
        <v>2124</v>
      </c>
      <c r="F584" s="4" t="s">
        <v>22</v>
      </c>
      <c r="G584" s="4" t="s">
        <v>2125</v>
      </c>
      <c r="H584" s="4" t="s">
        <v>24</v>
      </c>
      <c r="I584" s="4" t="s">
        <v>25</v>
      </c>
      <c r="K584" s="4" t="s">
        <v>26</v>
      </c>
      <c r="L584" s="4" t="s">
        <v>2126</v>
      </c>
      <c r="O584" s="4" t="s">
        <v>2114</v>
      </c>
      <c r="P584" s="5">
        <f t="shared" si="6"/>
        <v>44551</v>
      </c>
      <c r="Q584" s="4" t="s">
        <v>2115</v>
      </c>
      <c r="R584" s="5">
        <f t="shared" si="7"/>
        <v>44264</v>
      </c>
    </row>
    <row r="585" spans="1:20" ht="55.05" customHeight="1" x14ac:dyDescent="0.3">
      <c r="A585" s="4" t="s">
        <v>2095</v>
      </c>
      <c r="B585" s="4" t="s">
        <v>18</v>
      </c>
      <c r="C585" s="4" t="s">
        <v>203</v>
      </c>
      <c r="D585" s="4" t="s">
        <v>20</v>
      </c>
      <c r="E585" s="4" t="s">
        <v>2124</v>
      </c>
      <c r="F585" s="4" t="s">
        <v>22</v>
      </c>
      <c r="G585" s="4" t="s">
        <v>2127</v>
      </c>
      <c r="H585" s="4" t="s">
        <v>24</v>
      </c>
      <c r="I585" s="4" t="s">
        <v>25</v>
      </c>
      <c r="K585" s="4" t="s">
        <v>26</v>
      </c>
      <c r="L585" s="4" t="s">
        <v>2128</v>
      </c>
      <c r="O585" s="4" t="s">
        <v>2114</v>
      </c>
      <c r="P585" s="5">
        <f t="shared" si="6"/>
        <v>44551</v>
      </c>
      <c r="Q585" s="4" t="s">
        <v>2115</v>
      </c>
      <c r="R585" s="5">
        <f t="shared" si="7"/>
        <v>44264</v>
      </c>
    </row>
    <row r="586" spans="1:20" ht="55.05" customHeight="1" x14ac:dyDescent="0.3">
      <c r="A586" s="4" t="s">
        <v>2095</v>
      </c>
      <c r="B586" s="4" t="s">
        <v>18</v>
      </c>
      <c r="C586" s="4" t="s">
        <v>203</v>
      </c>
      <c r="D586" s="4" t="s">
        <v>20</v>
      </c>
      <c r="E586" s="4" t="s">
        <v>2124</v>
      </c>
      <c r="F586" s="4" t="s">
        <v>22</v>
      </c>
      <c r="G586" s="4" t="s">
        <v>2129</v>
      </c>
      <c r="H586" s="4" t="s">
        <v>24</v>
      </c>
      <c r="I586" s="4" t="s">
        <v>25</v>
      </c>
      <c r="K586" s="4" t="s">
        <v>26</v>
      </c>
      <c r="L586" s="4" t="s">
        <v>2130</v>
      </c>
      <c r="O586" s="4" t="s">
        <v>2114</v>
      </c>
      <c r="P586" s="5">
        <f t="shared" si="6"/>
        <v>44551</v>
      </c>
      <c r="Q586" s="4" t="s">
        <v>2115</v>
      </c>
      <c r="R586" s="5">
        <f t="shared" si="7"/>
        <v>44264</v>
      </c>
    </row>
    <row r="587" spans="1:20" ht="55.05" customHeight="1" x14ac:dyDescent="0.3">
      <c r="A587" s="4" t="s">
        <v>2095</v>
      </c>
      <c r="B587" s="4" t="s">
        <v>18</v>
      </c>
      <c r="C587" s="4" t="s">
        <v>203</v>
      </c>
      <c r="D587" s="4" t="s">
        <v>20</v>
      </c>
      <c r="E587" s="4" t="s">
        <v>2124</v>
      </c>
      <c r="F587" s="4" t="s">
        <v>22</v>
      </c>
      <c r="G587" s="4" t="s">
        <v>2131</v>
      </c>
      <c r="H587" s="4" t="s">
        <v>24</v>
      </c>
      <c r="I587" s="4" t="s">
        <v>25</v>
      </c>
      <c r="K587" s="4" t="s">
        <v>26</v>
      </c>
      <c r="L587" s="4" t="s">
        <v>2132</v>
      </c>
      <c r="O587" s="4" t="s">
        <v>2114</v>
      </c>
      <c r="P587" s="5">
        <f t="shared" si="6"/>
        <v>44551</v>
      </c>
      <c r="Q587" s="4" t="s">
        <v>2115</v>
      </c>
      <c r="R587" s="5">
        <f t="shared" si="7"/>
        <v>44264</v>
      </c>
    </row>
    <row r="588" spans="1:20" ht="55.05" customHeight="1" x14ac:dyDescent="0.3">
      <c r="A588" s="4" t="s">
        <v>2095</v>
      </c>
      <c r="B588" s="4" t="s">
        <v>18</v>
      </c>
      <c r="C588" s="4" t="s">
        <v>203</v>
      </c>
      <c r="D588" s="4" t="s">
        <v>20</v>
      </c>
      <c r="E588" s="4" t="s">
        <v>204</v>
      </c>
      <c r="F588" s="4" t="s">
        <v>22</v>
      </c>
      <c r="G588" s="4" t="s">
        <v>2133</v>
      </c>
      <c r="H588" s="4" t="s">
        <v>24</v>
      </c>
      <c r="I588" s="4" t="s">
        <v>25</v>
      </c>
      <c r="K588" s="4" t="s">
        <v>26</v>
      </c>
      <c r="L588" s="4" t="s">
        <v>2134</v>
      </c>
      <c r="O588" s="4" t="s">
        <v>2114</v>
      </c>
      <c r="P588" s="5">
        <f t="shared" si="6"/>
        <v>44551</v>
      </c>
      <c r="Q588" s="4" t="s">
        <v>2115</v>
      </c>
      <c r="R588" s="5">
        <f t="shared" si="7"/>
        <v>44264</v>
      </c>
    </row>
    <row r="589" spans="1:20" ht="55.05" customHeight="1" x14ac:dyDescent="0.3">
      <c r="A589" s="4" t="s">
        <v>2095</v>
      </c>
      <c r="B589" s="4" t="s">
        <v>18</v>
      </c>
      <c r="C589" s="4" t="s">
        <v>203</v>
      </c>
      <c r="D589" s="4" t="s">
        <v>20</v>
      </c>
      <c r="E589" s="4" t="s">
        <v>204</v>
      </c>
      <c r="F589" s="4" t="s">
        <v>22</v>
      </c>
      <c r="G589" s="4" t="s">
        <v>2135</v>
      </c>
      <c r="H589" s="4" t="s">
        <v>24</v>
      </c>
      <c r="I589" s="4" t="s">
        <v>25</v>
      </c>
      <c r="K589" s="4" t="s">
        <v>26</v>
      </c>
      <c r="L589" s="4" t="s">
        <v>2136</v>
      </c>
      <c r="O589" s="4" t="s">
        <v>2114</v>
      </c>
      <c r="P589" s="5">
        <f t="shared" si="6"/>
        <v>44551</v>
      </c>
      <c r="Q589" s="4" t="s">
        <v>2115</v>
      </c>
      <c r="R589" s="5">
        <f t="shared" si="7"/>
        <v>44264</v>
      </c>
    </row>
    <row r="590" spans="1:20" ht="55.05" customHeight="1" x14ac:dyDescent="0.3">
      <c r="A590" s="4" t="s">
        <v>2095</v>
      </c>
      <c r="B590" s="4" t="s">
        <v>18</v>
      </c>
      <c r="C590" s="4" t="s">
        <v>19</v>
      </c>
      <c r="D590" s="4" t="s">
        <v>20</v>
      </c>
      <c r="E590" s="4" t="s">
        <v>218</v>
      </c>
      <c r="F590" s="4" t="s">
        <v>22</v>
      </c>
      <c r="G590" s="4" t="s">
        <v>2137</v>
      </c>
      <c r="H590" s="4" t="s">
        <v>24</v>
      </c>
      <c r="I590" s="4" t="s">
        <v>25</v>
      </c>
      <c r="K590" s="4" t="s">
        <v>26</v>
      </c>
      <c r="L590" s="4" t="s">
        <v>2138</v>
      </c>
      <c r="O590" s="4" t="s">
        <v>2114</v>
      </c>
      <c r="P590" s="5">
        <f t="shared" si="6"/>
        <v>44551</v>
      </c>
      <c r="Q590" s="4" t="s">
        <v>2115</v>
      </c>
      <c r="R590" s="5">
        <f t="shared" si="7"/>
        <v>44264</v>
      </c>
    </row>
    <row r="591" spans="1:20" ht="55.05" customHeight="1" x14ac:dyDescent="0.3">
      <c r="A591" s="4" t="s">
        <v>2095</v>
      </c>
      <c r="B591" s="4" t="s">
        <v>18</v>
      </c>
      <c r="C591" s="4" t="s">
        <v>19</v>
      </c>
      <c r="D591" s="4" t="s">
        <v>20</v>
      </c>
      <c r="E591" s="4" t="s">
        <v>218</v>
      </c>
      <c r="F591" s="4" t="s">
        <v>22</v>
      </c>
      <c r="G591" s="4" t="s">
        <v>2139</v>
      </c>
      <c r="H591" s="4" t="s">
        <v>24</v>
      </c>
      <c r="I591" s="4" t="s">
        <v>25</v>
      </c>
      <c r="K591" s="4" t="s">
        <v>26</v>
      </c>
      <c r="L591" s="4" t="s">
        <v>2140</v>
      </c>
      <c r="O591" s="4" t="s">
        <v>1448</v>
      </c>
      <c r="P591" s="5">
        <f t="shared" si="6"/>
        <v>44551</v>
      </c>
      <c r="Q591" s="4" t="s">
        <v>2115</v>
      </c>
      <c r="R591" s="5">
        <f t="shared" si="7"/>
        <v>44264</v>
      </c>
    </row>
    <row r="592" spans="1:20" ht="55.05" customHeight="1" x14ac:dyDescent="0.3">
      <c r="A592" s="4" t="s">
        <v>2095</v>
      </c>
      <c r="B592" s="4" t="s">
        <v>18</v>
      </c>
      <c r="C592" s="4" t="s">
        <v>19</v>
      </c>
      <c r="D592" s="4" t="s">
        <v>20</v>
      </c>
      <c r="E592" s="4" t="s">
        <v>21</v>
      </c>
      <c r="F592" s="4" t="s">
        <v>22</v>
      </c>
      <c r="G592" s="4" t="s">
        <v>2141</v>
      </c>
      <c r="H592" s="4" t="s">
        <v>24</v>
      </c>
      <c r="I592" s="4" t="s">
        <v>25</v>
      </c>
      <c r="K592" s="4" t="s">
        <v>26</v>
      </c>
      <c r="L592" s="4" t="s">
        <v>2142</v>
      </c>
      <c r="O592" s="4" t="s">
        <v>2143</v>
      </c>
      <c r="P592" s="5">
        <f>DATE(2022,2,16)</f>
        <v>44608</v>
      </c>
      <c r="Q592" s="4" t="s">
        <v>1448</v>
      </c>
      <c r="R592" s="5">
        <f>DATE(2021,12,21)</f>
        <v>44551</v>
      </c>
      <c r="S592" s="4" t="s">
        <v>2115</v>
      </c>
      <c r="T592" s="5">
        <f>DATE(2021,3,9)</f>
        <v>44264</v>
      </c>
    </row>
    <row r="593" spans="1:24" ht="55.05" customHeight="1" x14ac:dyDescent="0.3">
      <c r="A593" s="4" t="s">
        <v>2095</v>
      </c>
      <c r="B593" s="4" t="s">
        <v>18</v>
      </c>
      <c r="C593" s="4" t="s">
        <v>19</v>
      </c>
      <c r="D593" s="4" t="s">
        <v>20</v>
      </c>
      <c r="E593" s="4" t="s">
        <v>21</v>
      </c>
      <c r="F593" s="4" t="s">
        <v>22</v>
      </c>
      <c r="G593" s="4" t="s">
        <v>2144</v>
      </c>
      <c r="H593" s="4" t="s">
        <v>24</v>
      </c>
      <c r="I593" s="4" t="s">
        <v>25</v>
      </c>
      <c r="K593" s="4" t="s">
        <v>26</v>
      </c>
      <c r="L593" s="4" t="s">
        <v>2145</v>
      </c>
      <c r="O593" s="4" t="s">
        <v>557</v>
      </c>
      <c r="P593" s="5">
        <f>DATE(2023,7,13)</f>
        <v>45120</v>
      </c>
      <c r="Q593" s="4" t="s">
        <v>1448</v>
      </c>
      <c r="R593" s="5">
        <f>DATE(2021,12,21)</f>
        <v>44551</v>
      </c>
      <c r="S593" s="4" t="s">
        <v>2115</v>
      </c>
      <c r="T593" s="5">
        <f>DATE(2021,3,9)</f>
        <v>44264</v>
      </c>
    </row>
    <row r="594" spans="1:24" ht="55.05" customHeight="1" x14ac:dyDescent="0.3">
      <c r="A594" s="4" t="s">
        <v>2095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22</v>
      </c>
      <c r="G594" s="4" t="s">
        <v>2146</v>
      </c>
      <c r="H594" s="4" t="s">
        <v>24</v>
      </c>
      <c r="I594" s="4" t="s">
        <v>25</v>
      </c>
      <c r="K594" s="4" t="s">
        <v>26</v>
      </c>
      <c r="L594" s="4" t="s">
        <v>2147</v>
      </c>
      <c r="O594" s="4" t="s">
        <v>557</v>
      </c>
      <c r="P594" s="5">
        <f>DATE(2023,7,13)</f>
        <v>45120</v>
      </c>
      <c r="Q594" s="4" t="s">
        <v>1448</v>
      </c>
      <c r="R594" s="5">
        <f>DATE(2021,12,21)</f>
        <v>44551</v>
      </c>
      <c r="S594" s="4" t="s">
        <v>2115</v>
      </c>
      <c r="T594" s="5">
        <f>DATE(2021,3,9)</f>
        <v>44264</v>
      </c>
    </row>
    <row r="595" spans="1:24" ht="55.05" customHeight="1" x14ac:dyDescent="0.3">
      <c r="A595" s="4" t="s">
        <v>2095</v>
      </c>
      <c r="B595" s="4" t="s">
        <v>18</v>
      </c>
      <c r="C595" s="4" t="s">
        <v>19</v>
      </c>
      <c r="D595" s="4" t="s">
        <v>20</v>
      </c>
      <c r="E595" s="4" t="s">
        <v>30</v>
      </c>
      <c r="F595" s="4" t="s">
        <v>22</v>
      </c>
      <c r="G595" s="4" t="s">
        <v>2148</v>
      </c>
      <c r="H595" s="4" t="s">
        <v>24</v>
      </c>
      <c r="I595" s="4" t="s">
        <v>25</v>
      </c>
      <c r="K595" s="4" t="s">
        <v>26</v>
      </c>
      <c r="L595" s="4" t="s">
        <v>2149</v>
      </c>
      <c r="O595" s="4" t="s">
        <v>578</v>
      </c>
      <c r="P595" s="5">
        <f>DATE(2023,2,28)</f>
        <v>44985</v>
      </c>
      <c r="Q595" s="4" t="s">
        <v>2150</v>
      </c>
      <c r="R595" s="5">
        <f>DATE(2022,2,16)</f>
        <v>44608</v>
      </c>
      <c r="S595" s="4" t="s">
        <v>1448</v>
      </c>
      <c r="T595" s="5">
        <f>DATE(2021,12,21)</f>
        <v>44551</v>
      </c>
      <c r="U595" s="4" t="s">
        <v>2115</v>
      </c>
      <c r="V595" s="5">
        <f>DATE(2021,3,9)</f>
        <v>44264</v>
      </c>
    </row>
    <row r="596" spans="1:24" ht="55.05" customHeight="1" x14ac:dyDescent="0.3">
      <c r="A596" s="4" t="s">
        <v>2095</v>
      </c>
      <c r="B596" s="4" t="s">
        <v>18</v>
      </c>
      <c r="C596" s="4" t="s">
        <v>19</v>
      </c>
      <c r="D596" s="4" t="s">
        <v>20</v>
      </c>
      <c r="E596" s="4" t="s">
        <v>30</v>
      </c>
      <c r="F596" s="4" t="s">
        <v>22</v>
      </c>
      <c r="G596" s="4" t="s">
        <v>2151</v>
      </c>
      <c r="H596" s="4" t="s">
        <v>37</v>
      </c>
      <c r="I596" s="4" t="s">
        <v>25</v>
      </c>
      <c r="K596" s="4" t="s">
        <v>26</v>
      </c>
      <c r="L596" s="4" t="s">
        <v>2152</v>
      </c>
      <c r="O596" s="4" t="s">
        <v>577</v>
      </c>
      <c r="P596" s="5">
        <f>DATE(2023,12,14)</f>
        <v>45274</v>
      </c>
      <c r="Q596" s="4" t="s">
        <v>578</v>
      </c>
      <c r="R596" s="5">
        <f>DATE(2023,2,28)</f>
        <v>44985</v>
      </c>
      <c r="S596" s="4" t="s">
        <v>2150</v>
      </c>
      <c r="T596" s="5">
        <f>DATE(2022,2,16)</f>
        <v>44608</v>
      </c>
    </row>
    <row r="597" spans="1:24" ht="55.05" customHeight="1" x14ac:dyDescent="0.3">
      <c r="A597" s="4" t="s">
        <v>2095</v>
      </c>
      <c r="B597" s="4" t="s">
        <v>18</v>
      </c>
      <c r="C597" s="4" t="s">
        <v>19</v>
      </c>
      <c r="D597" s="4" t="s">
        <v>20</v>
      </c>
      <c r="E597" s="4" t="s">
        <v>30</v>
      </c>
      <c r="F597" s="4" t="s">
        <v>22</v>
      </c>
      <c r="G597" s="4" t="s">
        <v>2153</v>
      </c>
      <c r="H597" s="4" t="s">
        <v>37</v>
      </c>
      <c r="I597" s="4" t="s">
        <v>25</v>
      </c>
      <c r="K597" s="4" t="s">
        <v>26</v>
      </c>
      <c r="L597" s="4" t="s">
        <v>2154</v>
      </c>
      <c r="O597" s="4" t="s">
        <v>578</v>
      </c>
      <c r="P597" s="5">
        <f>DATE(2023,2,28)</f>
        <v>44985</v>
      </c>
      <c r="Q597" s="4" t="s">
        <v>2150</v>
      </c>
      <c r="R597" s="5">
        <f>DATE(2022,2,16)</f>
        <v>44608</v>
      </c>
    </row>
    <row r="598" spans="1:24" ht="55.05" customHeight="1" x14ac:dyDescent="0.3">
      <c r="A598" s="4" t="s">
        <v>2095</v>
      </c>
      <c r="B598" s="4" t="s">
        <v>18</v>
      </c>
      <c r="C598" s="4" t="s">
        <v>40</v>
      </c>
      <c r="D598" s="4" t="s">
        <v>20</v>
      </c>
      <c r="E598" s="4" t="s">
        <v>230</v>
      </c>
      <c r="F598" s="4" t="s">
        <v>42</v>
      </c>
      <c r="G598" s="4" t="s">
        <v>2155</v>
      </c>
      <c r="H598" s="4" t="s">
        <v>24</v>
      </c>
      <c r="I598" s="4" t="s">
        <v>25</v>
      </c>
      <c r="K598" s="4" t="s">
        <v>26</v>
      </c>
      <c r="L598" s="4" t="s">
        <v>2156</v>
      </c>
      <c r="O598" s="4" t="s">
        <v>432</v>
      </c>
      <c r="P598" s="5">
        <f>DATE(2022,5,24)</f>
        <v>44705</v>
      </c>
      <c r="Q598" s="4" t="s">
        <v>1448</v>
      </c>
      <c r="R598" s="5">
        <f>DATE(2021,12,21)</f>
        <v>44551</v>
      </c>
      <c r="S598" s="4" t="s">
        <v>2115</v>
      </c>
      <c r="T598" s="5">
        <f>DATE(2021,3,9)</f>
        <v>44264</v>
      </c>
    </row>
    <row r="599" spans="1:24" ht="55.05" customHeight="1" x14ac:dyDescent="0.3">
      <c r="A599" s="4" t="s">
        <v>2095</v>
      </c>
      <c r="B599" s="4" t="s">
        <v>18</v>
      </c>
      <c r="C599" s="4" t="s">
        <v>40</v>
      </c>
      <c r="D599" s="4" t="s">
        <v>20</v>
      </c>
      <c r="E599" s="4" t="s">
        <v>41</v>
      </c>
      <c r="F599" s="4" t="s">
        <v>42</v>
      </c>
      <c r="G599" s="4" t="s">
        <v>2157</v>
      </c>
      <c r="H599" s="4" t="s">
        <v>24</v>
      </c>
      <c r="I599" s="4" t="s">
        <v>25</v>
      </c>
      <c r="K599" s="4" t="s">
        <v>26</v>
      </c>
      <c r="L599" s="4" t="s">
        <v>2158</v>
      </c>
      <c r="O599" s="4" t="s">
        <v>2159</v>
      </c>
      <c r="P599" s="5">
        <f>DATE(2022,9,29)</f>
        <v>44833</v>
      </c>
      <c r="Q599" s="4" t="s">
        <v>2160</v>
      </c>
      <c r="R599" s="5">
        <f>DATE(2022,5,24)</f>
        <v>44705</v>
      </c>
      <c r="S599" s="4" t="s">
        <v>53</v>
      </c>
      <c r="T599" s="5">
        <f>DATE(2021,12,21)</f>
        <v>44551</v>
      </c>
      <c r="U599" s="4" t="s">
        <v>2115</v>
      </c>
      <c r="V599" s="5">
        <f>DATE(2021,3,9)</f>
        <v>44264</v>
      </c>
    </row>
    <row r="600" spans="1:24" ht="55.05" customHeight="1" x14ac:dyDescent="0.3">
      <c r="A600" s="4" t="s">
        <v>2095</v>
      </c>
      <c r="B600" s="4" t="s">
        <v>18</v>
      </c>
      <c r="C600" s="4" t="s">
        <v>40</v>
      </c>
      <c r="D600" s="4" t="s">
        <v>20</v>
      </c>
      <c r="E600" s="4" t="s">
        <v>41</v>
      </c>
      <c r="F600" s="4" t="s">
        <v>42</v>
      </c>
      <c r="G600" s="4" t="s">
        <v>2161</v>
      </c>
      <c r="H600" s="4" t="s">
        <v>24</v>
      </c>
      <c r="I600" s="4" t="s">
        <v>25</v>
      </c>
      <c r="K600" s="4" t="s">
        <v>26</v>
      </c>
      <c r="L600" s="4" t="s">
        <v>2162</v>
      </c>
      <c r="O600" s="4" t="s">
        <v>2163</v>
      </c>
      <c r="P600" s="5">
        <f t="shared" ref="P600:P609" si="8">DATE(2022,9,27)</f>
        <v>44831</v>
      </c>
      <c r="Q600" s="4" t="s">
        <v>2164</v>
      </c>
      <c r="R600" s="5">
        <f>DATE(2022,6,7)</f>
        <v>44719</v>
      </c>
      <c r="S600" s="4" t="s">
        <v>2165</v>
      </c>
      <c r="T600" s="5">
        <f>DATE(2022,4,12)</f>
        <v>44663</v>
      </c>
      <c r="U600" s="4" t="s">
        <v>53</v>
      </c>
      <c r="V600" s="5">
        <f>DATE(2021,12,21)</f>
        <v>44551</v>
      </c>
      <c r="W600" s="4" t="s">
        <v>2115</v>
      </c>
      <c r="X600" s="5">
        <f>DATE(2021,3,9)</f>
        <v>44264</v>
      </c>
    </row>
    <row r="601" spans="1:24" ht="55.05" customHeight="1" x14ac:dyDescent="0.3">
      <c r="A601" s="4" t="s">
        <v>2095</v>
      </c>
      <c r="B601" s="4" t="s">
        <v>18</v>
      </c>
      <c r="C601" s="4" t="s">
        <v>40</v>
      </c>
      <c r="D601" s="4" t="s">
        <v>20</v>
      </c>
      <c r="E601" s="4" t="s">
        <v>41</v>
      </c>
      <c r="F601" s="4" t="s">
        <v>42</v>
      </c>
      <c r="G601" s="4" t="s">
        <v>2166</v>
      </c>
      <c r="H601" s="4" t="s">
        <v>24</v>
      </c>
      <c r="I601" s="4" t="s">
        <v>25</v>
      </c>
      <c r="K601" s="4" t="s">
        <v>26</v>
      </c>
      <c r="L601" s="4" t="s">
        <v>2167</v>
      </c>
      <c r="O601" s="4" t="s">
        <v>2163</v>
      </c>
      <c r="P601" s="5">
        <f t="shared" si="8"/>
        <v>44831</v>
      </c>
      <c r="Q601" s="4" t="s">
        <v>690</v>
      </c>
      <c r="R601" s="5">
        <f>DATE(2022,4,12)</f>
        <v>44663</v>
      </c>
      <c r="S601" s="4" t="s">
        <v>53</v>
      </c>
      <c r="T601" s="5">
        <f>DATE(2021,12,21)</f>
        <v>44551</v>
      </c>
      <c r="U601" s="4" t="s">
        <v>2168</v>
      </c>
      <c r="V601" s="5">
        <f>DATE(2021,6,17)</f>
        <v>44364</v>
      </c>
    </row>
    <row r="602" spans="1:24" ht="55.05" customHeight="1" x14ac:dyDescent="0.3">
      <c r="A602" s="4" t="s">
        <v>2095</v>
      </c>
      <c r="B602" s="4" t="s">
        <v>18</v>
      </c>
      <c r="C602" s="4" t="s">
        <v>40</v>
      </c>
      <c r="D602" s="4" t="s">
        <v>20</v>
      </c>
      <c r="E602" s="4" t="s">
        <v>41</v>
      </c>
      <c r="F602" s="4" t="s">
        <v>42</v>
      </c>
      <c r="G602" s="4" t="s">
        <v>2169</v>
      </c>
      <c r="H602" s="4" t="s">
        <v>24</v>
      </c>
      <c r="I602" s="4" t="s">
        <v>25</v>
      </c>
      <c r="K602" s="4" t="s">
        <v>26</v>
      </c>
      <c r="L602" s="4" t="s">
        <v>2170</v>
      </c>
      <c r="O602" s="4" t="s">
        <v>2163</v>
      </c>
      <c r="P602" s="5">
        <f t="shared" si="8"/>
        <v>44831</v>
      </c>
      <c r="Q602" s="4" t="s">
        <v>2164</v>
      </c>
      <c r="R602" s="5">
        <f>DATE(2022,6,7)</f>
        <v>44719</v>
      </c>
      <c r="S602" s="4" t="s">
        <v>2165</v>
      </c>
      <c r="T602" s="5">
        <f>DATE(2022,4,12)</f>
        <v>44663</v>
      </c>
      <c r="U602" s="4" t="s">
        <v>53</v>
      </c>
      <c r="V602" s="5">
        <f>DATE(2021,12,21)</f>
        <v>44551</v>
      </c>
      <c r="W602" s="4" t="s">
        <v>2115</v>
      </c>
      <c r="X602" s="5">
        <f>DATE(2021,3,9)</f>
        <v>44264</v>
      </c>
    </row>
    <row r="603" spans="1:24" ht="55.05" customHeight="1" x14ac:dyDescent="0.3">
      <c r="A603" s="4" t="s">
        <v>2095</v>
      </c>
      <c r="B603" s="4" t="s">
        <v>18</v>
      </c>
      <c r="C603" s="4" t="s">
        <v>40</v>
      </c>
      <c r="D603" s="4" t="s">
        <v>20</v>
      </c>
      <c r="E603" s="4" t="s">
        <v>41</v>
      </c>
      <c r="F603" s="4" t="s">
        <v>42</v>
      </c>
      <c r="G603" s="4" t="s">
        <v>2171</v>
      </c>
      <c r="H603" s="4" t="s">
        <v>24</v>
      </c>
      <c r="I603" s="4" t="s">
        <v>25</v>
      </c>
      <c r="K603" s="4" t="s">
        <v>26</v>
      </c>
      <c r="L603" s="4" t="s">
        <v>2172</v>
      </c>
      <c r="O603" s="4" t="s">
        <v>2163</v>
      </c>
      <c r="P603" s="5">
        <f t="shared" si="8"/>
        <v>44831</v>
      </c>
      <c r="Q603" s="4" t="s">
        <v>690</v>
      </c>
      <c r="R603" s="5">
        <f>DATE(2022,4,12)</f>
        <v>44663</v>
      </c>
      <c r="S603" s="4" t="s">
        <v>53</v>
      </c>
      <c r="T603" s="5">
        <f>DATE(2021,12,21)</f>
        <v>44551</v>
      </c>
      <c r="U603" s="4" t="s">
        <v>2115</v>
      </c>
      <c r="V603" s="5">
        <f>DATE(2021,3,9)</f>
        <v>44264</v>
      </c>
    </row>
    <row r="604" spans="1:24" ht="55.05" customHeight="1" x14ac:dyDescent="0.3">
      <c r="A604" s="4" t="s">
        <v>2095</v>
      </c>
      <c r="B604" s="4" t="s">
        <v>18</v>
      </c>
      <c r="C604" s="4" t="s">
        <v>40</v>
      </c>
      <c r="D604" s="4" t="s">
        <v>20</v>
      </c>
      <c r="E604" s="4" t="s">
        <v>41</v>
      </c>
      <c r="F604" s="4" t="s">
        <v>42</v>
      </c>
      <c r="G604" s="4" t="s">
        <v>2173</v>
      </c>
      <c r="H604" s="4" t="s">
        <v>24</v>
      </c>
      <c r="I604" s="4" t="s">
        <v>25</v>
      </c>
      <c r="K604" s="4" t="s">
        <v>26</v>
      </c>
      <c r="L604" s="4" t="s">
        <v>2174</v>
      </c>
      <c r="O604" s="4" t="s">
        <v>2163</v>
      </c>
      <c r="P604" s="5">
        <f t="shared" si="8"/>
        <v>44831</v>
      </c>
      <c r="Q604" s="4" t="s">
        <v>690</v>
      </c>
      <c r="R604" s="5">
        <f>DATE(2022,4,12)</f>
        <v>44663</v>
      </c>
      <c r="S604" s="4" t="s">
        <v>53</v>
      </c>
      <c r="T604" s="5">
        <f>DATE(2021,12,21)</f>
        <v>44551</v>
      </c>
      <c r="U604" s="4" t="s">
        <v>2175</v>
      </c>
      <c r="V604" s="5">
        <f>DATE(2021,7,5)</f>
        <v>44382</v>
      </c>
    </row>
    <row r="605" spans="1:24" ht="55.05" customHeight="1" x14ac:dyDescent="0.3">
      <c r="A605" s="4" t="s">
        <v>2095</v>
      </c>
      <c r="B605" s="4" t="s">
        <v>18</v>
      </c>
      <c r="C605" s="4" t="s">
        <v>40</v>
      </c>
      <c r="D605" s="4" t="s">
        <v>20</v>
      </c>
      <c r="E605" s="4" t="s">
        <v>41</v>
      </c>
      <c r="F605" s="4" t="s">
        <v>42</v>
      </c>
      <c r="G605" s="4" t="s">
        <v>2176</v>
      </c>
      <c r="H605" s="4" t="s">
        <v>32</v>
      </c>
      <c r="I605" s="4" t="s">
        <v>536</v>
      </c>
      <c r="J605" s="5">
        <f>DATE(2022,9,27)</f>
        <v>44831</v>
      </c>
      <c r="K605" s="4" t="s">
        <v>26</v>
      </c>
      <c r="L605" s="4" t="s">
        <v>2177</v>
      </c>
      <c r="O605" s="4" t="s">
        <v>2163</v>
      </c>
      <c r="P605" s="5">
        <f t="shared" si="8"/>
        <v>44831</v>
      </c>
      <c r="Q605" s="4" t="s">
        <v>690</v>
      </c>
      <c r="R605" s="5">
        <f>DATE(2022,4,12)</f>
        <v>44663</v>
      </c>
      <c r="S605" s="4" t="s">
        <v>53</v>
      </c>
      <c r="T605" s="5">
        <f>DATE(2021,12,21)</f>
        <v>44551</v>
      </c>
      <c r="U605" s="4" t="s">
        <v>2115</v>
      </c>
      <c r="V605" s="5">
        <f>DATE(2021,3,9)</f>
        <v>44264</v>
      </c>
    </row>
    <row r="606" spans="1:24" ht="55.05" customHeight="1" x14ac:dyDescent="0.3">
      <c r="A606" s="4" t="s">
        <v>2095</v>
      </c>
      <c r="B606" s="4" t="s">
        <v>18</v>
      </c>
      <c r="C606" s="4" t="s">
        <v>40</v>
      </c>
      <c r="D606" s="4" t="s">
        <v>20</v>
      </c>
      <c r="E606" s="4" t="s">
        <v>41</v>
      </c>
      <c r="F606" s="4" t="s">
        <v>42</v>
      </c>
      <c r="G606" s="4" t="s">
        <v>2178</v>
      </c>
      <c r="H606" s="4" t="s">
        <v>24</v>
      </c>
      <c r="I606" s="4" t="s">
        <v>25</v>
      </c>
      <c r="K606" s="4" t="s">
        <v>26</v>
      </c>
      <c r="L606" s="4" t="s">
        <v>2179</v>
      </c>
      <c r="O606" s="4" t="s">
        <v>2163</v>
      </c>
      <c r="P606" s="5">
        <f t="shared" si="8"/>
        <v>44831</v>
      </c>
      <c r="Q606" s="4" t="s">
        <v>2164</v>
      </c>
      <c r="R606" s="5">
        <f>DATE(2022,6,7)</f>
        <v>44719</v>
      </c>
      <c r="S606" s="4" t="s">
        <v>2180</v>
      </c>
      <c r="T606" s="5">
        <f>DATE(2022,3,30)</f>
        <v>44650</v>
      </c>
      <c r="U606" s="4" t="s">
        <v>53</v>
      </c>
      <c r="V606" s="5">
        <f>DATE(2021,12,21)</f>
        <v>44551</v>
      </c>
      <c r="W606" s="4" t="s">
        <v>2115</v>
      </c>
      <c r="X606" s="5">
        <f>DATE(2021,3,9)</f>
        <v>44264</v>
      </c>
    </row>
    <row r="607" spans="1:24" ht="55.05" customHeight="1" x14ac:dyDescent="0.3">
      <c r="A607" s="4" t="s">
        <v>2095</v>
      </c>
      <c r="B607" s="4" t="s">
        <v>18</v>
      </c>
      <c r="C607" s="4" t="s">
        <v>40</v>
      </c>
      <c r="D607" s="4" t="s">
        <v>20</v>
      </c>
      <c r="E607" s="4" t="s">
        <v>41</v>
      </c>
      <c r="F607" s="4" t="s">
        <v>42</v>
      </c>
      <c r="G607" s="4" t="s">
        <v>2181</v>
      </c>
      <c r="H607" s="4" t="s">
        <v>24</v>
      </c>
      <c r="I607" s="4" t="s">
        <v>25</v>
      </c>
      <c r="K607" s="4" t="s">
        <v>26</v>
      </c>
      <c r="L607" s="4" t="s">
        <v>2182</v>
      </c>
      <c r="O607" s="4" t="s">
        <v>2163</v>
      </c>
      <c r="P607" s="5">
        <f t="shared" si="8"/>
        <v>44831</v>
      </c>
      <c r="Q607" s="4" t="s">
        <v>2164</v>
      </c>
      <c r="R607" s="5">
        <f>DATE(2022,6,7)</f>
        <v>44719</v>
      </c>
      <c r="S607" s="4" t="s">
        <v>2180</v>
      </c>
      <c r="T607" s="5">
        <f>DATE(2022,3,30)</f>
        <v>44650</v>
      </c>
      <c r="U607" s="4" t="s">
        <v>53</v>
      </c>
      <c r="V607" s="5">
        <f>DATE(2021,12,21)</f>
        <v>44551</v>
      </c>
      <c r="W607" s="4" t="s">
        <v>2115</v>
      </c>
      <c r="X607" s="5">
        <f>DATE(2021,3,9)</f>
        <v>44264</v>
      </c>
    </row>
    <row r="608" spans="1:24" ht="55.05" customHeight="1" x14ac:dyDescent="0.3">
      <c r="A608" s="4" t="s">
        <v>2095</v>
      </c>
      <c r="B608" s="4" t="s">
        <v>18</v>
      </c>
      <c r="C608" s="4" t="s">
        <v>40</v>
      </c>
      <c r="D608" s="4" t="s">
        <v>20</v>
      </c>
      <c r="E608" s="4" t="s">
        <v>41</v>
      </c>
      <c r="F608" s="4" t="s">
        <v>42</v>
      </c>
      <c r="G608" s="4" t="s">
        <v>2183</v>
      </c>
      <c r="H608" s="4" t="s">
        <v>24</v>
      </c>
      <c r="I608" s="4" t="s">
        <v>25</v>
      </c>
      <c r="K608" s="4" t="s">
        <v>26</v>
      </c>
      <c r="L608" s="4" t="s">
        <v>2184</v>
      </c>
      <c r="O608" s="4" t="s">
        <v>2163</v>
      </c>
      <c r="P608" s="5">
        <f t="shared" si="8"/>
        <v>44831</v>
      </c>
      <c r="Q608" s="4" t="s">
        <v>585</v>
      </c>
      <c r="R608" s="5">
        <f>DATE(2022,3,30)</f>
        <v>44650</v>
      </c>
      <c r="S608" s="4" t="s">
        <v>53</v>
      </c>
      <c r="T608" s="5">
        <f>DATE(2021,12,21)</f>
        <v>44551</v>
      </c>
      <c r="U608" s="4" t="s">
        <v>2115</v>
      </c>
      <c r="V608" s="5">
        <f>DATE(2021,3,9)</f>
        <v>44264</v>
      </c>
    </row>
    <row r="609" spans="1:24" ht="55.05" customHeight="1" x14ac:dyDescent="0.3">
      <c r="A609" s="4" t="s">
        <v>2095</v>
      </c>
      <c r="B609" s="4" t="s">
        <v>18</v>
      </c>
      <c r="C609" s="4" t="s">
        <v>40</v>
      </c>
      <c r="D609" s="4" t="s">
        <v>20</v>
      </c>
      <c r="E609" s="4" t="s">
        <v>41</v>
      </c>
      <c r="F609" s="4" t="s">
        <v>42</v>
      </c>
      <c r="G609" s="4" t="s">
        <v>2185</v>
      </c>
      <c r="H609" s="4" t="s">
        <v>24</v>
      </c>
      <c r="I609" s="4" t="s">
        <v>25</v>
      </c>
      <c r="K609" s="4" t="s">
        <v>26</v>
      </c>
      <c r="L609" s="4" t="s">
        <v>2186</v>
      </c>
      <c r="O609" s="4" t="s">
        <v>2163</v>
      </c>
      <c r="P609" s="5">
        <f t="shared" si="8"/>
        <v>44831</v>
      </c>
      <c r="Q609" s="4" t="s">
        <v>584</v>
      </c>
      <c r="R609" s="5">
        <f>DATE(2022,4,26)</f>
        <v>44677</v>
      </c>
      <c r="S609" s="4" t="s">
        <v>2187</v>
      </c>
      <c r="T609" s="5">
        <f>DATE(2022,4,7)</f>
        <v>44658</v>
      </c>
      <c r="U609" s="4" t="s">
        <v>53</v>
      </c>
      <c r="V609" s="5">
        <f>DATE(2021,12,21)</f>
        <v>44551</v>
      </c>
      <c r="W609" s="4" t="s">
        <v>2115</v>
      </c>
      <c r="X609" s="5">
        <f>DATE(2021,3,9)</f>
        <v>44264</v>
      </c>
    </row>
    <row r="610" spans="1:24" ht="55.05" customHeight="1" x14ac:dyDescent="0.3">
      <c r="A610" s="4" t="s">
        <v>2095</v>
      </c>
      <c r="B610" s="4" t="s">
        <v>18</v>
      </c>
      <c r="C610" s="4" t="s">
        <v>40</v>
      </c>
      <c r="D610" s="4" t="s">
        <v>20</v>
      </c>
      <c r="E610" s="4" t="s">
        <v>267</v>
      </c>
      <c r="F610" s="4" t="s">
        <v>42</v>
      </c>
      <c r="G610" s="4" t="s">
        <v>2188</v>
      </c>
      <c r="H610" s="4" t="s">
        <v>24</v>
      </c>
      <c r="I610" s="4" t="s">
        <v>25</v>
      </c>
      <c r="K610" s="4" t="s">
        <v>26</v>
      </c>
      <c r="L610" s="4" t="s">
        <v>2189</v>
      </c>
      <c r="O610" s="4" t="s">
        <v>2190</v>
      </c>
      <c r="P610" s="5">
        <f>DATE(2023,5,18)</f>
        <v>45064</v>
      </c>
      <c r="Q610" s="4" t="s">
        <v>1448</v>
      </c>
      <c r="R610" s="5">
        <f>DATE(2021,12,21)</f>
        <v>44551</v>
      </c>
      <c r="S610" s="4" t="s">
        <v>2115</v>
      </c>
      <c r="T610" s="5">
        <f>DATE(2021,3,9)</f>
        <v>44264</v>
      </c>
    </row>
    <row r="611" spans="1:24" ht="55.05" customHeight="1" x14ac:dyDescent="0.3">
      <c r="A611" s="4" t="s">
        <v>2095</v>
      </c>
      <c r="B611" s="4" t="s">
        <v>18</v>
      </c>
      <c r="C611" s="4" t="s">
        <v>40</v>
      </c>
      <c r="D611" s="4" t="s">
        <v>20</v>
      </c>
      <c r="E611" s="4" t="s">
        <v>45</v>
      </c>
      <c r="F611" s="4" t="s">
        <v>42</v>
      </c>
      <c r="G611" s="4" t="s">
        <v>2191</v>
      </c>
      <c r="H611" s="4" t="s">
        <v>24</v>
      </c>
      <c r="I611" s="4" t="s">
        <v>25</v>
      </c>
      <c r="K611" s="4" t="s">
        <v>26</v>
      </c>
      <c r="L611" s="4" t="s">
        <v>2192</v>
      </c>
      <c r="O611" s="4" t="s">
        <v>2193</v>
      </c>
      <c r="P611" s="5">
        <f>DATE(2023,5,18)</f>
        <v>45064</v>
      </c>
      <c r="Q611" s="4" t="s">
        <v>2164</v>
      </c>
      <c r="R611" s="5">
        <f>DATE(2022,6,7)</f>
        <v>44719</v>
      </c>
      <c r="S611" s="4" t="s">
        <v>2194</v>
      </c>
      <c r="T611" s="5">
        <f>DATE(2022,3,17)</f>
        <v>44637</v>
      </c>
      <c r="U611" s="4" t="s">
        <v>53</v>
      </c>
      <c r="V611" s="5">
        <f>DATE(2021,12,21)</f>
        <v>44551</v>
      </c>
      <c r="W611" s="4" t="s">
        <v>2195</v>
      </c>
      <c r="X611" s="5">
        <f>DATE(2021,8,25)</f>
        <v>44433</v>
      </c>
    </row>
    <row r="612" spans="1:24" ht="55.05" customHeight="1" x14ac:dyDescent="0.3">
      <c r="A612" s="4" t="s">
        <v>2095</v>
      </c>
      <c r="B612" s="4" t="s">
        <v>18</v>
      </c>
      <c r="C612" s="4" t="s">
        <v>40</v>
      </c>
      <c r="D612" s="4" t="s">
        <v>20</v>
      </c>
      <c r="E612" s="4" t="s">
        <v>45</v>
      </c>
      <c r="F612" s="4" t="s">
        <v>42</v>
      </c>
      <c r="G612" s="4" t="s">
        <v>2196</v>
      </c>
      <c r="H612" s="4" t="s">
        <v>24</v>
      </c>
      <c r="I612" s="4" t="s">
        <v>25</v>
      </c>
      <c r="K612" s="4" t="s">
        <v>26</v>
      </c>
      <c r="L612" s="4" t="s">
        <v>2197</v>
      </c>
      <c r="O612" s="4" t="s">
        <v>2193</v>
      </c>
      <c r="P612" s="5">
        <f>DATE(2023,5,18)</f>
        <v>45064</v>
      </c>
      <c r="Q612" s="4" t="s">
        <v>2194</v>
      </c>
      <c r="R612" s="5">
        <f>DATE(2022,3,17)</f>
        <v>44637</v>
      </c>
      <c r="S612" s="4" t="s">
        <v>1448</v>
      </c>
      <c r="T612" s="5">
        <f>DATE(2021,12,21)</f>
        <v>44551</v>
      </c>
      <c r="U612" s="4" t="s">
        <v>2195</v>
      </c>
      <c r="V612" s="5">
        <f>DATE(2021,8,25)</f>
        <v>44433</v>
      </c>
    </row>
    <row r="613" spans="1:24" ht="55.05" customHeight="1" x14ac:dyDescent="0.3">
      <c r="A613" s="4" t="s">
        <v>2095</v>
      </c>
      <c r="B613" s="4" t="s">
        <v>18</v>
      </c>
      <c r="C613" s="4" t="s">
        <v>40</v>
      </c>
      <c r="D613" s="4" t="s">
        <v>20</v>
      </c>
      <c r="E613" s="4" t="s">
        <v>45</v>
      </c>
      <c r="F613" s="4" t="s">
        <v>42</v>
      </c>
      <c r="G613" s="4" t="s">
        <v>2198</v>
      </c>
      <c r="H613" s="4" t="s">
        <v>24</v>
      </c>
      <c r="I613" s="4" t="s">
        <v>25</v>
      </c>
      <c r="K613" s="4" t="s">
        <v>26</v>
      </c>
      <c r="L613" s="4" t="s">
        <v>2199</v>
      </c>
      <c r="O613" s="4" t="s">
        <v>2193</v>
      </c>
      <c r="P613" s="5">
        <f>DATE(2023,5,18)</f>
        <v>45064</v>
      </c>
      <c r="Q613" s="4" t="s">
        <v>2194</v>
      </c>
      <c r="R613" s="5">
        <f>DATE(2022,3,17)</f>
        <v>44637</v>
      </c>
      <c r="S613" s="4" t="s">
        <v>1448</v>
      </c>
      <c r="T613" s="5">
        <f>DATE(2021,12,21)</f>
        <v>44551</v>
      </c>
      <c r="U613" s="4" t="s">
        <v>2195</v>
      </c>
      <c r="V613" s="5">
        <f>DATE(2021,8,25)</f>
        <v>44433</v>
      </c>
    </row>
    <row r="614" spans="1:24" ht="55.05" customHeight="1" x14ac:dyDescent="0.3">
      <c r="A614" s="4" t="s">
        <v>2095</v>
      </c>
      <c r="B614" s="4" t="s">
        <v>18</v>
      </c>
      <c r="C614" s="4" t="s">
        <v>40</v>
      </c>
      <c r="D614" s="4" t="s">
        <v>20</v>
      </c>
      <c r="E614" s="4" t="s">
        <v>267</v>
      </c>
      <c r="F614" s="4" t="s">
        <v>42</v>
      </c>
      <c r="G614" s="4" t="s">
        <v>2200</v>
      </c>
      <c r="H614" s="4" t="s">
        <v>24</v>
      </c>
      <c r="I614" s="4" t="s">
        <v>25</v>
      </c>
      <c r="K614" s="4" t="s">
        <v>26</v>
      </c>
      <c r="L614" s="4" t="s">
        <v>2201</v>
      </c>
      <c r="O614" s="4" t="s">
        <v>2202</v>
      </c>
      <c r="P614" s="5">
        <f>DATE(2023,6,16)</f>
        <v>45093</v>
      </c>
      <c r="Q614" s="4" t="s">
        <v>2194</v>
      </c>
      <c r="R614" s="5">
        <f>DATE(2022,3,17)</f>
        <v>44637</v>
      </c>
      <c r="S614" s="4" t="s">
        <v>1448</v>
      </c>
      <c r="T614" s="5">
        <f>DATE(2021,12,21)</f>
        <v>44551</v>
      </c>
      <c r="U614" s="4" t="s">
        <v>2195</v>
      </c>
      <c r="V614" s="5">
        <f>DATE(2021,8,25)</f>
        <v>44433</v>
      </c>
    </row>
    <row r="615" spans="1:24" ht="55.05" customHeight="1" x14ac:dyDescent="0.3">
      <c r="A615" s="4" t="s">
        <v>2095</v>
      </c>
      <c r="B615" s="4" t="s">
        <v>18</v>
      </c>
      <c r="C615" s="4" t="s">
        <v>40</v>
      </c>
      <c r="D615" s="4" t="s">
        <v>20</v>
      </c>
      <c r="E615" s="4" t="s">
        <v>267</v>
      </c>
      <c r="F615" s="4" t="s">
        <v>42</v>
      </c>
      <c r="G615" s="4" t="s">
        <v>2203</v>
      </c>
      <c r="H615" s="4" t="s">
        <v>24</v>
      </c>
      <c r="I615" s="4" t="s">
        <v>25</v>
      </c>
      <c r="K615" s="4" t="s">
        <v>26</v>
      </c>
      <c r="L615" s="4" t="s">
        <v>2204</v>
      </c>
      <c r="O615" s="4" t="s">
        <v>2193</v>
      </c>
      <c r="P615" s="5">
        <f>DATE(2023,5,18)</f>
        <v>45064</v>
      </c>
      <c r="Q615" s="4" t="s">
        <v>2194</v>
      </c>
      <c r="R615" s="5">
        <f>DATE(2022,3,17)</f>
        <v>44637</v>
      </c>
      <c r="S615" s="4" t="s">
        <v>1448</v>
      </c>
      <c r="T615" s="5">
        <f>DATE(2021,12,21)</f>
        <v>44551</v>
      </c>
      <c r="U615" s="4" t="s">
        <v>2195</v>
      </c>
      <c r="V615" s="5">
        <f>DATE(2021,8,25)</f>
        <v>44433</v>
      </c>
    </row>
    <row r="616" spans="1:24" ht="55.05" customHeight="1" x14ac:dyDescent="0.3">
      <c r="A616" s="4" t="s">
        <v>2095</v>
      </c>
      <c r="B616" s="4" t="s">
        <v>18</v>
      </c>
      <c r="C616" s="4" t="s">
        <v>40</v>
      </c>
      <c r="D616" s="4" t="s">
        <v>20</v>
      </c>
      <c r="E616" s="4" t="s">
        <v>267</v>
      </c>
      <c r="F616" s="4" t="s">
        <v>42</v>
      </c>
      <c r="G616" s="4" t="s">
        <v>2205</v>
      </c>
      <c r="H616" s="4" t="s">
        <v>24</v>
      </c>
      <c r="I616" s="4" t="s">
        <v>25</v>
      </c>
      <c r="K616" s="4" t="s">
        <v>26</v>
      </c>
      <c r="L616" s="4" t="s">
        <v>2206</v>
      </c>
      <c r="O616" s="4" t="s">
        <v>2207</v>
      </c>
      <c r="P616" s="5">
        <f>DATE(2023,4,25)</f>
        <v>45041</v>
      </c>
      <c r="Q616" s="4" t="s">
        <v>1448</v>
      </c>
      <c r="R616" s="5">
        <f>DATE(2021,12,21)</f>
        <v>44551</v>
      </c>
      <c r="S616" s="4" t="s">
        <v>2115</v>
      </c>
      <c r="T616" s="5">
        <f>DATE(2021,3,9)</f>
        <v>44264</v>
      </c>
    </row>
    <row r="617" spans="1:24" ht="55.05" customHeight="1" x14ac:dyDescent="0.3">
      <c r="A617" s="4" t="s">
        <v>2095</v>
      </c>
      <c r="B617" s="4" t="s">
        <v>18</v>
      </c>
      <c r="C617" s="4" t="s">
        <v>40</v>
      </c>
      <c r="D617" s="4" t="s">
        <v>58</v>
      </c>
      <c r="E617" s="4" t="s">
        <v>315</v>
      </c>
      <c r="F617" s="4" t="s">
        <v>42</v>
      </c>
      <c r="G617" s="4" t="s">
        <v>2208</v>
      </c>
      <c r="H617" s="4" t="s">
        <v>24</v>
      </c>
      <c r="I617" s="4" t="s">
        <v>25</v>
      </c>
      <c r="K617" s="4" t="s">
        <v>26</v>
      </c>
      <c r="L617" s="4" t="s">
        <v>2209</v>
      </c>
      <c r="O617" s="4" t="s">
        <v>1448</v>
      </c>
      <c r="P617" s="5">
        <f>DATE(2021,12,21)</f>
        <v>44551</v>
      </c>
      <c r="Q617" s="4" t="s">
        <v>2115</v>
      </c>
      <c r="R617" s="5">
        <f>DATE(2021,3,9)</f>
        <v>44264</v>
      </c>
    </row>
    <row r="618" spans="1:24" ht="55.05" customHeight="1" x14ac:dyDescent="0.3">
      <c r="A618" s="4" t="s">
        <v>2095</v>
      </c>
      <c r="B618" s="4" t="s">
        <v>18</v>
      </c>
      <c r="C618" s="4" t="s">
        <v>40</v>
      </c>
      <c r="D618" s="4" t="s">
        <v>58</v>
      </c>
      <c r="E618" s="4" t="s">
        <v>315</v>
      </c>
      <c r="F618" s="4" t="s">
        <v>42</v>
      </c>
      <c r="G618" s="4" t="s">
        <v>2210</v>
      </c>
      <c r="H618" s="4" t="s">
        <v>24</v>
      </c>
      <c r="I618" s="4" t="s">
        <v>25</v>
      </c>
      <c r="K618" s="4" t="s">
        <v>26</v>
      </c>
      <c r="L618" s="4" t="s">
        <v>2211</v>
      </c>
      <c r="O618" s="4" t="s">
        <v>2212</v>
      </c>
      <c r="P618" s="5">
        <f>DATE(2022,2,18)</f>
        <v>44610</v>
      </c>
      <c r="Q618" s="4" t="s">
        <v>1448</v>
      </c>
      <c r="R618" s="5">
        <f>DATE(2021,12,21)</f>
        <v>44551</v>
      </c>
      <c r="S618" s="4" t="s">
        <v>2115</v>
      </c>
      <c r="T618" s="5">
        <f>DATE(2021,3,9)</f>
        <v>44264</v>
      </c>
    </row>
    <row r="619" spans="1:24" ht="55.05" customHeight="1" x14ac:dyDescent="0.3">
      <c r="A619" s="4" t="s">
        <v>2095</v>
      </c>
      <c r="B619" s="4" t="s">
        <v>18</v>
      </c>
      <c r="C619" s="4" t="s">
        <v>40</v>
      </c>
      <c r="D619" s="4" t="s">
        <v>58</v>
      </c>
      <c r="E619" s="4" t="s">
        <v>315</v>
      </c>
      <c r="F619" s="4" t="s">
        <v>42</v>
      </c>
      <c r="G619" s="4" t="s">
        <v>2213</v>
      </c>
      <c r="H619" s="4" t="s">
        <v>24</v>
      </c>
      <c r="I619" s="4" t="s">
        <v>25</v>
      </c>
      <c r="K619" s="4" t="s">
        <v>26</v>
      </c>
      <c r="L619" s="4" t="s">
        <v>2214</v>
      </c>
      <c r="O619" s="4" t="s">
        <v>2164</v>
      </c>
      <c r="P619" s="5">
        <f>DATE(2022,6,7)</f>
        <v>44719</v>
      </c>
      <c r="Q619" s="4" t="s">
        <v>2212</v>
      </c>
      <c r="R619" s="5">
        <f>DATE(2022,2,18)</f>
        <v>44610</v>
      </c>
      <c r="S619" s="4" t="s">
        <v>53</v>
      </c>
      <c r="T619" s="5">
        <f>DATE(2021,12,21)</f>
        <v>44551</v>
      </c>
      <c r="U619" s="4" t="s">
        <v>2115</v>
      </c>
      <c r="V619" s="5">
        <f>DATE(2021,3,9)</f>
        <v>44264</v>
      </c>
    </row>
    <row r="620" spans="1:24" ht="55.05" customHeight="1" x14ac:dyDescent="0.3">
      <c r="A620" s="4" t="s">
        <v>2095</v>
      </c>
      <c r="B620" s="4" t="s">
        <v>18</v>
      </c>
      <c r="C620" s="4" t="s">
        <v>40</v>
      </c>
      <c r="D620" s="4" t="s">
        <v>58</v>
      </c>
      <c r="E620" s="4" t="s">
        <v>315</v>
      </c>
      <c r="F620" s="4" t="s">
        <v>42</v>
      </c>
      <c r="G620" s="4" t="s">
        <v>2215</v>
      </c>
      <c r="H620" s="4" t="s">
        <v>24</v>
      </c>
      <c r="I620" s="4" t="s">
        <v>25</v>
      </c>
      <c r="K620" s="4" t="s">
        <v>26</v>
      </c>
      <c r="L620" s="4" t="s">
        <v>2216</v>
      </c>
      <c r="O620" s="4" t="s">
        <v>2164</v>
      </c>
      <c r="P620" s="5">
        <f>DATE(2022,6,7)</f>
        <v>44719</v>
      </c>
      <c r="Q620" s="4" t="s">
        <v>2212</v>
      </c>
      <c r="R620" s="5">
        <f>DATE(2022,2,18)</f>
        <v>44610</v>
      </c>
      <c r="S620" s="4" t="s">
        <v>53</v>
      </c>
      <c r="T620" s="5">
        <f>DATE(2021,12,21)</f>
        <v>44551</v>
      </c>
      <c r="U620" s="4" t="s">
        <v>2115</v>
      </c>
      <c r="V620" s="5">
        <f>DATE(2021,3,9)</f>
        <v>44264</v>
      </c>
    </row>
    <row r="621" spans="1:24" ht="55.05" customHeight="1" x14ac:dyDescent="0.3">
      <c r="A621" s="4" t="s">
        <v>2095</v>
      </c>
      <c r="B621" s="4" t="s">
        <v>18</v>
      </c>
      <c r="C621" s="4" t="s">
        <v>40</v>
      </c>
      <c r="D621" s="4" t="s">
        <v>58</v>
      </c>
      <c r="E621" s="4" t="s">
        <v>59</v>
      </c>
      <c r="F621" s="4" t="s">
        <v>42</v>
      </c>
      <c r="G621" s="4" t="s">
        <v>2217</v>
      </c>
      <c r="H621" s="4" t="s">
        <v>24</v>
      </c>
      <c r="I621" s="4" t="s">
        <v>25</v>
      </c>
      <c r="K621" s="4" t="s">
        <v>26</v>
      </c>
      <c r="L621" s="4" t="s">
        <v>2218</v>
      </c>
      <c r="O621" s="4" t="s">
        <v>2190</v>
      </c>
      <c r="P621" s="5">
        <f>DATE(2023,5,18)</f>
        <v>45064</v>
      </c>
      <c r="Q621" s="4" t="s">
        <v>2219</v>
      </c>
      <c r="R621" s="5">
        <f>DATE(2022,5,2)</f>
        <v>44683</v>
      </c>
      <c r="S621" s="4" t="s">
        <v>1448</v>
      </c>
      <c r="T621" s="5">
        <f>DATE(2021,12,21)</f>
        <v>44551</v>
      </c>
      <c r="U621" s="4" t="s">
        <v>2115</v>
      </c>
      <c r="V621" s="5">
        <f>DATE(2021,3,9)</f>
        <v>44264</v>
      </c>
    </row>
    <row r="622" spans="1:24" ht="55.05" customHeight="1" x14ac:dyDescent="0.3">
      <c r="A622" s="4" t="s">
        <v>2095</v>
      </c>
      <c r="B622" s="4" t="s">
        <v>18</v>
      </c>
      <c r="C622" s="4" t="s">
        <v>40</v>
      </c>
      <c r="D622" s="4" t="s">
        <v>58</v>
      </c>
      <c r="E622" s="4" t="s">
        <v>59</v>
      </c>
      <c r="F622" s="4" t="s">
        <v>42</v>
      </c>
      <c r="G622" s="4" t="s">
        <v>2220</v>
      </c>
      <c r="H622" s="4" t="s">
        <v>24</v>
      </c>
      <c r="I622" s="4" t="s">
        <v>25</v>
      </c>
      <c r="K622" s="4" t="s">
        <v>26</v>
      </c>
      <c r="L622" s="4" t="s">
        <v>2221</v>
      </c>
      <c r="O622" s="4" t="s">
        <v>2222</v>
      </c>
      <c r="P622" s="5">
        <f>DATE(2023,5,18)</f>
        <v>45064</v>
      </c>
      <c r="Q622" s="4" t="s">
        <v>2164</v>
      </c>
      <c r="R622" s="5">
        <f>DATE(2022,6,7)</f>
        <v>44719</v>
      </c>
      <c r="S622" s="4" t="s">
        <v>2223</v>
      </c>
      <c r="T622" s="5">
        <f>DATE(2022,3,3)</f>
        <v>44623</v>
      </c>
      <c r="U622" s="4" t="s">
        <v>53</v>
      </c>
      <c r="V622" s="5">
        <f>DATE(2021,12,21)</f>
        <v>44551</v>
      </c>
      <c r="W622" s="4" t="s">
        <v>2224</v>
      </c>
      <c r="X622" s="5">
        <f>DATE(2021,6,23)</f>
        <v>44370</v>
      </c>
    </row>
    <row r="623" spans="1:24" ht="55.05" customHeight="1" x14ac:dyDescent="0.3">
      <c r="A623" s="4" t="s">
        <v>2095</v>
      </c>
      <c r="B623" s="4" t="s">
        <v>18</v>
      </c>
      <c r="C623" s="4" t="s">
        <v>40</v>
      </c>
      <c r="D623" s="4" t="s">
        <v>58</v>
      </c>
      <c r="E623" s="4" t="s">
        <v>59</v>
      </c>
      <c r="F623" s="4" t="s">
        <v>42</v>
      </c>
      <c r="G623" s="4" t="s">
        <v>2225</v>
      </c>
      <c r="H623" s="4" t="s">
        <v>24</v>
      </c>
      <c r="I623" s="4" t="s">
        <v>25</v>
      </c>
      <c r="K623" s="4" t="s">
        <v>26</v>
      </c>
      <c r="L623" s="4" t="s">
        <v>2226</v>
      </c>
      <c r="O623" s="4" t="s">
        <v>2227</v>
      </c>
      <c r="P623" s="5">
        <f>DATE(2023,5,5)</f>
        <v>45051</v>
      </c>
      <c r="Q623" s="4" t="s">
        <v>2223</v>
      </c>
      <c r="R623" s="5">
        <f>DATE(2022,3,3)</f>
        <v>44623</v>
      </c>
      <c r="S623" s="4" t="s">
        <v>1448</v>
      </c>
      <c r="T623" s="5">
        <f>DATE(2021,12,21)</f>
        <v>44551</v>
      </c>
      <c r="U623" s="4" t="s">
        <v>2224</v>
      </c>
      <c r="V623" s="5">
        <f>DATE(2021,6,23)</f>
        <v>44370</v>
      </c>
    </row>
    <row r="624" spans="1:24" ht="55.05" customHeight="1" x14ac:dyDescent="0.3">
      <c r="A624" s="4" t="s">
        <v>2095</v>
      </c>
      <c r="B624" s="4" t="s">
        <v>18</v>
      </c>
      <c r="C624" s="4" t="s">
        <v>40</v>
      </c>
      <c r="D624" s="4" t="s">
        <v>58</v>
      </c>
      <c r="E624" s="4" t="s">
        <v>59</v>
      </c>
      <c r="F624" s="4" t="s">
        <v>42</v>
      </c>
      <c r="G624" s="4" t="s">
        <v>2228</v>
      </c>
      <c r="H624" s="4" t="s">
        <v>24</v>
      </c>
      <c r="I624" s="4" t="s">
        <v>25</v>
      </c>
      <c r="K624" s="4" t="s">
        <v>26</v>
      </c>
      <c r="L624" s="4" t="s">
        <v>2229</v>
      </c>
      <c r="O624" s="4" t="s">
        <v>2222</v>
      </c>
      <c r="P624" s="5">
        <f>DATE(2023,5,18)</f>
        <v>45064</v>
      </c>
      <c r="Q624" s="4" t="s">
        <v>2164</v>
      </c>
      <c r="R624" s="5">
        <f>DATE(2022,6,7)</f>
        <v>44719</v>
      </c>
      <c r="S624" s="4" t="s">
        <v>2223</v>
      </c>
      <c r="T624" s="5">
        <f>DATE(2022,3,3)</f>
        <v>44623</v>
      </c>
      <c r="U624" s="4" t="s">
        <v>53</v>
      </c>
      <c r="V624" s="5">
        <f>DATE(2021,12,21)</f>
        <v>44551</v>
      </c>
      <c r="W624" s="4" t="s">
        <v>2224</v>
      </c>
      <c r="X624" s="5">
        <f>DATE(2021,6,23)</f>
        <v>44370</v>
      </c>
    </row>
    <row r="625" spans="1:26" ht="55.05" customHeight="1" x14ac:dyDescent="0.3">
      <c r="A625" s="4" t="s">
        <v>2095</v>
      </c>
      <c r="B625" s="4" t="s">
        <v>18</v>
      </c>
      <c r="C625" s="4" t="s">
        <v>40</v>
      </c>
      <c r="D625" s="4" t="s">
        <v>58</v>
      </c>
      <c r="E625" s="4" t="s">
        <v>59</v>
      </c>
      <c r="F625" s="4" t="s">
        <v>42</v>
      </c>
      <c r="G625" s="4" t="s">
        <v>2230</v>
      </c>
      <c r="H625" s="4" t="s">
        <v>24</v>
      </c>
      <c r="I625" s="4" t="s">
        <v>25</v>
      </c>
      <c r="K625" s="4" t="s">
        <v>26</v>
      </c>
      <c r="L625" s="4" t="s">
        <v>2231</v>
      </c>
      <c r="O625" s="4" t="s">
        <v>2222</v>
      </c>
      <c r="P625" s="5">
        <f>DATE(2023,5,18)</f>
        <v>45064</v>
      </c>
      <c r="Q625" s="4" t="s">
        <v>2164</v>
      </c>
      <c r="R625" s="5">
        <f>DATE(2022,6,7)</f>
        <v>44719</v>
      </c>
      <c r="S625" s="4" t="s">
        <v>2223</v>
      </c>
      <c r="T625" s="5">
        <f>DATE(2022,3,3)</f>
        <v>44623</v>
      </c>
      <c r="U625" s="4" t="s">
        <v>53</v>
      </c>
      <c r="V625" s="5">
        <f>DATE(2021,12,21)</f>
        <v>44551</v>
      </c>
      <c r="W625" s="4" t="s">
        <v>2224</v>
      </c>
      <c r="X625" s="5">
        <f>DATE(2021,6,23)</f>
        <v>44370</v>
      </c>
    </row>
    <row r="626" spans="1:26" ht="55.05" customHeight="1" x14ac:dyDescent="0.3">
      <c r="A626" s="4" t="s">
        <v>2095</v>
      </c>
      <c r="B626" s="4" t="s">
        <v>18</v>
      </c>
      <c r="C626" s="4" t="s">
        <v>40</v>
      </c>
      <c r="D626" s="4" t="s">
        <v>58</v>
      </c>
      <c r="E626" s="4" t="s">
        <v>59</v>
      </c>
      <c r="F626" s="4" t="s">
        <v>42</v>
      </c>
      <c r="G626" s="4" t="s">
        <v>2232</v>
      </c>
      <c r="H626" s="4" t="s">
        <v>24</v>
      </c>
      <c r="I626" s="4" t="s">
        <v>25</v>
      </c>
      <c r="K626" s="4" t="s">
        <v>26</v>
      </c>
      <c r="L626" s="4" t="s">
        <v>2233</v>
      </c>
      <c r="O626" s="4" t="s">
        <v>2222</v>
      </c>
      <c r="P626" s="5">
        <f>DATE(2023,5,18)</f>
        <v>45064</v>
      </c>
      <c r="Q626" s="4" t="s">
        <v>2164</v>
      </c>
      <c r="R626" s="5">
        <f>DATE(2022,6,7)</f>
        <v>44719</v>
      </c>
      <c r="S626" s="4" t="s">
        <v>2223</v>
      </c>
      <c r="T626" s="5">
        <f>DATE(2022,3,3)</f>
        <v>44623</v>
      </c>
      <c r="U626" s="4" t="s">
        <v>53</v>
      </c>
      <c r="V626" s="5">
        <f>DATE(2021,12,21)</f>
        <v>44551</v>
      </c>
      <c r="W626" s="4" t="s">
        <v>2234</v>
      </c>
      <c r="X626" s="5">
        <f>DATE(2021,10,1)</f>
        <v>44470</v>
      </c>
    </row>
    <row r="627" spans="1:26" ht="55.05" customHeight="1" x14ac:dyDescent="0.3">
      <c r="A627" s="4" t="s">
        <v>2095</v>
      </c>
      <c r="B627" s="4" t="s">
        <v>18</v>
      </c>
      <c r="C627" s="4" t="s">
        <v>40</v>
      </c>
      <c r="D627" s="4" t="s">
        <v>58</v>
      </c>
      <c r="E627" s="4" t="s">
        <v>59</v>
      </c>
      <c r="F627" s="4" t="s">
        <v>42</v>
      </c>
      <c r="G627" s="4" t="s">
        <v>2235</v>
      </c>
      <c r="H627" s="4" t="s">
        <v>24</v>
      </c>
      <c r="I627" s="4" t="s">
        <v>25</v>
      </c>
      <c r="K627" s="4" t="s">
        <v>26</v>
      </c>
      <c r="L627" s="4" t="s">
        <v>2236</v>
      </c>
      <c r="O627" s="4" t="s">
        <v>2222</v>
      </c>
      <c r="P627" s="5">
        <f>DATE(2023,5,18)</f>
        <v>45064</v>
      </c>
      <c r="Q627" s="4" t="s">
        <v>2223</v>
      </c>
      <c r="R627" s="5">
        <f>DATE(2022,3,3)</f>
        <v>44623</v>
      </c>
      <c r="S627" s="4" t="s">
        <v>1448</v>
      </c>
      <c r="T627" s="5">
        <f>DATE(2021,12,21)</f>
        <v>44551</v>
      </c>
      <c r="U627" s="4" t="s">
        <v>2224</v>
      </c>
      <c r="V627" s="5">
        <f>DATE(2021,6,23)</f>
        <v>44370</v>
      </c>
    </row>
    <row r="628" spans="1:26" ht="55.05" customHeight="1" x14ac:dyDescent="0.3">
      <c r="A628" s="4" t="s">
        <v>2095</v>
      </c>
      <c r="B628" s="4" t="s">
        <v>18</v>
      </c>
      <c r="C628" s="4" t="s">
        <v>40</v>
      </c>
      <c r="D628" s="4" t="s">
        <v>58</v>
      </c>
      <c r="E628" s="4" t="s">
        <v>59</v>
      </c>
      <c r="F628" s="4" t="s">
        <v>42</v>
      </c>
      <c r="G628" s="4" t="s">
        <v>2237</v>
      </c>
      <c r="H628" s="4" t="s">
        <v>24</v>
      </c>
      <c r="I628" s="4" t="s">
        <v>25</v>
      </c>
      <c r="K628" s="4" t="s">
        <v>26</v>
      </c>
      <c r="L628" s="4" t="s">
        <v>2238</v>
      </c>
      <c r="O628" s="4" t="s">
        <v>2202</v>
      </c>
      <c r="P628" s="5">
        <f>DATE(2023,6,13)</f>
        <v>45090</v>
      </c>
      <c r="Q628" s="4" t="s">
        <v>2202</v>
      </c>
      <c r="R628" s="5">
        <f>DATE(2023,6,13)</f>
        <v>45090</v>
      </c>
      <c r="S628" s="4" t="s">
        <v>2222</v>
      </c>
      <c r="T628" s="5">
        <f>DATE(2023,5,18)</f>
        <v>45064</v>
      </c>
      <c r="U628" s="4" t="s">
        <v>2223</v>
      </c>
      <c r="V628" s="5">
        <f>DATE(2022,3,3)</f>
        <v>44623</v>
      </c>
      <c r="W628" s="4" t="s">
        <v>1448</v>
      </c>
      <c r="X628" s="5">
        <f>DATE(2021,12,21)</f>
        <v>44551</v>
      </c>
      <c r="Y628" s="4" t="s">
        <v>2224</v>
      </c>
      <c r="Z628" s="5">
        <f>DATE(2021,6,23)</f>
        <v>44370</v>
      </c>
    </row>
    <row r="629" spans="1:26" ht="55.05" customHeight="1" x14ac:dyDescent="0.3">
      <c r="A629" s="4" t="s">
        <v>2095</v>
      </c>
      <c r="B629" s="4" t="s">
        <v>18</v>
      </c>
      <c r="C629" s="4" t="s">
        <v>40</v>
      </c>
      <c r="D629" s="4" t="s">
        <v>58</v>
      </c>
      <c r="E629" s="4" t="s">
        <v>343</v>
      </c>
      <c r="F629" s="4" t="s">
        <v>42</v>
      </c>
      <c r="G629" s="4" t="s">
        <v>2239</v>
      </c>
      <c r="H629" s="4" t="s">
        <v>24</v>
      </c>
      <c r="I629" s="4" t="s">
        <v>25</v>
      </c>
      <c r="K629" s="4" t="s">
        <v>26</v>
      </c>
      <c r="L629" s="4" t="s">
        <v>2240</v>
      </c>
      <c r="O629" s="4" t="s">
        <v>2241</v>
      </c>
      <c r="P629" s="5">
        <f>DATE(2023,3,28)</f>
        <v>45013</v>
      </c>
      <c r="Q629" s="4" t="s">
        <v>2219</v>
      </c>
      <c r="R629" s="5">
        <f>DATE(2022,5,2)</f>
        <v>44683</v>
      </c>
      <c r="S629" s="4" t="s">
        <v>1448</v>
      </c>
      <c r="T629" s="5">
        <f>DATE(2021,12,21)</f>
        <v>44551</v>
      </c>
      <c r="U629" s="4" t="s">
        <v>2115</v>
      </c>
      <c r="V629" s="5">
        <f>DATE(2021,3,9)</f>
        <v>44264</v>
      </c>
    </row>
    <row r="630" spans="1:26" ht="55.05" customHeight="1" x14ac:dyDescent="0.3">
      <c r="A630" s="4" t="s">
        <v>2095</v>
      </c>
      <c r="B630" s="4" t="s">
        <v>18</v>
      </c>
      <c r="C630" s="4" t="s">
        <v>40</v>
      </c>
      <c r="D630" s="4" t="s">
        <v>58</v>
      </c>
      <c r="E630" s="4" t="s">
        <v>343</v>
      </c>
      <c r="F630" s="4" t="s">
        <v>42</v>
      </c>
      <c r="G630" s="4" t="s">
        <v>2242</v>
      </c>
      <c r="H630" s="4" t="s">
        <v>24</v>
      </c>
      <c r="I630" s="4" t="s">
        <v>25</v>
      </c>
      <c r="K630" s="4" t="s">
        <v>26</v>
      </c>
      <c r="L630" s="4" t="s">
        <v>2243</v>
      </c>
      <c r="O630" s="4" t="s">
        <v>2164</v>
      </c>
      <c r="P630" s="5">
        <f>DATE(2022,6,7)</f>
        <v>44719</v>
      </c>
      <c r="Q630" s="4" t="s">
        <v>2223</v>
      </c>
      <c r="R630" s="5">
        <f>DATE(2022,3,3)</f>
        <v>44623</v>
      </c>
      <c r="S630" s="4" t="s">
        <v>53</v>
      </c>
      <c r="T630" s="5">
        <f>DATE(2021,12,21)</f>
        <v>44551</v>
      </c>
      <c r="U630" s="4" t="s">
        <v>2115</v>
      </c>
      <c r="V630" s="5">
        <f>DATE(2021,3,9)</f>
        <v>44264</v>
      </c>
    </row>
    <row r="631" spans="1:26" ht="55.05" customHeight="1" x14ac:dyDescent="0.3">
      <c r="A631" s="4" t="s">
        <v>2095</v>
      </c>
      <c r="B631" s="4" t="s">
        <v>18</v>
      </c>
      <c r="C631" s="4" t="s">
        <v>40</v>
      </c>
      <c r="D631" s="4" t="s">
        <v>58</v>
      </c>
      <c r="E631" s="4" t="s">
        <v>343</v>
      </c>
      <c r="F631" s="4" t="s">
        <v>42</v>
      </c>
      <c r="G631" s="4" t="s">
        <v>2244</v>
      </c>
      <c r="H631" s="4" t="s">
        <v>24</v>
      </c>
      <c r="I631" s="4" t="s">
        <v>25</v>
      </c>
      <c r="K631" s="4" t="s">
        <v>26</v>
      </c>
      <c r="L631" s="4" t="s">
        <v>2245</v>
      </c>
      <c r="O631" s="4" t="s">
        <v>2223</v>
      </c>
      <c r="P631" s="5">
        <f>DATE(2022,3,3)</f>
        <v>44623</v>
      </c>
      <c r="Q631" s="4" t="s">
        <v>1448</v>
      </c>
      <c r="R631" s="5">
        <f>DATE(2021,12,21)</f>
        <v>44551</v>
      </c>
      <c r="S631" s="4" t="s">
        <v>2115</v>
      </c>
      <c r="T631" s="5">
        <f>DATE(2021,3,9)</f>
        <v>44264</v>
      </c>
    </row>
    <row r="632" spans="1:26" ht="55.05" customHeight="1" x14ac:dyDescent="0.3">
      <c r="A632" s="4" t="s">
        <v>2095</v>
      </c>
      <c r="B632" s="4" t="s">
        <v>18</v>
      </c>
      <c r="C632" s="4" t="s">
        <v>40</v>
      </c>
      <c r="D632" s="4" t="s">
        <v>58</v>
      </c>
      <c r="E632" s="4" t="s">
        <v>343</v>
      </c>
      <c r="F632" s="4" t="s">
        <v>42</v>
      </c>
      <c r="G632" s="4" t="s">
        <v>2246</v>
      </c>
      <c r="H632" s="4" t="s">
        <v>24</v>
      </c>
      <c r="I632" s="4" t="s">
        <v>25</v>
      </c>
      <c r="K632" s="4" t="s">
        <v>26</v>
      </c>
      <c r="L632" s="4" t="s">
        <v>2247</v>
      </c>
      <c r="O632" s="4" t="s">
        <v>2223</v>
      </c>
      <c r="P632" s="5">
        <f>DATE(2022,3,3)</f>
        <v>44623</v>
      </c>
      <c r="Q632" s="4" t="s">
        <v>1448</v>
      </c>
      <c r="R632" s="5">
        <f>DATE(2021,12,21)</f>
        <v>44551</v>
      </c>
      <c r="S632" s="4" t="s">
        <v>2115</v>
      </c>
      <c r="T632" s="5">
        <f>DATE(2021,3,9)</f>
        <v>44264</v>
      </c>
    </row>
    <row r="633" spans="1:26" ht="55.05" customHeight="1" x14ac:dyDescent="0.3">
      <c r="A633" s="4" t="s">
        <v>2095</v>
      </c>
      <c r="B633" s="4" t="s">
        <v>18</v>
      </c>
      <c r="C633" s="4" t="s">
        <v>40</v>
      </c>
      <c r="D633" s="4" t="s">
        <v>2248</v>
      </c>
      <c r="E633" s="4" t="s">
        <v>2249</v>
      </c>
      <c r="F633" s="4" t="s">
        <v>42</v>
      </c>
      <c r="G633" s="4" t="s">
        <v>2250</v>
      </c>
      <c r="H633" s="4" t="s">
        <v>24</v>
      </c>
      <c r="I633" s="4" t="s">
        <v>25</v>
      </c>
      <c r="K633" s="4" t="s">
        <v>26</v>
      </c>
      <c r="L633" s="4" t="s">
        <v>2251</v>
      </c>
      <c r="O633" s="4" t="s">
        <v>2219</v>
      </c>
      <c r="P633" s="5">
        <f>DATE(2022,5,2)</f>
        <v>44683</v>
      </c>
      <c r="Q633" s="4" t="s">
        <v>1448</v>
      </c>
      <c r="R633" s="5">
        <f>DATE(2021,12,21)</f>
        <v>44551</v>
      </c>
      <c r="S633" s="4" t="s">
        <v>125</v>
      </c>
      <c r="T633" s="5">
        <f>DATE(2020,7,21)</f>
        <v>44033</v>
      </c>
    </row>
    <row r="634" spans="1:26" ht="55.05" customHeight="1" x14ac:dyDescent="0.3">
      <c r="A634" s="4" t="s">
        <v>2095</v>
      </c>
      <c r="B634" s="4" t="s">
        <v>18</v>
      </c>
      <c r="C634" s="4" t="s">
        <v>40</v>
      </c>
      <c r="D634" s="4" t="s">
        <v>2248</v>
      </c>
      <c r="E634" s="4" t="s">
        <v>2249</v>
      </c>
      <c r="F634" s="4" t="s">
        <v>42</v>
      </c>
      <c r="G634" s="4" t="s">
        <v>2252</v>
      </c>
      <c r="H634" s="4" t="s">
        <v>24</v>
      </c>
      <c r="I634" s="4" t="s">
        <v>25</v>
      </c>
      <c r="K634" s="4" t="s">
        <v>26</v>
      </c>
      <c r="L634" s="4" t="s">
        <v>2253</v>
      </c>
      <c r="O634" s="4" t="s">
        <v>690</v>
      </c>
      <c r="P634" s="5">
        <f>DATE(2022,4,12)</f>
        <v>44663</v>
      </c>
      <c r="Q634" s="4" t="s">
        <v>1448</v>
      </c>
      <c r="R634" s="5">
        <f>DATE(2021,12,21)</f>
        <v>44551</v>
      </c>
      <c r="S634" s="4" t="s">
        <v>2234</v>
      </c>
      <c r="T634" s="5">
        <f>DATE(2021,10,1)</f>
        <v>44470</v>
      </c>
    </row>
    <row r="635" spans="1:26" ht="55.05" customHeight="1" x14ac:dyDescent="0.3">
      <c r="A635" s="4" t="s">
        <v>2095</v>
      </c>
      <c r="B635" s="4" t="s">
        <v>18</v>
      </c>
      <c r="C635" s="4" t="s">
        <v>357</v>
      </c>
      <c r="D635" s="4" t="s">
        <v>20</v>
      </c>
      <c r="E635" s="4" t="s">
        <v>358</v>
      </c>
      <c r="F635" s="4" t="s">
        <v>22</v>
      </c>
      <c r="G635" s="4" t="s">
        <v>2254</v>
      </c>
      <c r="H635" s="4" t="s">
        <v>24</v>
      </c>
      <c r="I635" s="4" t="s">
        <v>25</v>
      </c>
      <c r="K635" s="4" t="s">
        <v>26</v>
      </c>
      <c r="L635" s="4" t="s">
        <v>2255</v>
      </c>
      <c r="O635" s="4" t="s">
        <v>2143</v>
      </c>
      <c r="P635" s="5">
        <f>DATE(2022,2,16)</f>
        <v>44608</v>
      </c>
      <c r="Q635" s="4" t="s">
        <v>1448</v>
      </c>
      <c r="R635" s="5">
        <f>DATE(2021,12,21)</f>
        <v>44551</v>
      </c>
      <c r="S635" s="4" t="s">
        <v>2115</v>
      </c>
      <c r="T635" s="5">
        <f>DATE(2021,3,9)</f>
        <v>44264</v>
      </c>
    </row>
    <row r="636" spans="1:26" ht="55.05" customHeight="1" x14ac:dyDescent="0.3">
      <c r="A636" s="4" t="s">
        <v>2095</v>
      </c>
      <c r="B636" s="4" t="s">
        <v>18</v>
      </c>
      <c r="C636" s="4" t="s">
        <v>357</v>
      </c>
      <c r="D636" s="4" t="s">
        <v>20</v>
      </c>
      <c r="E636" s="4" t="s">
        <v>358</v>
      </c>
      <c r="F636" s="4" t="s">
        <v>22</v>
      </c>
      <c r="G636" s="4" t="s">
        <v>2256</v>
      </c>
      <c r="H636" s="4" t="s">
        <v>24</v>
      </c>
      <c r="I636" s="4" t="s">
        <v>25</v>
      </c>
      <c r="K636" s="4" t="s">
        <v>26</v>
      </c>
      <c r="L636" s="4" t="s">
        <v>2257</v>
      </c>
      <c r="O636" s="4" t="s">
        <v>1448</v>
      </c>
      <c r="P636" s="5">
        <f>DATE(2021,12,21)</f>
        <v>44551</v>
      </c>
      <c r="Q636" s="4" t="s">
        <v>2115</v>
      </c>
      <c r="R636" s="5">
        <f>DATE(2021,3,9)</f>
        <v>44264</v>
      </c>
    </row>
    <row r="637" spans="1:26" ht="55.05" customHeight="1" x14ac:dyDescent="0.3">
      <c r="A637" s="4" t="s">
        <v>2095</v>
      </c>
      <c r="B637" s="4" t="s">
        <v>18</v>
      </c>
      <c r="C637" s="4" t="s">
        <v>357</v>
      </c>
      <c r="D637" s="4" t="s">
        <v>20</v>
      </c>
      <c r="E637" s="4" t="s">
        <v>358</v>
      </c>
      <c r="F637" s="4" t="s">
        <v>22</v>
      </c>
      <c r="G637" s="4" t="s">
        <v>2258</v>
      </c>
      <c r="H637" s="4" t="s">
        <v>24</v>
      </c>
      <c r="I637" s="4" t="s">
        <v>25</v>
      </c>
      <c r="K637" s="4" t="s">
        <v>26</v>
      </c>
      <c r="L637" s="4" t="s">
        <v>2259</v>
      </c>
      <c r="O637" s="4" t="s">
        <v>1448</v>
      </c>
      <c r="P637" s="5">
        <f>DATE(2021,12,21)</f>
        <v>44551</v>
      </c>
      <c r="Q637" s="4" t="s">
        <v>2115</v>
      </c>
      <c r="R637" s="5">
        <f>DATE(2021,3,9)</f>
        <v>44264</v>
      </c>
    </row>
    <row r="638" spans="1:26" ht="55.05" customHeight="1" x14ac:dyDescent="0.3">
      <c r="A638" s="4" t="s">
        <v>2095</v>
      </c>
      <c r="B638" s="4" t="s">
        <v>18</v>
      </c>
      <c r="C638" s="4" t="s">
        <v>2260</v>
      </c>
      <c r="D638" s="4" t="s">
        <v>20</v>
      </c>
      <c r="E638" s="4" t="s">
        <v>2261</v>
      </c>
      <c r="F638" s="4" t="s">
        <v>22</v>
      </c>
      <c r="G638" s="4" t="s">
        <v>2262</v>
      </c>
      <c r="H638" s="4" t="s">
        <v>24</v>
      </c>
      <c r="I638" s="4" t="s">
        <v>25</v>
      </c>
      <c r="K638" s="4" t="s">
        <v>26</v>
      </c>
      <c r="L638" s="4" t="s">
        <v>2263</v>
      </c>
      <c r="O638" s="4" t="s">
        <v>2264</v>
      </c>
      <c r="P638" s="5">
        <f>DATE(2022,9,27)</f>
        <v>44831</v>
      </c>
      <c r="Q638" s="4" t="s">
        <v>1448</v>
      </c>
      <c r="R638" s="5">
        <f>DATE(2021,12,21)</f>
        <v>44551</v>
      </c>
      <c r="S638" s="4" t="s">
        <v>2265</v>
      </c>
      <c r="T638" s="5">
        <f>DATE(2021,5,11)</f>
        <v>44327</v>
      </c>
    </row>
    <row r="639" spans="1:26" ht="55.05" customHeight="1" x14ac:dyDescent="0.3">
      <c r="A639" s="4" t="s">
        <v>2095</v>
      </c>
      <c r="B639" s="4" t="s">
        <v>18</v>
      </c>
      <c r="C639" s="4" t="s">
        <v>2260</v>
      </c>
      <c r="D639" s="4" t="s">
        <v>20</v>
      </c>
      <c r="E639" s="4" t="s">
        <v>2261</v>
      </c>
      <c r="F639" s="4" t="s">
        <v>22</v>
      </c>
      <c r="G639" s="4" t="s">
        <v>2266</v>
      </c>
      <c r="H639" s="4" t="s">
        <v>32</v>
      </c>
      <c r="I639" s="4" t="s">
        <v>33</v>
      </c>
      <c r="J639" s="5">
        <f>DATE(2022,7,22)</f>
        <v>44764</v>
      </c>
      <c r="K639" s="4" t="s">
        <v>26</v>
      </c>
      <c r="L639" s="4" t="s">
        <v>2267</v>
      </c>
      <c r="O639" s="4" t="s">
        <v>1448</v>
      </c>
      <c r="P639" s="5">
        <f>DATE(2021,12,21)</f>
        <v>44551</v>
      </c>
      <c r="Q639" s="4" t="s">
        <v>2268</v>
      </c>
      <c r="R639" s="5">
        <f>DATE(2019,10,14)</f>
        <v>43752</v>
      </c>
    </row>
    <row r="640" spans="1:26" ht="55.05" customHeight="1" x14ac:dyDescent="0.3">
      <c r="A640" s="4" t="s">
        <v>2095</v>
      </c>
      <c r="B640" s="4" t="s">
        <v>18</v>
      </c>
      <c r="C640" s="4" t="s">
        <v>2260</v>
      </c>
      <c r="D640" s="4" t="s">
        <v>20</v>
      </c>
      <c r="E640" s="4" t="s">
        <v>2261</v>
      </c>
      <c r="F640" s="4" t="s">
        <v>22</v>
      </c>
      <c r="G640" s="4" t="s">
        <v>2269</v>
      </c>
      <c r="H640" s="4" t="s">
        <v>32</v>
      </c>
      <c r="I640" s="4" t="s">
        <v>33</v>
      </c>
      <c r="J640" s="5">
        <f>DATE(2022,7,22)</f>
        <v>44764</v>
      </c>
      <c r="K640" s="4" t="s">
        <v>26</v>
      </c>
      <c r="L640" s="4" t="s">
        <v>2270</v>
      </c>
      <c r="O640" s="4" t="s">
        <v>1448</v>
      </c>
      <c r="P640" s="5">
        <f>DATE(2021,12,21)</f>
        <v>44551</v>
      </c>
      <c r="Q640" s="4" t="s">
        <v>2268</v>
      </c>
      <c r="R640" s="5">
        <f>DATE(2019,10,14)</f>
        <v>43752</v>
      </c>
    </row>
    <row r="641" spans="1:22" ht="55.05" customHeight="1" x14ac:dyDescent="0.3">
      <c r="A641" s="4" t="s">
        <v>2095</v>
      </c>
      <c r="B641" s="4" t="s">
        <v>64</v>
      </c>
      <c r="C641" s="4" t="s">
        <v>65</v>
      </c>
      <c r="D641" s="4" t="s">
        <v>20</v>
      </c>
      <c r="E641" s="4" t="s">
        <v>2271</v>
      </c>
      <c r="F641" s="4" t="s">
        <v>22</v>
      </c>
      <c r="G641" s="4" t="s">
        <v>2272</v>
      </c>
      <c r="H641" s="4" t="s">
        <v>24</v>
      </c>
      <c r="I641" s="4" t="s">
        <v>25</v>
      </c>
      <c r="K641" s="4" t="s">
        <v>26</v>
      </c>
      <c r="L641" s="4" t="s">
        <v>2273</v>
      </c>
      <c r="O641" s="4" t="s">
        <v>2114</v>
      </c>
      <c r="P641" s="5">
        <f>DATE(2021,12,21)</f>
        <v>44551</v>
      </c>
      <c r="Q641" s="4" t="s">
        <v>2115</v>
      </c>
      <c r="R641" s="5">
        <f>DATE(2021,3,9)</f>
        <v>44264</v>
      </c>
    </row>
    <row r="642" spans="1:22" ht="55.05" customHeight="1" x14ac:dyDescent="0.3">
      <c r="A642" s="4" t="s">
        <v>2095</v>
      </c>
      <c r="B642" s="4" t="s">
        <v>64</v>
      </c>
      <c r="C642" s="4" t="s">
        <v>65</v>
      </c>
      <c r="D642" s="4" t="s">
        <v>66</v>
      </c>
      <c r="E642" s="4" t="s">
        <v>754</v>
      </c>
      <c r="F642" s="4" t="s">
        <v>22</v>
      </c>
      <c r="G642" s="4" t="s">
        <v>2274</v>
      </c>
      <c r="H642" s="4" t="s">
        <v>24</v>
      </c>
      <c r="I642" s="4" t="s">
        <v>25</v>
      </c>
      <c r="K642" s="4" t="s">
        <v>26</v>
      </c>
      <c r="L642" s="4" t="s">
        <v>2275</v>
      </c>
      <c r="O642" s="4" t="s">
        <v>2114</v>
      </c>
      <c r="P642" s="5">
        <f>DATE(2021,12,21)</f>
        <v>44551</v>
      </c>
      <c r="Q642" s="4" t="s">
        <v>2115</v>
      </c>
      <c r="R642" s="5">
        <f>DATE(2021,3,9)</f>
        <v>44264</v>
      </c>
    </row>
    <row r="643" spans="1:22" ht="55.05" customHeight="1" x14ac:dyDescent="0.3">
      <c r="A643" s="4" t="s">
        <v>2095</v>
      </c>
      <c r="B643" s="4" t="s">
        <v>64</v>
      </c>
      <c r="C643" s="4" t="s">
        <v>65</v>
      </c>
      <c r="D643" s="4" t="s">
        <v>66</v>
      </c>
      <c r="E643" s="4" t="s">
        <v>754</v>
      </c>
      <c r="F643" s="4" t="s">
        <v>22</v>
      </c>
      <c r="G643" s="4" t="s">
        <v>2276</v>
      </c>
      <c r="H643" s="4" t="s">
        <v>24</v>
      </c>
      <c r="I643" s="4" t="s">
        <v>25</v>
      </c>
      <c r="K643" s="4" t="s">
        <v>26</v>
      </c>
      <c r="L643" s="4" t="s">
        <v>2277</v>
      </c>
      <c r="O643" s="4" t="s">
        <v>768</v>
      </c>
      <c r="P643" s="5">
        <f>DATE(2023,12,22)</f>
        <v>45282</v>
      </c>
      <c r="Q643" s="4" t="s">
        <v>2114</v>
      </c>
      <c r="R643" s="5">
        <f>DATE(2021,12,21)</f>
        <v>44551</v>
      </c>
      <c r="S643" s="4" t="s">
        <v>2115</v>
      </c>
      <c r="T643" s="5">
        <f>DATE(2021,3,9)</f>
        <v>44264</v>
      </c>
    </row>
    <row r="644" spans="1:22" ht="55.05" customHeight="1" x14ac:dyDescent="0.3">
      <c r="A644" s="4" t="s">
        <v>2095</v>
      </c>
      <c r="B644" s="4" t="s">
        <v>64</v>
      </c>
      <c r="C644" s="4" t="s">
        <v>65</v>
      </c>
      <c r="D644" s="4" t="s">
        <v>66</v>
      </c>
      <c r="E644" s="4" t="s">
        <v>754</v>
      </c>
      <c r="F644" s="4" t="s">
        <v>22</v>
      </c>
      <c r="G644" s="4" t="s">
        <v>2278</v>
      </c>
      <c r="H644" s="4" t="s">
        <v>24</v>
      </c>
      <c r="I644" s="4" t="s">
        <v>25</v>
      </c>
      <c r="K644" s="4" t="s">
        <v>26</v>
      </c>
      <c r="L644" s="4" t="s">
        <v>2279</v>
      </c>
      <c r="O644" s="4" t="s">
        <v>768</v>
      </c>
      <c r="P644" s="5">
        <f>DATE(2023,12,22)</f>
        <v>45282</v>
      </c>
      <c r="Q644" s="4" t="s">
        <v>2114</v>
      </c>
      <c r="R644" s="5">
        <f>DATE(2021,12,21)</f>
        <v>44551</v>
      </c>
      <c r="S644" s="4" t="s">
        <v>2115</v>
      </c>
      <c r="T644" s="5">
        <f>DATE(2021,3,9)</f>
        <v>44264</v>
      </c>
    </row>
    <row r="645" spans="1:22" ht="55.05" customHeight="1" x14ac:dyDescent="0.3">
      <c r="A645" s="4" t="s">
        <v>2095</v>
      </c>
      <c r="B645" s="4" t="s">
        <v>64</v>
      </c>
      <c r="C645" s="4" t="s">
        <v>65</v>
      </c>
      <c r="D645" s="4" t="s">
        <v>66</v>
      </c>
      <c r="E645" s="4" t="s">
        <v>2280</v>
      </c>
      <c r="F645" s="4" t="s">
        <v>22</v>
      </c>
      <c r="G645" s="4" t="s">
        <v>2281</v>
      </c>
      <c r="H645" s="4" t="s">
        <v>24</v>
      </c>
      <c r="I645" s="4" t="s">
        <v>25</v>
      </c>
      <c r="K645" s="4" t="s">
        <v>26</v>
      </c>
      <c r="L645" s="4" t="s">
        <v>2282</v>
      </c>
      <c r="O645" s="4" t="s">
        <v>2283</v>
      </c>
      <c r="P645" s="5">
        <f>DATE(2022,6,28)</f>
        <v>44740</v>
      </c>
      <c r="Q645" s="4" t="s">
        <v>2114</v>
      </c>
      <c r="R645" s="5">
        <f>DATE(2021,12,21)</f>
        <v>44551</v>
      </c>
      <c r="S645" s="4" t="s">
        <v>2115</v>
      </c>
      <c r="T645" s="5">
        <f>DATE(2021,3,9)</f>
        <v>44264</v>
      </c>
    </row>
    <row r="646" spans="1:22" ht="55.05" customHeight="1" x14ac:dyDescent="0.3">
      <c r="A646" s="4" t="s">
        <v>2095</v>
      </c>
      <c r="B646" s="4" t="s">
        <v>64</v>
      </c>
      <c r="C646" s="4" t="s">
        <v>65</v>
      </c>
      <c r="D646" s="4" t="s">
        <v>66</v>
      </c>
      <c r="E646" s="4" t="s">
        <v>67</v>
      </c>
      <c r="F646" s="4" t="s">
        <v>22</v>
      </c>
      <c r="G646" s="4" t="s">
        <v>2284</v>
      </c>
      <c r="H646" s="4" t="s">
        <v>24</v>
      </c>
      <c r="I646" s="4" t="s">
        <v>25</v>
      </c>
      <c r="K646" s="4" t="s">
        <v>26</v>
      </c>
      <c r="L646" s="4" t="s">
        <v>2285</v>
      </c>
      <c r="O646" s="4" t="s">
        <v>2286</v>
      </c>
      <c r="P646" s="5">
        <f>DATE(2022,12,15)</f>
        <v>44910</v>
      </c>
      <c r="Q646" s="4" t="s">
        <v>2114</v>
      </c>
      <c r="R646" s="5">
        <f>DATE(2021,12,21)</f>
        <v>44551</v>
      </c>
      <c r="S646" s="4" t="s">
        <v>2115</v>
      </c>
      <c r="T646" s="5">
        <f>DATE(2021,3,9)</f>
        <v>44264</v>
      </c>
    </row>
    <row r="647" spans="1:22" ht="55.05" customHeight="1" x14ac:dyDescent="0.3">
      <c r="A647" s="4" t="s">
        <v>2095</v>
      </c>
      <c r="B647" s="4" t="s">
        <v>64</v>
      </c>
      <c r="C647" s="4" t="s">
        <v>65</v>
      </c>
      <c r="D647" s="4" t="s">
        <v>66</v>
      </c>
      <c r="E647" s="4" t="s">
        <v>67</v>
      </c>
      <c r="F647" s="4" t="s">
        <v>22</v>
      </c>
      <c r="G647" s="4" t="s">
        <v>2287</v>
      </c>
      <c r="H647" s="4" t="s">
        <v>24</v>
      </c>
      <c r="I647" s="4" t="s">
        <v>25</v>
      </c>
      <c r="K647" s="4" t="s">
        <v>26</v>
      </c>
      <c r="L647" s="4" t="s">
        <v>2288</v>
      </c>
      <c r="O647" s="4" t="s">
        <v>2114</v>
      </c>
      <c r="P647" s="5">
        <f>DATE(2021,12,21)</f>
        <v>44551</v>
      </c>
      <c r="Q647" s="4" t="s">
        <v>2115</v>
      </c>
      <c r="R647" s="5">
        <f>DATE(2021,3,9)</f>
        <v>44264</v>
      </c>
    </row>
    <row r="648" spans="1:22" ht="55.05" customHeight="1" x14ac:dyDescent="0.3">
      <c r="A648" s="4" t="s">
        <v>2095</v>
      </c>
      <c r="B648" s="4" t="s">
        <v>64</v>
      </c>
      <c r="C648" s="4" t="s">
        <v>65</v>
      </c>
      <c r="D648" s="4" t="s">
        <v>66</v>
      </c>
      <c r="E648" s="4" t="s">
        <v>67</v>
      </c>
      <c r="F648" s="4" t="s">
        <v>22</v>
      </c>
      <c r="G648" s="4" t="s">
        <v>2289</v>
      </c>
      <c r="H648" s="4" t="s">
        <v>24</v>
      </c>
      <c r="I648" s="4" t="s">
        <v>25</v>
      </c>
      <c r="K648" s="4" t="s">
        <v>26</v>
      </c>
      <c r="L648" s="4" t="s">
        <v>2290</v>
      </c>
      <c r="O648" s="4" t="s">
        <v>2114</v>
      </c>
      <c r="P648" s="5">
        <f>DATE(2021,12,21)</f>
        <v>44551</v>
      </c>
      <c r="Q648" s="4" t="s">
        <v>2115</v>
      </c>
      <c r="R648" s="5">
        <f>DATE(2021,3,9)</f>
        <v>44264</v>
      </c>
    </row>
    <row r="649" spans="1:22" ht="55.05" customHeight="1" x14ac:dyDescent="0.3">
      <c r="A649" s="4" t="s">
        <v>2095</v>
      </c>
      <c r="B649" s="4" t="s">
        <v>64</v>
      </c>
      <c r="C649" s="4" t="s">
        <v>65</v>
      </c>
      <c r="D649" s="4" t="s">
        <v>66</v>
      </c>
      <c r="E649" s="4" t="s">
        <v>2291</v>
      </c>
      <c r="F649" s="4" t="s">
        <v>22</v>
      </c>
      <c r="G649" s="4" t="s">
        <v>2292</v>
      </c>
      <c r="H649" s="4" t="s">
        <v>24</v>
      </c>
      <c r="I649" s="4" t="s">
        <v>25</v>
      </c>
      <c r="K649" s="4" t="s">
        <v>26</v>
      </c>
      <c r="L649" s="4" t="s">
        <v>2293</v>
      </c>
      <c r="O649" s="4" t="s">
        <v>2114</v>
      </c>
      <c r="P649" s="5">
        <f>DATE(2021,12,21)</f>
        <v>44551</v>
      </c>
      <c r="Q649" s="4" t="s">
        <v>2294</v>
      </c>
      <c r="R649" s="5">
        <f>DATE(2020,10,22)</f>
        <v>44126</v>
      </c>
    </row>
    <row r="650" spans="1:22" ht="55.05" customHeight="1" x14ac:dyDescent="0.3">
      <c r="A650" s="4" t="s">
        <v>2095</v>
      </c>
      <c r="B650" s="4" t="s">
        <v>64</v>
      </c>
      <c r="C650" s="4" t="s">
        <v>75</v>
      </c>
      <c r="D650" s="4" t="s">
        <v>20</v>
      </c>
      <c r="E650" s="4" t="s">
        <v>76</v>
      </c>
      <c r="F650" s="4" t="s">
        <v>42</v>
      </c>
      <c r="G650" s="4" t="s">
        <v>2295</v>
      </c>
      <c r="H650" s="4" t="s">
        <v>32</v>
      </c>
      <c r="I650" s="4" t="s">
        <v>2296</v>
      </c>
      <c r="J650" s="5">
        <f>DATE(2023,1,10)</f>
        <v>44936</v>
      </c>
      <c r="K650" s="4" t="s">
        <v>26</v>
      </c>
      <c r="L650" s="4" t="s">
        <v>2297</v>
      </c>
      <c r="O650" s="4" t="s">
        <v>25</v>
      </c>
      <c r="P650" s="5">
        <f>DATE(2022,12,16)</f>
        <v>44911</v>
      </c>
      <c r="Q650" s="4" t="s">
        <v>372</v>
      </c>
      <c r="R650" s="5">
        <f>DATE(2020,7,21)</f>
        <v>44033</v>
      </c>
    </row>
    <row r="651" spans="1:22" ht="55.05" customHeight="1" x14ac:dyDescent="0.3">
      <c r="A651" s="4" t="s">
        <v>2095</v>
      </c>
      <c r="B651" s="4" t="s">
        <v>81</v>
      </c>
      <c r="C651" s="4" t="s">
        <v>2298</v>
      </c>
      <c r="D651" s="4" t="s">
        <v>20</v>
      </c>
      <c r="E651" s="4" t="s">
        <v>2299</v>
      </c>
      <c r="F651" s="4" t="s">
        <v>22</v>
      </c>
      <c r="G651" s="4" t="s">
        <v>2300</v>
      </c>
      <c r="H651" s="4" t="s">
        <v>24</v>
      </c>
      <c r="I651" s="4" t="s">
        <v>25</v>
      </c>
      <c r="K651" s="4" t="s">
        <v>26</v>
      </c>
      <c r="L651" s="4" t="s">
        <v>2301</v>
      </c>
      <c r="O651" s="4" t="s">
        <v>1448</v>
      </c>
      <c r="P651" s="5">
        <f>DATE(2021,12,21)</f>
        <v>44551</v>
      </c>
      <c r="Q651" s="4" t="s">
        <v>2302</v>
      </c>
      <c r="R651" s="5">
        <f>DATE(2021,3,30)</f>
        <v>44285</v>
      </c>
    </row>
    <row r="652" spans="1:22" ht="55.05" customHeight="1" x14ac:dyDescent="0.3">
      <c r="A652" s="4" t="s">
        <v>2095</v>
      </c>
      <c r="B652" s="4" t="s">
        <v>81</v>
      </c>
      <c r="C652" s="4" t="s">
        <v>82</v>
      </c>
      <c r="D652" s="4" t="s">
        <v>20</v>
      </c>
      <c r="E652" s="4" t="s">
        <v>83</v>
      </c>
      <c r="F652" s="4" t="s">
        <v>84</v>
      </c>
      <c r="G652" s="4" t="s">
        <v>2303</v>
      </c>
      <c r="H652" s="4" t="s">
        <v>24</v>
      </c>
      <c r="I652" s="4" t="s">
        <v>25</v>
      </c>
      <c r="K652" s="4" t="s">
        <v>26</v>
      </c>
      <c r="L652" s="4" t="s">
        <v>2304</v>
      </c>
      <c r="O652" s="4" t="s">
        <v>804</v>
      </c>
      <c r="P652" s="5">
        <f>DATE(2023,5,22)</f>
        <v>45068</v>
      </c>
      <c r="Q652" s="4" t="s">
        <v>1448</v>
      </c>
      <c r="R652" s="5">
        <f>DATE(2021,12,21)</f>
        <v>44551</v>
      </c>
      <c r="S652" s="4" t="s">
        <v>2305</v>
      </c>
      <c r="T652" s="5">
        <f>DATE(2019,12,11)</f>
        <v>43810</v>
      </c>
    </row>
    <row r="653" spans="1:22" ht="55.05" customHeight="1" x14ac:dyDescent="0.3">
      <c r="A653" s="4" t="s">
        <v>2095</v>
      </c>
      <c r="B653" s="4" t="s">
        <v>81</v>
      </c>
      <c r="C653" s="4" t="s">
        <v>82</v>
      </c>
      <c r="D653" s="4" t="s">
        <v>20</v>
      </c>
      <c r="E653" s="4" t="s">
        <v>83</v>
      </c>
      <c r="F653" s="4" t="s">
        <v>84</v>
      </c>
      <c r="G653" s="4" t="s">
        <v>2306</v>
      </c>
      <c r="H653" s="4" t="s">
        <v>24</v>
      </c>
      <c r="I653" s="4" t="s">
        <v>25</v>
      </c>
      <c r="K653" s="4" t="s">
        <v>26</v>
      </c>
      <c r="L653" s="4" t="s">
        <v>2307</v>
      </c>
      <c r="O653" s="4" t="s">
        <v>804</v>
      </c>
      <c r="P653" s="5">
        <f>DATE(2023,5,22)</f>
        <v>45068</v>
      </c>
      <c r="Q653" s="4" t="s">
        <v>2308</v>
      </c>
      <c r="R653" s="5">
        <f>DATE(2022,3,18)</f>
        <v>44638</v>
      </c>
      <c r="S653" s="4" t="s">
        <v>1448</v>
      </c>
      <c r="T653" s="5">
        <f>DATE(2021,12,21)</f>
        <v>44551</v>
      </c>
      <c r="U653" s="4" t="s">
        <v>2309</v>
      </c>
      <c r="V653" s="5">
        <f>DATE(2020,4,29)</f>
        <v>43950</v>
      </c>
    </row>
    <row r="654" spans="1:22" ht="55.05" customHeight="1" x14ac:dyDescent="0.3">
      <c r="A654" s="4" t="s">
        <v>2095</v>
      </c>
      <c r="B654" s="4" t="s">
        <v>81</v>
      </c>
      <c r="C654" s="4" t="s">
        <v>82</v>
      </c>
      <c r="D654" s="4" t="s">
        <v>20</v>
      </c>
      <c r="E654" s="4" t="s">
        <v>83</v>
      </c>
      <c r="F654" s="4" t="s">
        <v>84</v>
      </c>
      <c r="G654" s="4" t="s">
        <v>2310</v>
      </c>
      <c r="H654" s="4" t="s">
        <v>24</v>
      </c>
      <c r="I654" s="4" t="s">
        <v>25</v>
      </c>
      <c r="K654" s="4" t="s">
        <v>26</v>
      </c>
      <c r="L654" s="4" t="s">
        <v>2311</v>
      </c>
      <c r="O654" s="4" t="s">
        <v>804</v>
      </c>
      <c r="P654" s="5">
        <f>DATE(2023,5,22)</f>
        <v>45068</v>
      </c>
      <c r="Q654" s="4" t="s">
        <v>2308</v>
      </c>
      <c r="R654" s="5">
        <f>DATE(2022,3,18)</f>
        <v>44638</v>
      </c>
      <c r="S654" s="4" t="s">
        <v>1448</v>
      </c>
      <c r="T654" s="5">
        <f>DATE(2021,12,21)</f>
        <v>44551</v>
      </c>
      <c r="U654" s="4" t="s">
        <v>2309</v>
      </c>
      <c r="V654" s="5">
        <f>DATE(2020,4,29)</f>
        <v>43950</v>
      </c>
    </row>
    <row r="655" spans="1:22" ht="55.05" customHeight="1" x14ac:dyDescent="0.3">
      <c r="A655" s="4" t="s">
        <v>2095</v>
      </c>
      <c r="B655" s="4" t="s">
        <v>81</v>
      </c>
      <c r="C655" s="4" t="s">
        <v>82</v>
      </c>
      <c r="D655" s="4" t="s">
        <v>20</v>
      </c>
      <c r="E655" s="4" t="s">
        <v>373</v>
      </c>
      <c r="F655" s="4" t="s">
        <v>84</v>
      </c>
      <c r="G655" s="4" t="s">
        <v>2312</v>
      </c>
      <c r="H655" s="4" t="s">
        <v>24</v>
      </c>
      <c r="I655" s="4" t="s">
        <v>25</v>
      </c>
      <c r="K655" s="4" t="s">
        <v>26</v>
      </c>
      <c r="L655" s="4" t="s">
        <v>2313</v>
      </c>
      <c r="O655" s="4" t="s">
        <v>2314</v>
      </c>
      <c r="P655" s="5">
        <f>DATE(2022,11,24)</f>
        <v>44889</v>
      </c>
      <c r="Q655" s="4" t="s">
        <v>1448</v>
      </c>
      <c r="R655" s="5">
        <f>DATE(2021,12,21)</f>
        <v>44551</v>
      </c>
      <c r="S655" s="4" t="s">
        <v>2305</v>
      </c>
      <c r="T655" s="5">
        <f>DATE(2019,12,11)</f>
        <v>43810</v>
      </c>
    </row>
    <row r="656" spans="1:22" ht="55.05" customHeight="1" x14ac:dyDescent="0.3">
      <c r="A656" s="4" t="s">
        <v>2095</v>
      </c>
      <c r="B656" s="4" t="s">
        <v>81</v>
      </c>
      <c r="C656" s="4" t="s">
        <v>82</v>
      </c>
      <c r="D656" s="4" t="s">
        <v>20</v>
      </c>
      <c r="E656" s="4" t="s">
        <v>373</v>
      </c>
      <c r="F656" s="4" t="s">
        <v>84</v>
      </c>
      <c r="G656" s="4" t="s">
        <v>2315</v>
      </c>
      <c r="H656" s="4" t="s">
        <v>24</v>
      </c>
      <c r="I656" s="4" t="s">
        <v>25</v>
      </c>
      <c r="K656" s="4" t="s">
        <v>26</v>
      </c>
      <c r="L656" s="4" t="s">
        <v>2316</v>
      </c>
      <c r="O656" s="4" t="s">
        <v>800</v>
      </c>
      <c r="P656" s="5">
        <f>DATE(2022,4,7)</f>
        <v>44658</v>
      </c>
      <c r="Q656" s="4" t="s">
        <v>1448</v>
      </c>
      <c r="R656" s="5">
        <f>DATE(2021,12,21)</f>
        <v>44551</v>
      </c>
      <c r="S656" s="4" t="s">
        <v>372</v>
      </c>
      <c r="T656" s="5">
        <f>DATE(2020,7,21)</f>
        <v>44033</v>
      </c>
    </row>
    <row r="657" spans="1:20" ht="55.05" customHeight="1" x14ac:dyDescent="0.3">
      <c r="A657" s="4" t="s">
        <v>2095</v>
      </c>
      <c r="B657" s="4" t="s">
        <v>81</v>
      </c>
      <c r="C657" s="4" t="s">
        <v>82</v>
      </c>
      <c r="D657" s="4" t="s">
        <v>20</v>
      </c>
      <c r="E657" s="4" t="s">
        <v>373</v>
      </c>
      <c r="F657" s="4" t="s">
        <v>84</v>
      </c>
      <c r="G657" s="4" t="s">
        <v>2317</v>
      </c>
      <c r="H657" s="4" t="s">
        <v>24</v>
      </c>
      <c r="I657" s="4" t="s">
        <v>25</v>
      </c>
      <c r="K657" s="4" t="s">
        <v>26</v>
      </c>
      <c r="L657" s="4" t="s">
        <v>2318</v>
      </c>
      <c r="O657" s="4" t="s">
        <v>800</v>
      </c>
      <c r="P657" s="5">
        <f>DATE(2022,4,7)</f>
        <v>44658</v>
      </c>
      <c r="Q657" s="4" t="s">
        <v>1448</v>
      </c>
      <c r="R657" s="5">
        <f>DATE(2021,12,21)</f>
        <v>44551</v>
      </c>
      <c r="S657" s="4" t="s">
        <v>2319</v>
      </c>
      <c r="T657" s="5">
        <f>DATE(2019,10,14)</f>
        <v>43752</v>
      </c>
    </row>
    <row r="658" spans="1:20" ht="55.05" customHeight="1" x14ac:dyDescent="0.3">
      <c r="A658" s="4" t="s">
        <v>2095</v>
      </c>
      <c r="B658" s="4" t="s">
        <v>81</v>
      </c>
      <c r="C658" s="4" t="s">
        <v>82</v>
      </c>
      <c r="D658" s="4" t="s">
        <v>20</v>
      </c>
      <c r="E658" s="4" t="s">
        <v>373</v>
      </c>
      <c r="F658" s="4" t="s">
        <v>84</v>
      </c>
      <c r="G658" s="4" t="s">
        <v>2320</v>
      </c>
      <c r="H658" s="4" t="s">
        <v>24</v>
      </c>
      <c r="I658" s="4" t="s">
        <v>25</v>
      </c>
      <c r="K658" s="4" t="s">
        <v>26</v>
      </c>
      <c r="L658" s="4" t="s">
        <v>2321</v>
      </c>
      <c r="M658" s="4" t="s">
        <v>25</v>
      </c>
      <c r="N658" s="5">
        <f>DATE(2023,6,22)</f>
        <v>45099</v>
      </c>
      <c r="O658" s="4" t="s">
        <v>1448</v>
      </c>
      <c r="P658" s="5">
        <f>DATE(2021,12,21)</f>
        <v>44551</v>
      </c>
      <c r="Q658" s="4" t="s">
        <v>372</v>
      </c>
      <c r="R658" s="5">
        <f>DATE(2020,7,21)</f>
        <v>44033</v>
      </c>
    </row>
    <row r="659" spans="1:20" ht="55.05" customHeight="1" x14ac:dyDescent="0.3">
      <c r="A659" s="4" t="s">
        <v>2095</v>
      </c>
      <c r="B659" s="4" t="s">
        <v>81</v>
      </c>
      <c r="C659" s="4" t="s">
        <v>82</v>
      </c>
      <c r="D659" s="4" t="s">
        <v>20</v>
      </c>
      <c r="E659" s="4" t="s">
        <v>373</v>
      </c>
      <c r="F659" s="4" t="s">
        <v>84</v>
      </c>
      <c r="G659" s="4" t="s">
        <v>2322</v>
      </c>
      <c r="H659" s="4" t="s">
        <v>24</v>
      </c>
      <c r="I659" s="4" t="s">
        <v>25</v>
      </c>
      <c r="K659" s="4" t="s">
        <v>26</v>
      </c>
      <c r="L659" s="4" t="s">
        <v>2323</v>
      </c>
      <c r="O659" s="4" t="s">
        <v>800</v>
      </c>
      <c r="P659" s="5">
        <f>DATE(2022,4,7)</f>
        <v>44658</v>
      </c>
      <c r="Q659" s="4" t="s">
        <v>1448</v>
      </c>
      <c r="R659" s="5">
        <f t="shared" ref="R659:R665" si="9">DATE(2021,12,21)</f>
        <v>44551</v>
      </c>
      <c r="S659" s="4" t="s">
        <v>2319</v>
      </c>
      <c r="T659" s="5">
        <f>DATE(2019,10,14)</f>
        <v>43752</v>
      </c>
    </row>
    <row r="660" spans="1:20" ht="55.05" customHeight="1" x14ac:dyDescent="0.3">
      <c r="A660" s="4" t="s">
        <v>2095</v>
      </c>
      <c r="B660" s="4" t="s">
        <v>81</v>
      </c>
      <c r="C660" s="4" t="s">
        <v>82</v>
      </c>
      <c r="D660" s="4" t="s">
        <v>20</v>
      </c>
      <c r="E660" s="4" t="s">
        <v>862</v>
      </c>
      <c r="F660" s="4" t="s">
        <v>84</v>
      </c>
      <c r="G660" s="4" t="s">
        <v>2324</v>
      </c>
      <c r="H660" s="4" t="s">
        <v>24</v>
      </c>
      <c r="I660" s="4" t="s">
        <v>25</v>
      </c>
      <c r="K660" s="4" t="s">
        <v>26</v>
      </c>
      <c r="L660" s="4" t="s">
        <v>2325</v>
      </c>
      <c r="O660" s="4" t="s">
        <v>2326</v>
      </c>
      <c r="P660" s="5">
        <f>DATE(2023,6,20)</f>
        <v>45097</v>
      </c>
      <c r="Q660" s="4" t="s">
        <v>1448</v>
      </c>
      <c r="R660" s="5">
        <f t="shared" si="9"/>
        <v>44551</v>
      </c>
      <c r="S660" s="4" t="s">
        <v>2327</v>
      </c>
      <c r="T660" s="5">
        <f>DATE(2020,3,10)</f>
        <v>43900</v>
      </c>
    </row>
    <row r="661" spans="1:20" ht="55.05" customHeight="1" x14ac:dyDescent="0.3">
      <c r="A661" s="4" t="s">
        <v>2095</v>
      </c>
      <c r="B661" s="4" t="s">
        <v>81</v>
      </c>
      <c r="C661" s="4" t="s">
        <v>82</v>
      </c>
      <c r="D661" s="4" t="s">
        <v>20</v>
      </c>
      <c r="E661" s="4" t="s">
        <v>89</v>
      </c>
      <c r="F661" s="4" t="s">
        <v>84</v>
      </c>
      <c r="G661" s="4" t="s">
        <v>2328</v>
      </c>
      <c r="H661" s="4" t="s">
        <v>24</v>
      </c>
      <c r="I661" s="4" t="s">
        <v>25</v>
      </c>
      <c r="K661" s="4" t="s">
        <v>26</v>
      </c>
      <c r="L661" s="4" t="s">
        <v>2329</v>
      </c>
      <c r="O661" s="4" t="s">
        <v>2330</v>
      </c>
      <c r="P661" s="5">
        <f>DATE(2022,8,8)</f>
        <v>44781</v>
      </c>
      <c r="Q661" s="4" t="s">
        <v>1448</v>
      </c>
      <c r="R661" s="5">
        <f t="shared" si="9"/>
        <v>44551</v>
      </c>
      <c r="S661" s="4" t="s">
        <v>2331</v>
      </c>
      <c r="T661" s="5">
        <f>DATE(2019,12,11)</f>
        <v>43810</v>
      </c>
    </row>
    <row r="662" spans="1:20" ht="55.05" customHeight="1" x14ac:dyDescent="0.3">
      <c r="A662" s="4" t="s">
        <v>2095</v>
      </c>
      <c r="B662" s="4" t="s">
        <v>81</v>
      </c>
      <c r="C662" s="4" t="s">
        <v>82</v>
      </c>
      <c r="D662" s="4" t="s">
        <v>20</v>
      </c>
      <c r="E662" s="4" t="s">
        <v>89</v>
      </c>
      <c r="F662" s="4" t="s">
        <v>84</v>
      </c>
      <c r="G662" s="4" t="s">
        <v>2332</v>
      </c>
      <c r="H662" s="4" t="s">
        <v>24</v>
      </c>
      <c r="I662" s="4" t="s">
        <v>25</v>
      </c>
      <c r="K662" s="4" t="s">
        <v>26</v>
      </c>
      <c r="L662" s="4" t="s">
        <v>2333</v>
      </c>
      <c r="O662" s="4" t="s">
        <v>2334</v>
      </c>
      <c r="P662" s="5">
        <f>DATE(2022,7,22)</f>
        <v>44764</v>
      </c>
      <c r="Q662" s="4" t="s">
        <v>1448</v>
      </c>
      <c r="R662" s="5">
        <f t="shared" si="9"/>
        <v>44551</v>
      </c>
      <c r="S662" s="4" t="s">
        <v>372</v>
      </c>
      <c r="T662" s="5">
        <f>DATE(2020,7,21)</f>
        <v>44033</v>
      </c>
    </row>
    <row r="663" spans="1:20" ht="55.05" customHeight="1" x14ac:dyDescent="0.3">
      <c r="A663" s="4" t="s">
        <v>2095</v>
      </c>
      <c r="B663" s="4" t="s">
        <v>81</v>
      </c>
      <c r="C663" s="4" t="s">
        <v>82</v>
      </c>
      <c r="D663" s="4" t="s">
        <v>20</v>
      </c>
      <c r="E663" s="4" t="s">
        <v>89</v>
      </c>
      <c r="F663" s="4" t="s">
        <v>84</v>
      </c>
      <c r="G663" s="4" t="s">
        <v>2335</v>
      </c>
      <c r="H663" s="4" t="s">
        <v>24</v>
      </c>
      <c r="I663" s="4" t="s">
        <v>25</v>
      </c>
      <c r="K663" s="4" t="s">
        <v>26</v>
      </c>
      <c r="L663" s="4" t="s">
        <v>2336</v>
      </c>
      <c r="O663" s="4" t="s">
        <v>2334</v>
      </c>
      <c r="P663" s="5">
        <f>DATE(2022,7,22)</f>
        <v>44764</v>
      </c>
      <c r="Q663" s="4" t="s">
        <v>1448</v>
      </c>
      <c r="R663" s="5">
        <f t="shared" si="9"/>
        <v>44551</v>
      </c>
      <c r="S663" s="4" t="s">
        <v>2337</v>
      </c>
      <c r="T663" s="5">
        <f>DATE(2019,10,14)</f>
        <v>43752</v>
      </c>
    </row>
    <row r="664" spans="1:20" ht="55.05" customHeight="1" x14ac:dyDescent="0.3">
      <c r="A664" s="4" t="s">
        <v>2095</v>
      </c>
      <c r="B664" s="4" t="s">
        <v>81</v>
      </c>
      <c r="C664" s="4" t="s">
        <v>82</v>
      </c>
      <c r="D664" s="4" t="s">
        <v>20</v>
      </c>
      <c r="E664" s="4" t="s">
        <v>89</v>
      </c>
      <c r="F664" s="4" t="s">
        <v>84</v>
      </c>
      <c r="G664" s="4" t="s">
        <v>2338</v>
      </c>
      <c r="H664" s="4" t="s">
        <v>24</v>
      </c>
      <c r="I664" s="4" t="s">
        <v>25</v>
      </c>
      <c r="K664" s="4" t="s">
        <v>26</v>
      </c>
      <c r="L664" s="4" t="s">
        <v>2339</v>
      </c>
      <c r="O664" s="4" t="s">
        <v>2334</v>
      </c>
      <c r="P664" s="5">
        <f>DATE(2022,7,22)</f>
        <v>44764</v>
      </c>
      <c r="Q664" s="4" t="s">
        <v>1448</v>
      </c>
      <c r="R664" s="5">
        <f t="shared" si="9"/>
        <v>44551</v>
      </c>
      <c r="S664" s="4" t="s">
        <v>372</v>
      </c>
      <c r="T664" s="5">
        <f>DATE(2020,7,21)</f>
        <v>44033</v>
      </c>
    </row>
    <row r="665" spans="1:20" ht="55.05" customHeight="1" x14ac:dyDescent="0.3">
      <c r="A665" s="4" t="s">
        <v>2095</v>
      </c>
      <c r="B665" s="4" t="s">
        <v>81</v>
      </c>
      <c r="C665" s="4" t="s">
        <v>82</v>
      </c>
      <c r="D665" s="4" t="s">
        <v>20</v>
      </c>
      <c r="E665" s="4" t="s">
        <v>89</v>
      </c>
      <c r="F665" s="4" t="s">
        <v>84</v>
      </c>
      <c r="G665" s="4" t="s">
        <v>2340</v>
      </c>
      <c r="H665" s="4" t="s">
        <v>24</v>
      </c>
      <c r="I665" s="4" t="s">
        <v>25</v>
      </c>
      <c r="K665" s="4" t="s">
        <v>26</v>
      </c>
      <c r="L665" s="4" t="s">
        <v>2341</v>
      </c>
      <c r="O665" s="4" t="s">
        <v>2334</v>
      </c>
      <c r="P665" s="5">
        <f>DATE(2022,7,22)</f>
        <v>44764</v>
      </c>
      <c r="Q665" s="4" t="s">
        <v>1448</v>
      </c>
      <c r="R665" s="5">
        <f t="shared" si="9"/>
        <v>44551</v>
      </c>
      <c r="S665" s="4" t="s">
        <v>2337</v>
      </c>
      <c r="T665" s="5">
        <f>DATE(2019,10,14)</f>
        <v>43752</v>
      </c>
    </row>
    <row r="666" spans="1:20" ht="55.05" customHeight="1" x14ac:dyDescent="0.3">
      <c r="A666" s="4" t="s">
        <v>2095</v>
      </c>
      <c r="B666" s="4" t="s">
        <v>81</v>
      </c>
      <c r="C666" s="4" t="s">
        <v>82</v>
      </c>
      <c r="D666" s="4" t="s">
        <v>20</v>
      </c>
      <c r="E666" s="4" t="s">
        <v>89</v>
      </c>
      <c r="F666" s="4" t="s">
        <v>84</v>
      </c>
      <c r="G666" s="4" t="s">
        <v>2342</v>
      </c>
      <c r="H666" s="4" t="s">
        <v>24</v>
      </c>
      <c r="I666" s="4" t="s">
        <v>25</v>
      </c>
      <c r="K666" s="4" t="s">
        <v>26</v>
      </c>
      <c r="L666" s="4" t="s">
        <v>2343</v>
      </c>
      <c r="M666" s="4" t="s">
        <v>25</v>
      </c>
      <c r="N666" s="5">
        <f>DATE(2023,5,9)</f>
        <v>45055</v>
      </c>
      <c r="O666" s="4" t="s">
        <v>1448</v>
      </c>
      <c r="P666" s="5">
        <f>DATE(2021,12,21)</f>
        <v>44551</v>
      </c>
      <c r="Q666" s="4" t="s">
        <v>2344</v>
      </c>
      <c r="R666" s="5">
        <f>DATE(2021,7,30)</f>
        <v>44407</v>
      </c>
    </row>
    <row r="667" spans="1:20" ht="55.05" customHeight="1" x14ac:dyDescent="0.3">
      <c r="A667" s="4" t="s">
        <v>2095</v>
      </c>
      <c r="B667" s="4" t="s">
        <v>81</v>
      </c>
      <c r="C667" s="4" t="s">
        <v>82</v>
      </c>
      <c r="D667" s="4" t="s">
        <v>20</v>
      </c>
      <c r="E667" s="4" t="s">
        <v>877</v>
      </c>
      <c r="F667" s="4" t="s">
        <v>84</v>
      </c>
      <c r="G667" s="4" t="s">
        <v>2345</v>
      </c>
      <c r="H667" s="4" t="s">
        <v>24</v>
      </c>
      <c r="I667" s="4" t="s">
        <v>25</v>
      </c>
      <c r="K667" s="4" t="s">
        <v>26</v>
      </c>
      <c r="L667" s="4" t="s">
        <v>2346</v>
      </c>
      <c r="M667" s="4" t="s">
        <v>25</v>
      </c>
      <c r="N667" s="5">
        <f>DATE(2023,11,30)</f>
        <v>45260</v>
      </c>
      <c r="O667" s="4" t="s">
        <v>1448</v>
      </c>
      <c r="P667" s="5">
        <f>DATE(2021,12,21)</f>
        <v>44551</v>
      </c>
      <c r="Q667" s="4" t="s">
        <v>2305</v>
      </c>
      <c r="R667" s="5">
        <f>DATE(2019,12,11)</f>
        <v>43810</v>
      </c>
    </row>
    <row r="668" spans="1:20" ht="55.05" customHeight="1" x14ac:dyDescent="0.3">
      <c r="A668" s="4" t="s">
        <v>2095</v>
      </c>
      <c r="B668" s="4" t="s">
        <v>81</v>
      </c>
      <c r="C668" s="4" t="s">
        <v>82</v>
      </c>
      <c r="D668" s="4" t="s">
        <v>20</v>
      </c>
      <c r="E668" s="4" t="s">
        <v>877</v>
      </c>
      <c r="F668" s="4" t="s">
        <v>84</v>
      </c>
      <c r="G668" s="4" t="s">
        <v>2347</v>
      </c>
      <c r="H668" s="4" t="s">
        <v>24</v>
      </c>
      <c r="I668" s="4" t="s">
        <v>25</v>
      </c>
      <c r="K668" s="4" t="s">
        <v>26</v>
      </c>
      <c r="L668" s="4" t="s">
        <v>2348</v>
      </c>
      <c r="M668" s="4" t="s">
        <v>25</v>
      </c>
      <c r="N668" s="5">
        <f>DATE(2023,11,30)</f>
        <v>45260</v>
      </c>
      <c r="O668" s="4" t="s">
        <v>1448</v>
      </c>
      <c r="P668" s="5">
        <f>DATE(2021,12,21)</f>
        <v>44551</v>
      </c>
      <c r="Q668" s="4" t="s">
        <v>2349</v>
      </c>
      <c r="R668" s="5">
        <f>DATE(2021,10,21)</f>
        <v>44490</v>
      </c>
    </row>
    <row r="669" spans="1:20" ht="55.05" customHeight="1" x14ac:dyDescent="0.3">
      <c r="A669" s="4" t="s">
        <v>2095</v>
      </c>
      <c r="B669" s="4" t="s">
        <v>81</v>
      </c>
      <c r="C669" s="4" t="s">
        <v>82</v>
      </c>
      <c r="D669" s="4" t="s">
        <v>20</v>
      </c>
      <c r="E669" s="4" t="s">
        <v>877</v>
      </c>
      <c r="F669" s="4" t="s">
        <v>84</v>
      </c>
      <c r="G669" s="4" t="s">
        <v>2350</v>
      </c>
      <c r="H669" s="4" t="s">
        <v>24</v>
      </c>
      <c r="I669" s="4" t="s">
        <v>25</v>
      </c>
      <c r="K669" s="4" t="s">
        <v>26</v>
      </c>
      <c r="L669" s="4" t="s">
        <v>2351</v>
      </c>
      <c r="O669" s="4" t="s">
        <v>884</v>
      </c>
      <c r="P669" s="5">
        <f>DATE(2022,4,12)</f>
        <v>44663</v>
      </c>
      <c r="Q669" s="4" t="s">
        <v>1448</v>
      </c>
      <c r="R669" s="5">
        <f>DATE(2021,12,21)</f>
        <v>44551</v>
      </c>
      <c r="S669" s="4" t="s">
        <v>2337</v>
      </c>
      <c r="T669" s="5">
        <f>DATE(2019,10,14)</f>
        <v>43752</v>
      </c>
    </row>
    <row r="670" spans="1:20" ht="55.05" customHeight="1" x14ac:dyDescent="0.3">
      <c r="A670" s="4" t="s">
        <v>2095</v>
      </c>
      <c r="B670" s="4" t="s">
        <v>81</v>
      </c>
      <c r="C670" s="4" t="s">
        <v>82</v>
      </c>
      <c r="D670" s="4" t="s">
        <v>20</v>
      </c>
      <c r="E670" s="4" t="s">
        <v>918</v>
      </c>
      <c r="F670" s="4" t="s">
        <v>84</v>
      </c>
      <c r="G670" s="4" t="s">
        <v>2352</v>
      </c>
      <c r="H670" s="4" t="s">
        <v>24</v>
      </c>
      <c r="I670" s="4" t="s">
        <v>25</v>
      </c>
      <c r="K670" s="4" t="s">
        <v>26</v>
      </c>
      <c r="L670" s="4" t="s">
        <v>2353</v>
      </c>
      <c r="O670" s="4" t="s">
        <v>2105</v>
      </c>
      <c r="P670" s="5">
        <f>DATE(2023,7,21)</f>
        <v>45128</v>
      </c>
      <c r="Q670" s="4" t="s">
        <v>1448</v>
      </c>
      <c r="R670" s="5">
        <f>DATE(2021,12,21)</f>
        <v>44551</v>
      </c>
      <c r="S670" s="4" t="s">
        <v>2305</v>
      </c>
      <c r="T670" s="5">
        <f>DATE(2019,12,11)</f>
        <v>43810</v>
      </c>
    </row>
    <row r="671" spans="1:20" ht="55.05" customHeight="1" x14ac:dyDescent="0.3">
      <c r="A671" s="4" t="s">
        <v>2095</v>
      </c>
      <c r="B671" s="4" t="s">
        <v>81</v>
      </c>
      <c r="C671" s="4" t="s">
        <v>82</v>
      </c>
      <c r="D671" s="4" t="s">
        <v>20</v>
      </c>
      <c r="E671" s="4" t="s">
        <v>918</v>
      </c>
      <c r="F671" s="4" t="s">
        <v>84</v>
      </c>
      <c r="G671" s="4" t="s">
        <v>2354</v>
      </c>
      <c r="H671" s="4" t="s">
        <v>24</v>
      </c>
      <c r="I671" s="4" t="s">
        <v>25</v>
      </c>
      <c r="K671" s="4" t="s">
        <v>26</v>
      </c>
      <c r="L671" s="4" t="s">
        <v>2355</v>
      </c>
      <c r="O671" s="4" t="s">
        <v>2105</v>
      </c>
      <c r="P671" s="5">
        <f>DATE(2023,7,21)</f>
        <v>45128</v>
      </c>
      <c r="Q671" s="4" t="s">
        <v>1448</v>
      </c>
      <c r="R671" s="5">
        <f>DATE(2021,12,21)</f>
        <v>44551</v>
      </c>
      <c r="S671" s="4" t="s">
        <v>2356</v>
      </c>
      <c r="T671" s="5">
        <f>DATE(2019,10,14)</f>
        <v>43752</v>
      </c>
    </row>
    <row r="672" spans="1:20" ht="55.05" customHeight="1" x14ac:dyDescent="0.3">
      <c r="A672" s="4" t="s">
        <v>2095</v>
      </c>
      <c r="B672" s="4" t="s">
        <v>81</v>
      </c>
      <c r="C672" s="4" t="s">
        <v>82</v>
      </c>
      <c r="D672" s="4" t="s">
        <v>20</v>
      </c>
      <c r="E672" s="4" t="s">
        <v>918</v>
      </c>
      <c r="F672" s="4" t="s">
        <v>84</v>
      </c>
      <c r="G672" s="4" t="s">
        <v>2357</v>
      </c>
      <c r="H672" s="4" t="s">
        <v>24</v>
      </c>
      <c r="I672" s="4" t="s">
        <v>25</v>
      </c>
      <c r="K672" s="4" t="s">
        <v>26</v>
      </c>
      <c r="L672" s="4" t="s">
        <v>2358</v>
      </c>
      <c r="O672" s="4" t="s">
        <v>2359</v>
      </c>
      <c r="P672" s="5">
        <f>DATE(2022,3,16)</f>
        <v>44636</v>
      </c>
      <c r="Q672" s="4" t="s">
        <v>1448</v>
      </c>
      <c r="R672" s="5">
        <f>DATE(2021,12,21)</f>
        <v>44551</v>
      </c>
      <c r="S672" s="4" t="s">
        <v>2337</v>
      </c>
      <c r="T672" s="5">
        <f>DATE(2019,10,14)</f>
        <v>43752</v>
      </c>
    </row>
    <row r="673" spans="1:24" ht="55.05" customHeight="1" x14ac:dyDescent="0.3">
      <c r="A673" s="4" t="s">
        <v>2095</v>
      </c>
      <c r="B673" s="4" t="s">
        <v>81</v>
      </c>
      <c r="C673" s="4" t="s">
        <v>82</v>
      </c>
      <c r="D673" s="4" t="s">
        <v>20</v>
      </c>
      <c r="E673" s="4" t="s">
        <v>918</v>
      </c>
      <c r="F673" s="4" t="s">
        <v>84</v>
      </c>
      <c r="G673" s="4" t="s">
        <v>2360</v>
      </c>
      <c r="H673" s="4" t="s">
        <v>24</v>
      </c>
      <c r="I673" s="4" t="s">
        <v>25</v>
      </c>
      <c r="K673" s="4" t="s">
        <v>26</v>
      </c>
      <c r="L673" s="4" t="s">
        <v>2361</v>
      </c>
      <c r="O673" s="4" t="s">
        <v>2105</v>
      </c>
      <c r="P673" s="5">
        <f>DATE(2023,7,21)</f>
        <v>45128</v>
      </c>
      <c r="Q673" s="4" t="s">
        <v>2359</v>
      </c>
      <c r="R673" s="5">
        <f>DATE(2022,3,16)</f>
        <v>44636</v>
      </c>
      <c r="S673" s="4" t="s">
        <v>1448</v>
      </c>
      <c r="T673" s="5">
        <f>DATE(2021,12,21)</f>
        <v>44551</v>
      </c>
      <c r="U673" s="4" t="s">
        <v>2115</v>
      </c>
      <c r="V673" s="5">
        <f>DATE(2021,3,9)</f>
        <v>44264</v>
      </c>
      <c r="W673" s="4" t="s">
        <v>2337</v>
      </c>
      <c r="X673" s="5">
        <f>DATE(2019,10,14)</f>
        <v>43752</v>
      </c>
    </row>
    <row r="674" spans="1:24" ht="55.05" customHeight="1" x14ac:dyDescent="0.3">
      <c r="A674" s="4" t="s">
        <v>2095</v>
      </c>
      <c r="B674" s="4" t="s">
        <v>81</v>
      </c>
      <c r="C674" s="4" t="s">
        <v>94</v>
      </c>
      <c r="D674" s="4" t="s">
        <v>20</v>
      </c>
      <c r="E674" s="4" t="s">
        <v>95</v>
      </c>
      <c r="F674" s="4" t="s">
        <v>96</v>
      </c>
      <c r="G674" s="4" t="s">
        <v>2362</v>
      </c>
      <c r="H674" s="4" t="s">
        <v>24</v>
      </c>
      <c r="I674" s="4" t="s">
        <v>25</v>
      </c>
      <c r="K674" s="4" t="s">
        <v>26</v>
      </c>
      <c r="L674" s="4" t="s">
        <v>2363</v>
      </c>
      <c r="M674" s="4" t="s">
        <v>99</v>
      </c>
      <c r="N674" s="5">
        <f>DATE(2022,3,9)</f>
        <v>44629</v>
      </c>
      <c r="O674" s="4" t="s">
        <v>2326</v>
      </c>
      <c r="P674" s="5">
        <f>DATE(2023,6,20)</f>
        <v>45097</v>
      </c>
      <c r="Q674" s="4" t="s">
        <v>1448</v>
      </c>
      <c r="R674" s="5">
        <f>DATE(2021,12,21)</f>
        <v>44551</v>
      </c>
      <c r="S674" s="4" t="s">
        <v>2115</v>
      </c>
      <c r="T674" s="5">
        <f>DATE(2021,3,9)</f>
        <v>44264</v>
      </c>
    </row>
    <row r="675" spans="1:24" ht="55.05" customHeight="1" x14ac:dyDescent="0.3">
      <c r="A675" s="4" t="s">
        <v>2095</v>
      </c>
      <c r="B675" s="4" t="s">
        <v>81</v>
      </c>
      <c r="C675" s="4" t="s">
        <v>94</v>
      </c>
      <c r="D675" s="4" t="s">
        <v>20</v>
      </c>
      <c r="E675" s="4" t="s">
        <v>95</v>
      </c>
      <c r="F675" s="4" t="s">
        <v>96</v>
      </c>
      <c r="G675" s="4" t="s">
        <v>2364</v>
      </c>
      <c r="H675" s="4" t="s">
        <v>24</v>
      </c>
      <c r="I675" s="4" t="s">
        <v>25</v>
      </c>
      <c r="K675" s="4" t="s">
        <v>26</v>
      </c>
      <c r="L675" s="4" t="s">
        <v>2365</v>
      </c>
      <c r="M675" s="4" t="s">
        <v>99</v>
      </c>
      <c r="N675" s="5">
        <f>DATE(2022,3,9)</f>
        <v>44629</v>
      </c>
      <c r="O675" s="4" t="s">
        <v>1002</v>
      </c>
      <c r="P675" s="5">
        <f>DATE(2022,1,18)</f>
        <v>44579</v>
      </c>
      <c r="Q675" s="4" t="s">
        <v>2115</v>
      </c>
      <c r="R675" s="5">
        <f>DATE(2021,3,9)</f>
        <v>44264</v>
      </c>
    </row>
    <row r="676" spans="1:24" ht="55.05" customHeight="1" x14ac:dyDescent="0.3">
      <c r="A676" s="4" t="s">
        <v>2095</v>
      </c>
      <c r="B676" s="4" t="s">
        <v>81</v>
      </c>
      <c r="C676" s="4" t="s">
        <v>94</v>
      </c>
      <c r="D676" s="4" t="s">
        <v>20</v>
      </c>
      <c r="E676" s="4" t="s">
        <v>95</v>
      </c>
      <c r="F676" s="4" t="s">
        <v>96</v>
      </c>
      <c r="G676" s="4" t="s">
        <v>2366</v>
      </c>
      <c r="H676" s="4" t="s">
        <v>24</v>
      </c>
      <c r="I676" s="4" t="s">
        <v>25</v>
      </c>
      <c r="K676" s="4" t="s">
        <v>26</v>
      </c>
      <c r="L676" s="4" t="s">
        <v>2367</v>
      </c>
      <c r="O676" s="4" t="s">
        <v>931</v>
      </c>
      <c r="P676" s="5">
        <f>DATE(2022,3,23)</f>
        <v>44643</v>
      </c>
      <c r="Q676" s="4" t="s">
        <v>1448</v>
      </c>
      <c r="R676" s="5">
        <f>DATE(2021,12,21)</f>
        <v>44551</v>
      </c>
      <c r="S676" s="4" t="s">
        <v>2115</v>
      </c>
      <c r="T676" s="5">
        <f>DATE(2021,3,9)</f>
        <v>44264</v>
      </c>
    </row>
    <row r="677" spans="1:24" ht="55.05" customHeight="1" x14ac:dyDescent="0.3">
      <c r="A677" s="4" t="s">
        <v>2095</v>
      </c>
      <c r="B677" s="4" t="s">
        <v>81</v>
      </c>
      <c r="C677" s="4" t="s">
        <v>94</v>
      </c>
      <c r="D677" s="4" t="s">
        <v>20</v>
      </c>
      <c r="E677" s="4" t="s">
        <v>95</v>
      </c>
      <c r="F677" s="4" t="s">
        <v>96</v>
      </c>
      <c r="G677" s="4" t="s">
        <v>2368</v>
      </c>
      <c r="H677" s="4" t="s">
        <v>24</v>
      </c>
      <c r="I677" s="4" t="s">
        <v>25</v>
      </c>
      <c r="K677" s="4" t="s">
        <v>26</v>
      </c>
      <c r="L677" s="4" t="s">
        <v>2369</v>
      </c>
      <c r="M677" s="4" t="s">
        <v>99</v>
      </c>
      <c r="N677" s="5">
        <f>DATE(2022,3,9)</f>
        <v>44629</v>
      </c>
      <c r="O677" s="4" t="s">
        <v>1448</v>
      </c>
      <c r="P677" s="5">
        <f>DATE(2021,12,21)</f>
        <v>44551</v>
      </c>
      <c r="Q677" s="4" t="s">
        <v>2115</v>
      </c>
      <c r="R677" s="5">
        <f>DATE(2021,3,9)</f>
        <v>44264</v>
      </c>
    </row>
    <row r="678" spans="1:24" ht="55.05" customHeight="1" x14ac:dyDescent="0.3">
      <c r="A678" s="4" t="s">
        <v>2095</v>
      </c>
      <c r="B678" s="4" t="s">
        <v>81</v>
      </c>
      <c r="C678" s="4" t="s">
        <v>94</v>
      </c>
      <c r="D678" s="4" t="s">
        <v>20</v>
      </c>
      <c r="E678" s="4" t="s">
        <v>95</v>
      </c>
      <c r="F678" s="4" t="s">
        <v>96</v>
      </c>
      <c r="G678" s="4" t="s">
        <v>2370</v>
      </c>
      <c r="H678" s="4" t="s">
        <v>24</v>
      </c>
      <c r="I678" s="4" t="s">
        <v>25</v>
      </c>
      <c r="K678" s="4" t="s">
        <v>26</v>
      </c>
      <c r="L678" s="4" t="s">
        <v>2371</v>
      </c>
      <c r="M678" s="4" t="s">
        <v>99</v>
      </c>
      <c r="N678" s="5">
        <f>DATE(2022,3,9)</f>
        <v>44629</v>
      </c>
      <c r="O678" s="4" t="s">
        <v>1448</v>
      </c>
      <c r="P678" s="5">
        <f>DATE(2021,12,21)</f>
        <v>44551</v>
      </c>
      <c r="Q678" s="4" t="s">
        <v>2115</v>
      </c>
      <c r="R678" s="5">
        <f>DATE(2021,3,9)</f>
        <v>44264</v>
      </c>
    </row>
    <row r="679" spans="1:24" ht="55.05" customHeight="1" x14ac:dyDescent="0.3">
      <c r="A679" s="4" t="s">
        <v>2095</v>
      </c>
      <c r="B679" s="4" t="s">
        <v>81</v>
      </c>
      <c r="C679" s="4" t="s">
        <v>94</v>
      </c>
      <c r="D679" s="4" t="s">
        <v>20</v>
      </c>
      <c r="E679" s="4" t="s">
        <v>95</v>
      </c>
      <c r="F679" s="4" t="s">
        <v>96</v>
      </c>
      <c r="G679" s="4" t="s">
        <v>2372</v>
      </c>
      <c r="H679" s="4" t="s">
        <v>24</v>
      </c>
      <c r="I679" s="4" t="s">
        <v>25</v>
      </c>
      <c r="K679" s="4" t="s">
        <v>26</v>
      </c>
      <c r="L679" s="4" t="s">
        <v>2373</v>
      </c>
      <c r="M679" s="4" t="s">
        <v>99</v>
      </c>
      <c r="N679" s="5">
        <f>DATE(2022,3,9)</f>
        <v>44629</v>
      </c>
      <c r="O679" s="4" t="s">
        <v>1448</v>
      </c>
      <c r="P679" s="5">
        <f>DATE(2021,12,21)</f>
        <v>44551</v>
      </c>
      <c r="Q679" s="4" t="s">
        <v>2115</v>
      </c>
      <c r="R679" s="5">
        <f>DATE(2021,3,9)</f>
        <v>44264</v>
      </c>
    </row>
    <row r="680" spans="1:24" ht="55.05" customHeight="1" x14ac:dyDescent="0.3">
      <c r="A680" s="4" t="s">
        <v>2095</v>
      </c>
      <c r="B680" s="4" t="s">
        <v>81</v>
      </c>
      <c r="C680" s="4" t="s">
        <v>94</v>
      </c>
      <c r="D680" s="4" t="s">
        <v>20</v>
      </c>
      <c r="E680" s="4" t="s">
        <v>95</v>
      </c>
      <c r="F680" s="4" t="s">
        <v>96</v>
      </c>
      <c r="G680" s="4" t="s">
        <v>2374</v>
      </c>
      <c r="H680" s="4" t="s">
        <v>24</v>
      </c>
      <c r="I680" s="4" t="s">
        <v>25</v>
      </c>
      <c r="K680" s="4" t="s">
        <v>26</v>
      </c>
      <c r="L680" s="4" t="s">
        <v>2375</v>
      </c>
      <c r="M680" s="4" t="s">
        <v>99</v>
      </c>
      <c r="N680" s="5">
        <f>DATE(2022,3,9)</f>
        <v>44629</v>
      </c>
      <c r="O680" s="4" t="s">
        <v>2114</v>
      </c>
      <c r="P680" s="5">
        <f>DATE(2021,12,21)</f>
        <v>44551</v>
      </c>
      <c r="Q680" s="4" t="s">
        <v>2115</v>
      </c>
      <c r="R680" s="5">
        <f>DATE(2021,3,9)</f>
        <v>44264</v>
      </c>
    </row>
    <row r="681" spans="1:24" ht="55.05" customHeight="1" x14ac:dyDescent="0.3">
      <c r="A681" s="4" t="s">
        <v>2095</v>
      </c>
      <c r="B681" s="4" t="s">
        <v>81</v>
      </c>
      <c r="C681" s="4" t="s">
        <v>94</v>
      </c>
      <c r="D681" s="4" t="s">
        <v>20</v>
      </c>
      <c r="E681" s="4" t="s">
        <v>95</v>
      </c>
      <c r="F681" s="4" t="s">
        <v>96</v>
      </c>
      <c r="G681" s="4" t="s">
        <v>2376</v>
      </c>
      <c r="H681" s="4" t="s">
        <v>24</v>
      </c>
      <c r="I681" s="4" t="s">
        <v>25</v>
      </c>
      <c r="K681" s="4" t="s">
        <v>26</v>
      </c>
      <c r="L681" s="4" t="s">
        <v>2377</v>
      </c>
      <c r="M681" s="4" t="s">
        <v>99</v>
      </c>
      <c r="N681" s="5">
        <f>DATE(2022,3,9)</f>
        <v>44629</v>
      </c>
      <c r="O681" s="4" t="s">
        <v>1448</v>
      </c>
      <c r="P681" s="5">
        <f>DATE(2021,12,21)</f>
        <v>44551</v>
      </c>
      <c r="Q681" s="4" t="s">
        <v>2115</v>
      </c>
      <c r="R681" s="5">
        <f>DATE(2021,3,9)</f>
        <v>44264</v>
      </c>
    </row>
    <row r="682" spans="1:24" ht="55.05" customHeight="1" x14ac:dyDescent="0.3">
      <c r="A682" s="4" t="s">
        <v>2095</v>
      </c>
      <c r="B682" s="4" t="s">
        <v>81</v>
      </c>
      <c r="C682" s="4" t="s">
        <v>94</v>
      </c>
      <c r="D682" s="4" t="s">
        <v>20</v>
      </c>
      <c r="E682" s="4" t="s">
        <v>395</v>
      </c>
      <c r="F682" s="4" t="s">
        <v>96</v>
      </c>
      <c r="G682" s="4" t="s">
        <v>2378</v>
      </c>
      <c r="H682" s="4" t="s">
        <v>24</v>
      </c>
      <c r="I682" s="4" t="s">
        <v>25</v>
      </c>
      <c r="K682" s="4" t="s">
        <v>26</v>
      </c>
      <c r="L682" s="4" t="s">
        <v>2379</v>
      </c>
      <c r="O682" s="4" t="s">
        <v>2380</v>
      </c>
      <c r="P682" s="5">
        <f>DATE(2022,6,28)</f>
        <v>44740</v>
      </c>
      <c r="Q682" s="4" t="s">
        <v>2114</v>
      </c>
      <c r="R682" s="5">
        <f>DATE(2021,12,21)</f>
        <v>44551</v>
      </c>
      <c r="S682" s="4" t="s">
        <v>2115</v>
      </c>
      <c r="T682" s="5">
        <f>DATE(2021,3,9)</f>
        <v>44264</v>
      </c>
    </row>
    <row r="683" spans="1:24" ht="55.05" customHeight="1" x14ac:dyDescent="0.3">
      <c r="A683" s="4" t="s">
        <v>2095</v>
      </c>
      <c r="B683" s="4" t="s">
        <v>81</v>
      </c>
      <c r="C683" s="4" t="s">
        <v>94</v>
      </c>
      <c r="D683" s="4" t="s">
        <v>20</v>
      </c>
      <c r="E683" s="4" t="s">
        <v>395</v>
      </c>
      <c r="F683" s="4" t="s">
        <v>96</v>
      </c>
      <c r="G683" s="4" t="s">
        <v>2381</v>
      </c>
      <c r="H683" s="4" t="s">
        <v>24</v>
      </c>
      <c r="I683" s="4" t="s">
        <v>25</v>
      </c>
      <c r="K683" s="4" t="s">
        <v>26</v>
      </c>
      <c r="L683" s="4" t="s">
        <v>2382</v>
      </c>
      <c r="O683" s="4" t="s">
        <v>2114</v>
      </c>
      <c r="P683" s="5">
        <f>DATE(2021,12,21)</f>
        <v>44551</v>
      </c>
      <c r="Q683" s="4" t="s">
        <v>2115</v>
      </c>
      <c r="R683" s="5">
        <f>DATE(2021,3,9)</f>
        <v>44264</v>
      </c>
    </row>
    <row r="684" spans="1:24" ht="55.05" customHeight="1" x14ac:dyDescent="0.3">
      <c r="A684" s="4" t="s">
        <v>2095</v>
      </c>
      <c r="B684" s="4" t="s">
        <v>81</v>
      </c>
      <c r="C684" s="4" t="s">
        <v>94</v>
      </c>
      <c r="D684" s="4" t="s">
        <v>20</v>
      </c>
      <c r="E684" s="4" t="s">
        <v>2383</v>
      </c>
      <c r="F684" s="4" t="s">
        <v>96</v>
      </c>
      <c r="G684" s="4" t="s">
        <v>2384</v>
      </c>
      <c r="H684" s="4" t="s">
        <v>24</v>
      </c>
      <c r="I684" s="4" t="s">
        <v>25</v>
      </c>
      <c r="K684" s="4" t="s">
        <v>26</v>
      </c>
      <c r="L684" s="4" t="s">
        <v>2385</v>
      </c>
      <c r="O684" s="4" t="s">
        <v>2386</v>
      </c>
      <c r="P684" s="5">
        <f>DATE(2022,2,15)</f>
        <v>44607</v>
      </c>
      <c r="Q684" s="4" t="s">
        <v>2114</v>
      </c>
      <c r="R684" s="5">
        <f>DATE(2021,12,21)</f>
        <v>44551</v>
      </c>
      <c r="S684" s="4" t="s">
        <v>2115</v>
      </c>
      <c r="T684" s="5">
        <f>DATE(2021,3,9)</f>
        <v>44264</v>
      </c>
    </row>
    <row r="685" spans="1:24" ht="55.05" customHeight="1" x14ac:dyDescent="0.3">
      <c r="A685" s="4" t="s">
        <v>2095</v>
      </c>
      <c r="B685" s="4" t="s">
        <v>81</v>
      </c>
      <c r="C685" s="4" t="s">
        <v>94</v>
      </c>
      <c r="D685" s="4" t="s">
        <v>20</v>
      </c>
      <c r="E685" s="4" t="s">
        <v>2383</v>
      </c>
      <c r="F685" s="4" t="s">
        <v>96</v>
      </c>
      <c r="G685" s="4" t="s">
        <v>2387</v>
      </c>
      <c r="H685" s="4" t="s">
        <v>24</v>
      </c>
      <c r="I685" s="4" t="s">
        <v>25</v>
      </c>
      <c r="K685" s="4" t="s">
        <v>26</v>
      </c>
      <c r="L685" s="4" t="s">
        <v>2388</v>
      </c>
      <c r="O685" s="4" t="s">
        <v>2386</v>
      </c>
      <c r="P685" s="5">
        <f>DATE(2022,2,15)</f>
        <v>44607</v>
      </c>
      <c r="Q685" s="4" t="s">
        <v>2114</v>
      </c>
      <c r="R685" s="5">
        <f>DATE(2021,12,21)</f>
        <v>44551</v>
      </c>
      <c r="S685" s="4" t="s">
        <v>2115</v>
      </c>
      <c r="T685" s="5">
        <f>DATE(2021,3,9)</f>
        <v>44264</v>
      </c>
    </row>
    <row r="686" spans="1:24" ht="55.05" customHeight="1" x14ac:dyDescent="0.3">
      <c r="A686" s="4" t="s">
        <v>2095</v>
      </c>
      <c r="B686" s="4" t="s">
        <v>81</v>
      </c>
      <c r="C686" s="4" t="s">
        <v>94</v>
      </c>
      <c r="D686" s="4" t="s">
        <v>20</v>
      </c>
      <c r="E686" s="4" t="s">
        <v>2383</v>
      </c>
      <c r="F686" s="4" t="s">
        <v>96</v>
      </c>
      <c r="G686" s="4" t="s">
        <v>2389</v>
      </c>
      <c r="H686" s="4" t="s">
        <v>24</v>
      </c>
      <c r="I686" s="4" t="s">
        <v>25</v>
      </c>
      <c r="K686" s="4" t="s">
        <v>26</v>
      </c>
      <c r="L686" s="4" t="s">
        <v>2390</v>
      </c>
      <c r="O686" s="4" t="s">
        <v>2114</v>
      </c>
      <c r="P686" s="5">
        <f>DATE(2021,12,21)</f>
        <v>44551</v>
      </c>
      <c r="Q686" s="4" t="s">
        <v>2115</v>
      </c>
      <c r="R686" s="5">
        <f>DATE(2021,3,9)</f>
        <v>44264</v>
      </c>
    </row>
    <row r="687" spans="1:24" ht="55.05" customHeight="1" x14ac:dyDescent="0.3">
      <c r="A687" s="4" t="s">
        <v>2095</v>
      </c>
      <c r="B687" s="4" t="s">
        <v>81</v>
      </c>
      <c r="C687" s="4" t="s">
        <v>94</v>
      </c>
      <c r="D687" s="4" t="s">
        <v>20</v>
      </c>
      <c r="E687" s="4" t="s">
        <v>2383</v>
      </c>
      <c r="F687" s="4" t="s">
        <v>96</v>
      </c>
      <c r="G687" s="4" t="s">
        <v>2391</v>
      </c>
      <c r="H687" s="4" t="s">
        <v>37</v>
      </c>
      <c r="I687" s="4" t="s">
        <v>25</v>
      </c>
      <c r="K687" s="4" t="s">
        <v>26</v>
      </c>
      <c r="L687" s="4" t="s">
        <v>2392</v>
      </c>
      <c r="O687" s="4" t="s">
        <v>2386</v>
      </c>
      <c r="P687" s="5">
        <f>DATE(2022,2,15)</f>
        <v>44607</v>
      </c>
    </row>
    <row r="688" spans="1:24" ht="55.05" customHeight="1" x14ac:dyDescent="0.3">
      <c r="A688" s="4" t="s">
        <v>2095</v>
      </c>
      <c r="B688" s="4" t="s">
        <v>81</v>
      </c>
      <c r="C688" s="4" t="s">
        <v>399</v>
      </c>
      <c r="D688" s="4" t="s">
        <v>20</v>
      </c>
      <c r="E688" s="4" t="s">
        <v>400</v>
      </c>
      <c r="F688" s="4" t="s">
        <v>22</v>
      </c>
      <c r="G688" s="4" t="s">
        <v>2393</v>
      </c>
      <c r="H688" s="4" t="s">
        <v>24</v>
      </c>
      <c r="I688" s="4" t="s">
        <v>25</v>
      </c>
      <c r="K688" s="4" t="s">
        <v>26</v>
      </c>
      <c r="L688" s="4" t="s">
        <v>2394</v>
      </c>
      <c r="O688" s="4" t="s">
        <v>1031</v>
      </c>
      <c r="P688" s="5">
        <f>DATE(2023,3,28)</f>
        <v>45013</v>
      </c>
      <c r="Q688" s="4" t="s">
        <v>2114</v>
      </c>
      <c r="R688" s="5">
        <f t="shared" ref="R688:R694" si="10">DATE(2021,12,21)</f>
        <v>44551</v>
      </c>
      <c r="S688" s="4" t="s">
        <v>2265</v>
      </c>
      <c r="T688" s="5">
        <f>DATE(2021,5,11)</f>
        <v>44327</v>
      </c>
    </row>
    <row r="689" spans="1:22" ht="55.05" customHeight="1" x14ac:dyDescent="0.3">
      <c r="A689" s="4" t="s">
        <v>2095</v>
      </c>
      <c r="B689" s="4" t="s">
        <v>81</v>
      </c>
      <c r="C689" s="4" t="s">
        <v>399</v>
      </c>
      <c r="D689" s="4" t="s">
        <v>20</v>
      </c>
      <c r="E689" s="4" t="s">
        <v>2395</v>
      </c>
      <c r="F689" s="4" t="s">
        <v>22</v>
      </c>
      <c r="G689" s="4" t="s">
        <v>2396</v>
      </c>
      <c r="H689" s="4" t="s">
        <v>24</v>
      </c>
      <c r="I689" s="4" t="s">
        <v>25</v>
      </c>
      <c r="K689" s="4" t="s">
        <v>26</v>
      </c>
      <c r="L689" s="4" t="s">
        <v>2397</v>
      </c>
      <c r="O689" s="4" t="s">
        <v>1031</v>
      </c>
      <c r="P689" s="5">
        <f>DATE(2023,3,28)</f>
        <v>45013</v>
      </c>
      <c r="Q689" s="4" t="s">
        <v>2114</v>
      </c>
      <c r="R689" s="5">
        <f t="shared" si="10"/>
        <v>44551</v>
      </c>
      <c r="S689" s="4" t="s">
        <v>2302</v>
      </c>
      <c r="T689" s="5">
        <f>DATE(2021,3,30)</f>
        <v>44285</v>
      </c>
    </row>
    <row r="690" spans="1:22" ht="55.05" customHeight="1" x14ac:dyDescent="0.3">
      <c r="A690" s="4" t="s">
        <v>2095</v>
      </c>
      <c r="B690" s="4" t="s">
        <v>81</v>
      </c>
      <c r="C690" s="4" t="s">
        <v>399</v>
      </c>
      <c r="D690" s="4" t="s">
        <v>20</v>
      </c>
      <c r="E690" s="4" t="s">
        <v>400</v>
      </c>
      <c r="F690" s="4" t="s">
        <v>22</v>
      </c>
      <c r="G690" s="4" t="s">
        <v>2398</v>
      </c>
      <c r="H690" s="4" t="s">
        <v>24</v>
      </c>
      <c r="I690" s="4" t="s">
        <v>25</v>
      </c>
      <c r="K690" s="4" t="s">
        <v>26</v>
      </c>
      <c r="L690" s="4" t="s">
        <v>2399</v>
      </c>
      <c r="O690" s="4" t="s">
        <v>1031</v>
      </c>
      <c r="P690" s="5">
        <f>DATE(2023,3,28)</f>
        <v>45013</v>
      </c>
      <c r="Q690" s="4" t="s">
        <v>2114</v>
      </c>
      <c r="R690" s="5">
        <f t="shared" si="10"/>
        <v>44551</v>
      </c>
      <c r="S690" s="4" t="s">
        <v>2302</v>
      </c>
      <c r="T690" s="5">
        <f>DATE(2021,3,30)</f>
        <v>44285</v>
      </c>
    </row>
    <row r="691" spans="1:22" ht="55.05" customHeight="1" x14ac:dyDescent="0.3">
      <c r="A691" s="4" t="s">
        <v>2095</v>
      </c>
      <c r="B691" s="4" t="s">
        <v>81</v>
      </c>
      <c r="C691" s="4" t="s">
        <v>399</v>
      </c>
      <c r="D691" s="4" t="s">
        <v>20</v>
      </c>
      <c r="E691" s="4" t="s">
        <v>2395</v>
      </c>
      <c r="F691" s="4" t="s">
        <v>22</v>
      </c>
      <c r="G691" s="4" t="s">
        <v>2400</v>
      </c>
      <c r="H691" s="4" t="s">
        <v>24</v>
      </c>
      <c r="I691" s="4" t="s">
        <v>25</v>
      </c>
      <c r="K691" s="4" t="s">
        <v>26</v>
      </c>
      <c r="L691" s="4" t="s">
        <v>2401</v>
      </c>
      <c r="O691" s="4" t="s">
        <v>1031</v>
      </c>
      <c r="P691" s="5">
        <f>DATE(2023,3,28)</f>
        <v>45013</v>
      </c>
      <c r="Q691" s="4" t="s">
        <v>2114</v>
      </c>
      <c r="R691" s="5">
        <f t="shared" si="10"/>
        <v>44551</v>
      </c>
      <c r="S691" s="4" t="s">
        <v>2302</v>
      </c>
      <c r="T691" s="5">
        <f>DATE(2021,3,30)</f>
        <v>44285</v>
      </c>
    </row>
    <row r="692" spans="1:22" ht="55.05" customHeight="1" x14ac:dyDescent="0.3">
      <c r="A692" s="4" t="s">
        <v>2095</v>
      </c>
      <c r="B692" s="4" t="s">
        <v>81</v>
      </c>
      <c r="C692" s="4" t="s">
        <v>405</v>
      </c>
      <c r="D692" s="4" t="s">
        <v>20</v>
      </c>
      <c r="E692" s="4" t="s">
        <v>1045</v>
      </c>
      <c r="F692" s="4" t="s">
        <v>407</v>
      </c>
      <c r="G692" s="4" t="s">
        <v>2402</v>
      </c>
      <c r="H692" s="4" t="s">
        <v>24</v>
      </c>
      <c r="I692" s="4" t="s">
        <v>25</v>
      </c>
      <c r="K692" s="4" t="s">
        <v>26</v>
      </c>
      <c r="L692" s="4" t="s">
        <v>2403</v>
      </c>
      <c r="O692" s="4" t="s">
        <v>2404</v>
      </c>
      <c r="P692" s="5">
        <f>DATE(2022,8,18)</f>
        <v>44791</v>
      </c>
      <c r="Q692" s="4" t="s">
        <v>2114</v>
      </c>
      <c r="R692" s="5">
        <f t="shared" si="10"/>
        <v>44551</v>
      </c>
      <c r="S692" s="4" t="s">
        <v>2115</v>
      </c>
      <c r="T692" s="5">
        <f>DATE(2021,3,9)</f>
        <v>44264</v>
      </c>
    </row>
    <row r="693" spans="1:22" ht="55.05" customHeight="1" x14ac:dyDescent="0.3">
      <c r="A693" s="4" t="s">
        <v>2095</v>
      </c>
      <c r="B693" s="4" t="s">
        <v>81</v>
      </c>
      <c r="C693" s="4" t="s">
        <v>405</v>
      </c>
      <c r="D693" s="4" t="s">
        <v>20</v>
      </c>
      <c r="E693" s="4" t="s">
        <v>1045</v>
      </c>
      <c r="F693" s="4" t="s">
        <v>407</v>
      </c>
      <c r="G693" s="4" t="s">
        <v>2405</v>
      </c>
      <c r="H693" s="4" t="s">
        <v>24</v>
      </c>
      <c r="I693" s="4" t="s">
        <v>25</v>
      </c>
      <c r="K693" s="4" t="s">
        <v>26</v>
      </c>
      <c r="L693" s="4" t="s">
        <v>2406</v>
      </c>
      <c r="O693" s="4" t="s">
        <v>1048</v>
      </c>
      <c r="P693" s="5">
        <f>DATE(2022,6,16)</f>
        <v>44728</v>
      </c>
      <c r="Q693" s="4" t="s">
        <v>2114</v>
      </c>
      <c r="R693" s="5">
        <f t="shared" si="10"/>
        <v>44551</v>
      </c>
      <c r="S693" s="4" t="s">
        <v>2115</v>
      </c>
      <c r="T693" s="5">
        <f>DATE(2021,3,9)</f>
        <v>44264</v>
      </c>
    </row>
    <row r="694" spans="1:22" ht="55.05" customHeight="1" x14ac:dyDescent="0.3">
      <c r="A694" s="4" t="s">
        <v>2095</v>
      </c>
      <c r="B694" s="4" t="s">
        <v>81</v>
      </c>
      <c r="C694" s="4" t="s">
        <v>405</v>
      </c>
      <c r="D694" s="4" t="s">
        <v>20</v>
      </c>
      <c r="E694" s="4" t="s">
        <v>1045</v>
      </c>
      <c r="F694" s="4" t="s">
        <v>407</v>
      </c>
      <c r="G694" s="4" t="s">
        <v>2407</v>
      </c>
      <c r="H694" s="4" t="s">
        <v>24</v>
      </c>
      <c r="I694" s="4" t="s">
        <v>25</v>
      </c>
      <c r="K694" s="4" t="s">
        <v>26</v>
      </c>
      <c r="L694" s="4" t="s">
        <v>2408</v>
      </c>
      <c r="O694" s="4" t="s">
        <v>1048</v>
      </c>
      <c r="P694" s="5">
        <f>DATE(2022,6,16)</f>
        <v>44728</v>
      </c>
      <c r="Q694" s="4" t="s">
        <v>2114</v>
      </c>
      <c r="R694" s="5">
        <f t="shared" si="10"/>
        <v>44551</v>
      </c>
      <c r="S694" s="4" t="s">
        <v>2115</v>
      </c>
      <c r="T694" s="5">
        <f>DATE(2021,3,9)</f>
        <v>44264</v>
      </c>
    </row>
    <row r="695" spans="1:22" ht="55.05" customHeight="1" x14ac:dyDescent="0.3">
      <c r="A695" s="4" t="s">
        <v>2095</v>
      </c>
      <c r="B695" s="4" t="s">
        <v>81</v>
      </c>
      <c r="C695" s="4" t="s">
        <v>405</v>
      </c>
      <c r="D695" s="4" t="s">
        <v>20</v>
      </c>
      <c r="E695" s="4" t="s">
        <v>2409</v>
      </c>
      <c r="F695" s="4" t="s">
        <v>407</v>
      </c>
      <c r="G695" s="4" t="s">
        <v>2410</v>
      </c>
      <c r="H695" s="4" t="s">
        <v>24</v>
      </c>
      <c r="I695" s="4" t="s">
        <v>25</v>
      </c>
      <c r="K695" s="4" t="s">
        <v>26</v>
      </c>
      <c r="L695" s="4" t="s">
        <v>2411</v>
      </c>
      <c r="O695" s="4" t="s">
        <v>2114</v>
      </c>
      <c r="P695" s="5">
        <f>DATE(2021,12,21)</f>
        <v>44551</v>
      </c>
      <c r="Q695" s="4" t="s">
        <v>2115</v>
      </c>
      <c r="R695" s="5">
        <f>DATE(2021,3,9)</f>
        <v>44264</v>
      </c>
    </row>
    <row r="696" spans="1:22" ht="55.05" customHeight="1" x14ac:dyDescent="0.3">
      <c r="A696" s="4" t="s">
        <v>2095</v>
      </c>
      <c r="B696" s="4" t="s">
        <v>81</v>
      </c>
      <c r="C696" s="4" t="s">
        <v>405</v>
      </c>
      <c r="D696" s="4" t="s">
        <v>20</v>
      </c>
      <c r="E696" s="4" t="s">
        <v>1067</v>
      </c>
      <c r="F696" s="4" t="s">
        <v>407</v>
      </c>
      <c r="G696" s="4" t="s">
        <v>2412</v>
      </c>
      <c r="H696" s="4" t="s">
        <v>24</v>
      </c>
      <c r="I696" s="4" t="s">
        <v>25</v>
      </c>
      <c r="K696" s="4" t="s">
        <v>26</v>
      </c>
      <c r="L696" s="4" t="s">
        <v>2413</v>
      </c>
      <c r="O696" s="4" t="s">
        <v>2414</v>
      </c>
      <c r="P696" s="5">
        <f>DATE(2023,5,18)</f>
        <v>45064</v>
      </c>
      <c r="Q696" s="4" t="s">
        <v>2114</v>
      </c>
      <c r="R696" s="5">
        <f>DATE(2021,12,21)</f>
        <v>44551</v>
      </c>
      <c r="S696" s="4" t="s">
        <v>2115</v>
      </c>
      <c r="T696" s="5">
        <f>DATE(2021,3,9)</f>
        <v>44264</v>
      </c>
    </row>
    <row r="697" spans="1:22" ht="55.05" customHeight="1" x14ac:dyDescent="0.3">
      <c r="A697" s="4" t="s">
        <v>2095</v>
      </c>
      <c r="B697" s="4" t="s">
        <v>81</v>
      </c>
      <c r="C697" s="4" t="s">
        <v>405</v>
      </c>
      <c r="D697" s="4" t="s">
        <v>20</v>
      </c>
      <c r="E697" s="4" t="s">
        <v>1067</v>
      </c>
      <c r="F697" s="4" t="s">
        <v>407</v>
      </c>
      <c r="G697" s="4" t="s">
        <v>2415</v>
      </c>
      <c r="H697" s="4" t="s">
        <v>24</v>
      </c>
      <c r="I697" s="4" t="s">
        <v>25</v>
      </c>
      <c r="K697" s="4" t="s">
        <v>26</v>
      </c>
      <c r="L697" s="4" t="s">
        <v>2416</v>
      </c>
      <c r="O697" s="4" t="s">
        <v>1088</v>
      </c>
      <c r="P697" s="5">
        <f>DATE(2023,2,27)</f>
        <v>44984</v>
      </c>
      <c r="Q697" s="4" t="s">
        <v>2114</v>
      </c>
      <c r="R697" s="5">
        <f>DATE(2021,12,21)</f>
        <v>44551</v>
      </c>
      <c r="S697" s="4" t="s">
        <v>2115</v>
      </c>
      <c r="T697" s="5">
        <f>DATE(2021,3,9)</f>
        <v>44264</v>
      </c>
    </row>
    <row r="698" spans="1:22" ht="55.05" customHeight="1" x14ac:dyDescent="0.3">
      <c r="A698" s="4" t="s">
        <v>2095</v>
      </c>
      <c r="B698" s="4" t="s">
        <v>81</v>
      </c>
      <c r="C698" s="4" t="s">
        <v>405</v>
      </c>
      <c r="D698" s="4" t="s">
        <v>20</v>
      </c>
      <c r="E698" s="4" t="s">
        <v>1067</v>
      </c>
      <c r="F698" s="4" t="s">
        <v>407</v>
      </c>
      <c r="G698" s="4" t="s">
        <v>2417</v>
      </c>
      <c r="H698" s="4" t="s">
        <v>24</v>
      </c>
      <c r="I698" s="4" t="s">
        <v>25</v>
      </c>
      <c r="K698" s="4" t="s">
        <v>26</v>
      </c>
      <c r="L698" s="4" t="s">
        <v>2418</v>
      </c>
      <c r="O698" s="4" t="s">
        <v>1088</v>
      </c>
      <c r="P698" s="5">
        <f>DATE(2023,2,27)</f>
        <v>44984</v>
      </c>
      <c r="Q698" s="4" t="s">
        <v>1093</v>
      </c>
      <c r="R698" s="5">
        <f>DATE(2022,5,24)</f>
        <v>44705</v>
      </c>
      <c r="S698" s="4" t="s">
        <v>2114</v>
      </c>
      <c r="T698" s="5">
        <f>DATE(2021,12,21)</f>
        <v>44551</v>
      </c>
      <c r="U698" s="4" t="s">
        <v>2419</v>
      </c>
      <c r="V698" s="5">
        <f>DATE(2021,11,2)</f>
        <v>44502</v>
      </c>
    </row>
    <row r="699" spans="1:22" ht="55.05" customHeight="1" x14ac:dyDescent="0.3">
      <c r="A699" s="4" t="s">
        <v>2095</v>
      </c>
      <c r="B699" s="4" t="s">
        <v>81</v>
      </c>
      <c r="C699" s="4" t="s">
        <v>405</v>
      </c>
      <c r="D699" s="4" t="s">
        <v>20</v>
      </c>
      <c r="E699" s="4" t="s">
        <v>1067</v>
      </c>
      <c r="F699" s="4" t="s">
        <v>407</v>
      </c>
      <c r="G699" s="4" t="s">
        <v>2420</v>
      </c>
      <c r="H699" s="4" t="s">
        <v>24</v>
      </c>
      <c r="I699" s="4" t="s">
        <v>25</v>
      </c>
      <c r="K699" s="4" t="s">
        <v>26</v>
      </c>
      <c r="L699" s="4" t="s">
        <v>2421</v>
      </c>
      <c r="O699" s="4" t="s">
        <v>1121</v>
      </c>
      <c r="P699" s="5">
        <f>DATE(2022,7,15)</f>
        <v>44757</v>
      </c>
      <c r="Q699" s="4" t="s">
        <v>1093</v>
      </c>
      <c r="R699" s="5">
        <f>DATE(2022,5,24)</f>
        <v>44705</v>
      </c>
      <c r="S699" s="4" t="s">
        <v>2114</v>
      </c>
      <c r="T699" s="5">
        <f>DATE(2021,12,21)</f>
        <v>44551</v>
      </c>
      <c r="U699" s="4" t="s">
        <v>2419</v>
      </c>
      <c r="V699" s="5">
        <f>DATE(2021,11,2)</f>
        <v>44502</v>
      </c>
    </row>
    <row r="700" spans="1:22" ht="55.05" customHeight="1" x14ac:dyDescent="0.3">
      <c r="A700" s="4" t="s">
        <v>2095</v>
      </c>
      <c r="B700" s="4" t="s">
        <v>81</v>
      </c>
      <c r="C700" s="4" t="s">
        <v>405</v>
      </c>
      <c r="D700" s="4" t="s">
        <v>20</v>
      </c>
      <c r="E700" s="4" t="s">
        <v>1067</v>
      </c>
      <c r="F700" s="4" t="s">
        <v>407</v>
      </c>
      <c r="G700" s="4" t="s">
        <v>2422</v>
      </c>
      <c r="H700" s="4" t="s">
        <v>24</v>
      </c>
      <c r="I700" s="4" t="s">
        <v>25</v>
      </c>
      <c r="K700" s="4" t="s">
        <v>26</v>
      </c>
      <c r="L700" s="4" t="s">
        <v>2423</v>
      </c>
      <c r="O700" s="4" t="s">
        <v>1088</v>
      </c>
      <c r="P700" s="5">
        <f>DATE(2023,2,27)</f>
        <v>44984</v>
      </c>
      <c r="Q700" s="4" t="s">
        <v>1093</v>
      </c>
      <c r="R700" s="5">
        <f>DATE(2022,5,24)</f>
        <v>44705</v>
      </c>
      <c r="S700" s="4" t="s">
        <v>2114</v>
      </c>
      <c r="T700" s="5">
        <f>DATE(2021,12,21)</f>
        <v>44551</v>
      </c>
      <c r="U700" s="4" t="s">
        <v>2424</v>
      </c>
      <c r="V700" s="5">
        <f>DATE(2021,10,21)</f>
        <v>44490</v>
      </c>
    </row>
    <row r="701" spans="1:22" ht="55.05" customHeight="1" x14ac:dyDescent="0.3">
      <c r="A701" s="4" t="s">
        <v>2095</v>
      </c>
      <c r="B701" s="4" t="s">
        <v>81</v>
      </c>
      <c r="C701" s="4" t="s">
        <v>405</v>
      </c>
      <c r="D701" s="4" t="s">
        <v>20</v>
      </c>
      <c r="E701" s="4" t="s">
        <v>1067</v>
      </c>
      <c r="F701" s="4" t="s">
        <v>407</v>
      </c>
      <c r="G701" s="4" t="s">
        <v>2425</v>
      </c>
      <c r="H701" s="4" t="s">
        <v>24</v>
      </c>
      <c r="I701" s="4" t="s">
        <v>25</v>
      </c>
      <c r="K701" s="4" t="s">
        <v>26</v>
      </c>
      <c r="L701" s="4" t="s">
        <v>2426</v>
      </c>
      <c r="O701" s="4" t="s">
        <v>1088</v>
      </c>
      <c r="P701" s="5">
        <f>DATE(2023,2,27)</f>
        <v>44984</v>
      </c>
      <c r="Q701" s="4" t="s">
        <v>1093</v>
      </c>
      <c r="R701" s="5">
        <f>DATE(2022,5,24)</f>
        <v>44705</v>
      </c>
      <c r="S701" s="4" t="s">
        <v>2114</v>
      </c>
      <c r="T701" s="5">
        <f>DATE(2021,12,21)</f>
        <v>44551</v>
      </c>
      <c r="U701" s="4" t="s">
        <v>2419</v>
      </c>
      <c r="V701" s="5">
        <f>DATE(2021,11,2)</f>
        <v>44502</v>
      </c>
    </row>
    <row r="702" spans="1:22" ht="55.05" customHeight="1" x14ac:dyDescent="0.3">
      <c r="A702" s="4" t="s">
        <v>2095</v>
      </c>
      <c r="B702" s="4" t="s">
        <v>81</v>
      </c>
      <c r="C702" s="4" t="s">
        <v>405</v>
      </c>
      <c r="D702" s="4" t="s">
        <v>20</v>
      </c>
      <c r="E702" s="4" t="s">
        <v>1067</v>
      </c>
      <c r="F702" s="4" t="s">
        <v>407</v>
      </c>
      <c r="G702" s="4" t="s">
        <v>2427</v>
      </c>
      <c r="H702" s="4" t="s">
        <v>24</v>
      </c>
      <c r="I702" s="4" t="s">
        <v>25</v>
      </c>
      <c r="K702" s="4" t="s">
        <v>26</v>
      </c>
      <c r="L702" s="4" t="s">
        <v>2428</v>
      </c>
      <c r="O702" s="4" t="s">
        <v>1081</v>
      </c>
      <c r="P702" s="5">
        <f>DATE(2023,10,30)</f>
        <v>45229</v>
      </c>
      <c r="Q702" s="4" t="s">
        <v>1093</v>
      </c>
      <c r="R702" s="5">
        <f>DATE(2022,5,24)</f>
        <v>44705</v>
      </c>
      <c r="S702" s="4" t="s">
        <v>2114</v>
      </c>
      <c r="T702" s="5">
        <f>DATE(2021,12,21)</f>
        <v>44551</v>
      </c>
      <c r="U702" s="4" t="s">
        <v>2419</v>
      </c>
      <c r="V702" s="5">
        <f>DATE(2021,11,2)</f>
        <v>44502</v>
      </c>
    </row>
    <row r="703" spans="1:22" ht="55.05" customHeight="1" x14ac:dyDescent="0.3">
      <c r="A703" s="4" t="s">
        <v>2095</v>
      </c>
      <c r="B703" s="4" t="s">
        <v>81</v>
      </c>
      <c r="C703" s="4" t="s">
        <v>405</v>
      </c>
      <c r="D703" s="4" t="s">
        <v>20</v>
      </c>
      <c r="E703" s="4" t="s">
        <v>1067</v>
      </c>
      <c r="F703" s="4" t="s">
        <v>407</v>
      </c>
      <c r="G703" s="4" t="s">
        <v>2429</v>
      </c>
      <c r="H703" s="4" t="s">
        <v>24</v>
      </c>
      <c r="I703" s="4" t="s">
        <v>25</v>
      </c>
      <c r="K703" s="4" t="s">
        <v>26</v>
      </c>
      <c r="L703" s="4" t="s">
        <v>2430</v>
      </c>
      <c r="O703" s="4" t="s">
        <v>1088</v>
      </c>
      <c r="P703" s="5">
        <f>DATE(2023,2,27)</f>
        <v>44984</v>
      </c>
      <c r="Q703" s="4" t="s">
        <v>2114</v>
      </c>
      <c r="R703" s="5">
        <f>DATE(2021,12,21)</f>
        <v>44551</v>
      </c>
      <c r="S703" s="4" t="s">
        <v>2115</v>
      </c>
      <c r="T703" s="5">
        <f>DATE(2021,3,9)</f>
        <v>44264</v>
      </c>
    </row>
    <row r="704" spans="1:22" ht="55.05" customHeight="1" x14ac:dyDescent="0.3">
      <c r="A704" s="4" t="s">
        <v>2095</v>
      </c>
      <c r="B704" s="4" t="s">
        <v>81</v>
      </c>
      <c r="C704" s="4" t="s">
        <v>405</v>
      </c>
      <c r="D704" s="4" t="s">
        <v>20</v>
      </c>
      <c r="E704" s="4" t="s">
        <v>406</v>
      </c>
      <c r="F704" s="4" t="s">
        <v>407</v>
      </c>
      <c r="G704" s="4" t="s">
        <v>2431</v>
      </c>
      <c r="H704" s="4" t="s">
        <v>24</v>
      </c>
      <c r="I704" s="4" t="s">
        <v>25</v>
      </c>
      <c r="K704" s="4" t="s">
        <v>26</v>
      </c>
      <c r="L704" s="4" t="s">
        <v>2432</v>
      </c>
      <c r="O704" s="4" t="s">
        <v>2314</v>
      </c>
      <c r="P704" s="5">
        <f>DATE(2022,11,24)</f>
        <v>44889</v>
      </c>
      <c r="Q704" s="4" t="s">
        <v>2114</v>
      </c>
      <c r="R704" s="5">
        <f>DATE(2021,12,21)</f>
        <v>44551</v>
      </c>
      <c r="S704" s="4" t="s">
        <v>2115</v>
      </c>
      <c r="T704" s="5">
        <f>DATE(2021,3,9)</f>
        <v>44264</v>
      </c>
    </row>
    <row r="705" spans="1:26" ht="55.05" customHeight="1" x14ac:dyDescent="0.3">
      <c r="A705" s="4" t="s">
        <v>2095</v>
      </c>
      <c r="B705" s="4" t="s">
        <v>81</v>
      </c>
      <c r="C705" s="4" t="s">
        <v>405</v>
      </c>
      <c r="D705" s="4" t="s">
        <v>20</v>
      </c>
      <c r="E705" s="4" t="s">
        <v>406</v>
      </c>
      <c r="F705" s="4" t="s">
        <v>407</v>
      </c>
      <c r="G705" s="4" t="s">
        <v>2433</v>
      </c>
      <c r="H705" s="4" t="s">
        <v>24</v>
      </c>
      <c r="I705" s="4" t="s">
        <v>25</v>
      </c>
      <c r="K705" s="4" t="s">
        <v>26</v>
      </c>
      <c r="L705" s="4" t="s">
        <v>2434</v>
      </c>
      <c r="O705" s="4" t="s">
        <v>2114</v>
      </c>
      <c r="P705" s="5">
        <f>DATE(2021,12,21)</f>
        <v>44551</v>
      </c>
      <c r="Q705" s="4" t="s">
        <v>2115</v>
      </c>
      <c r="R705" s="5">
        <f>DATE(2021,3,9)</f>
        <v>44264</v>
      </c>
    </row>
    <row r="706" spans="1:26" ht="55.05" customHeight="1" x14ac:dyDescent="0.3">
      <c r="A706" s="4" t="s">
        <v>2095</v>
      </c>
      <c r="B706" s="4" t="s">
        <v>81</v>
      </c>
      <c r="C706" s="4" t="s">
        <v>405</v>
      </c>
      <c r="D706" s="4" t="s">
        <v>20</v>
      </c>
      <c r="E706" s="4" t="s">
        <v>406</v>
      </c>
      <c r="F706" s="4" t="s">
        <v>407</v>
      </c>
      <c r="G706" s="4" t="s">
        <v>2435</v>
      </c>
      <c r="H706" s="4" t="s">
        <v>24</v>
      </c>
      <c r="I706" s="4" t="s">
        <v>25</v>
      </c>
      <c r="K706" s="4" t="s">
        <v>26</v>
      </c>
      <c r="L706" s="4" t="s">
        <v>2436</v>
      </c>
      <c r="O706" s="4" t="s">
        <v>1184</v>
      </c>
      <c r="P706" s="5">
        <f>DATE(2023,3,31)</f>
        <v>45016</v>
      </c>
      <c r="Q706" s="4" t="s">
        <v>2437</v>
      </c>
      <c r="R706" s="5">
        <f>DATE(2022,6,24)</f>
        <v>44736</v>
      </c>
      <c r="S706" s="4" t="s">
        <v>2114</v>
      </c>
      <c r="T706" s="5">
        <f>DATE(2021,12,21)</f>
        <v>44551</v>
      </c>
      <c r="U706" s="4" t="s">
        <v>2115</v>
      </c>
      <c r="V706" s="5">
        <f>DATE(2021,3,9)</f>
        <v>44264</v>
      </c>
    </row>
    <row r="707" spans="1:26" ht="55.05" customHeight="1" x14ac:dyDescent="0.3">
      <c r="A707" s="4" t="s">
        <v>2095</v>
      </c>
      <c r="B707" s="4" t="s">
        <v>81</v>
      </c>
      <c r="C707" s="4" t="s">
        <v>405</v>
      </c>
      <c r="D707" s="4" t="s">
        <v>20</v>
      </c>
      <c r="E707" s="4" t="s">
        <v>406</v>
      </c>
      <c r="F707" s="4" t="s">
        <v>407</v>
      </c>
      <c r="G707" s="4" t="s">
        <v>2438</v>
      </c>
      <c r="H707" s="4" t="s">
        <v>24</v>
      </c>
      <c r="I707" s="4" t="s">
        <v>25</v>
      </c>
      <c r="K707" s="4" t="s">
        <v>26</v>
      </c>
      <c r="L707" s="4" t="s">
        <v>2439</v>
      </c>
      <c r="O707" s="4" t="s">
        <v>2440</v>
      </c>
      <c r="P707" s="5">
        <f>DATE(2023,12,28)</f>
        <v>45288</v>
      </c>
      <c r="Q707" s="4" t="s">
        <v>2114</v>
      </c>
      <c r="R707" s="5">
        <f>DATE(2021,12,21)</f>
        <v>44551</v>
      </c>
      <c r="S707" s="4" t="s">
        <v>2115</v>
      </c>
      <c r="T707" s="5">
        <f>DATE(2021,3,9)</f>
        <v>44264</v>
      </c>
    </row>
    <row r="708" spans="1:26" ht="55.05" customHeight="1" x14ac:dyDescent="0.3">
      <c r="A708" s="4" t="s">
        <v>2095</v>
      </c>
      <c r="B708" s="4" t="s">
        <v>81</v>
      </c>
      <c r="C708" s="4" t="s">
        <v>405</v>
      </c>
      <c r="D708" s="4" t="s">
        <v>20</v>
      </c>
      <c r="E708" s="4" t="s">
        <v>406</v>
      </c>
      <c r="F708" s="4" t="s">
        <v>407</v>
      </c>
      <c r="G708" s="4" t="s">
        <v>2441</v>
      </c>
      <c r="H708" s="4" t="s">
        <v>24</v>
      </c>
      <c r="I708" s="4" t="s">
        <v>25</v>
      </c>
      <c r="K708" s="4" t="s">
        <v>26</v>
      </c>
      <c r="L708" s="4" t="s">
        <v>2442</v>
      </c>
      <c r="O708" s="4" t="s">
        <v>2440</v>
      </c>
      <c r="P708" s="5">
        <f>DATE(2023,12,28)</f>
        <v>45288</v>
      </c>
      <c r="Q708" s="4" t="s">
        <v>2114</v>
      </c>
      <c r="R708" s="5">
        <f>DATE(2021,12,21)</f>
        <v>44551</v>
      </c>
      <c r="S708" s="4" t="s">
        <v>2115</v>
      </c>
      <c r="T708" s="5">
        <f>DATE(2021,3,9)</f>
        <v>44264</v>
      </c>
    </row>
    <row r="709" spans="1:26" ht="55.05" customHeight="1" x14ac:dyDescent="0.3">
      <c r="A709" s="4" t="s">
        <v>2095</v>
      </c>
      <c r="B709" s="4" t="s">
        <v>81</v>
      </c>
      <c r="C709" s="4" t="s">
        <v>405</v>
      </c>
      <c r="D709" s="4" t="s">
        <v>20</v>
      </c>
      <c r="E709" s="4" t="s">
        <v>406</v>
      </c>
      <c r="F709" s="4" t="s">
        <v>407</v>
      </c>
      <c r="G709" s="4" t="s">
        <v>2443</v>
      </c>
      <c r="H709" s="4" t="s">
        <v>24</v>
      </c>
      <c r="I709" s="4" t="s">
        <v>25</v>
      </c>
      <c r="K709" s="4" t="s">
        <v>26</v>
      </c>
      <c r="L709" s="4" t="s">
        <v>2444</v>
      </c>
      <c r="O709" s="4" t="s">
        <v>2114</v>
      </c>
      <c r="P709" s="5">
        <f>DATE(2021,12,21)</f>
        <v>44551</v>
      </c>
      <c r="Q709" s="4" t="s">
        <v>2115</v>
      </c>
      <c r="R709" s="5">
        <f>DATE(2021,3,9)</f>
        <v>44264</v>
      </c>
    </row>
    <row r="710" spans="1:26" ht="55.05" customHeight="1" x14ac:dyDescent="0.3">
      <c r="A710" s="4" t="s">
        <v>2095</v>
      </c>
      <c r="B710" s="4" t="s">
        <v>81</v>
      </c>
      <c r="C710" s="4" t="s">
        <v>405</v>
      </c>
      <c r="D710" s="4" t="s">
        <v>20</v>
      </c>
      <c r="E710" s="4" t="s">
        <v>406</v>
      </c>
      <c r="F710" s="4" t="s">
        <v>407</v>
      </c>
      <c r="G710" s="4" t="s">
        <v>2445</v>
      </c>
      <c r="H710" s="4" t="s">
        <v>24</v>
      </c>
      <c r="I710" s="4" t="s">
        <v>25</v>
      </c>
      <c r="K710" s="4" t="s">
        <v>26</v>
      </c>
      <c r="L710" s="4" t="s">
        <v>2446</v>
      </c>
      <c r="O710" s="4" t="s">
        <v>2447</v>
      </c>
      <c r="P710" s="5">
        <f>DATE(2023,9,14)</f>
        <v>45183</v>
      </c>
      <c r="Q710" s="4" t="s">
        <v>2114</v>
      </c>
      <c r="R710" s="5">
        <f>DATE(2021,12,21)</f>
        <v>44551</v>
      </c>
      <c r="S710" s="4" t="s">
        <v>2115</v>
      </c>
      <c r="T710" s="5">
        <f>DATE(2021,3,9)</f>
        <v>44264</v>
      </c>
    </row>
    <row r="711" spans="1:26" ht="55.05" customHeight="1" x14ac:dyDescent="0.3">
      <c r="A711" s="4" t="s">
        <v>2095</v>
      </c>
      <c r="B711" s="4" t="s">
        <v>81</v>
      </c>
      <c r="C711" s="4" t="s">
        <v>405</v>
      </c>
      <c r="D711" s="4" t="s">
        <v>20</v>
      </c>
      <c r="E711" s="4" t="s">
        <v>406</v>
      </c>
      <c r="F711" s="4" t="s">
        <v>407</v>
      </c>
      <c r="G711" s="4" t="s">
        <v>2448</v>
      </c>
      <c r="H711" s="4" t="s">
        <v>24</v>
      </c>
      <c r="I711" s="4" t="s">
        <v>25</v>
      </c>
      <c r="K711" s="4" t="s">
        <v>26</v>
      </c>
      <c r="L711" s="4" t="s">
        <v>2449</v>
      </c>
      <c r="O711" s="4" t="s">
        <v>1166</v>
      </c>
      <c r="P711" s="5">
        <f>DATE(2023,12,12)</f>
        <v>45272</v>
      </c>
      <c r="Q711" s="4" t="s">
        <v>1175</v>
      </c>
      <c r="R711" s="5">
        <f>DATE(2023,7,7)</f>
        <v>45114</v>
      </c>
      <c r="S711" s="4" t="s">
        <v>1170</v>
      </c>
      <c r="T711" s="5">
        <f>DATE(2022,10,28)</f>
        <v>44862</v>
      </c>
      <c r="U711" s="4" t="s">
        <v>1157</v>
      </c>
      <c r="V711" s="5">
        <f>DATE(2022,6,30)</f>
        <v>44742</v>
      </c>
      <c r="W711" s="4" t="s">
        <v>2114</v>
      </c>
      <c r="X711" s="5">
        <f>DATE(2021,12,21)</f>
        <v>44551</v>
      </c>
      <c r="Y711" s="4" t="s">
        <v>2115</v>
      </c>
      <c r="Z711" s="5">
        <f>DATE(2021,3,9)</f>
        <v>44264</v>
      </c>
    </row>
    <row r="712" spans="1:26" ht="55.05" customHeight="1" x14ac:dyDescent="0.3">
      <c r="A712" s="4" t="s">
        <v>2095</v>
      </c>
      <c r="B712" s="4" t="s">
        <v>81</v>
      </c>
      <c r="C712" s="4" t="s">
        <v>405</v>
      </c>
      <c r="D712" s="4" t="s">
        <v>20</v>
      </c>
      <c r="E712" s="4" t="s">
        <v>406</v>
      </c>
      <c r="F712" s="4" t="s">
        <v>407</v>
      </c>
      <c r="G712" s="4" t="s">
        <v>2450</v>
      </c>
      <c r="H712" s="4" t="s">
        <v>24</v>
      </c>
      <c r="I712" s="4" t="s">
        <v>25</v>
      </c>
      <c r="K712" s="4" t="s">
        <v>26</v>
      </c>
      <c r="L712" s="4" t="s">
        <v>2451</v>
      </c>
      <c r="O712" s="4" t="s">
        <v>1166</v>
      </c>
      <c r="P712" s="5">
        <f>DATE(2023,12,12)</f>
        <v>45272</v>
      </c>
      <c r="Q712" s="4" t="s">
        <v>2452</v>
      </c>
      <c r="R712" s="5">
        <f>DATE(2022,10,28)</f>
        <v>44862</v>
      </c>
      <c r="S712" s="4" t="s">
        <v>1157</v>
      </c>
      <c r="T712" s="5">
        <f>DATE(2022,6,30)</f>
        <v>44742</v>
      </c>
      <c r="U712" s="4" t="s">
        <v>2114</v>
      </c>
      <c r="V712" s="5">
        <f>DATE(2021,12,21)</f>
        <v>44551</v>
      </c>
      <c r="W712" s="4" t="s">
        <v>2115</v>
      </c>
      <c r="X712" s="5">
        <f>DATE(2021,3,9)</f>
        <v>44264</v>
      </c>
    </row>
    <row r="713" spans="1:26" ht="55.05" customHeight="1" x14ac:dyDescent="0.3">
      <c r="A713" s="4" t="s">
        <v>2095</v>
      </c>
      <c r="B713" s="4" t="s">
        <v>81</v>
      </c>
      <c r="C713" s="4" t="s">
        <v>405</v>
      </c>
      <c r="D713" s="4" t="s">
        <v>20</v>
      </c>
      <c r="E713" s="4" t="s">
        <v>406</v>
      </c>
      <c r="F713" s="4" t="s">
        <v>407</v>
      </c>
      <c r="G713" s="4" t="s">
        <v>2453</v>
      </c>
      <c r="H713" s="4" t="s">
        <v>24</v>
      </c>
      <c r="I713" s="4" t="s">
        <v>25</v>
      </c>
      <c r="K713" s="4" t="s">
        <v>26</v>
      </c>
      <c r="L713" s="4" t="s">
        <v>2454</v>
      </c>
      <c r="O713" s="4" t="s">
        <v>2447</v>
      </c>
      <c r="P713" s="5">
        <f>DATE(2023,9,14)</f>
        <v>45183</v>
      </c>
      <c r="Q713" s="4" t="s">
        <v>2114</v>
      </c>
      <c r="R713" s="5">
        <f>DATE(2021,12,21)</f>
        <v>44551</v>
      </c>
      <c r="S713" s="4" t="s">
        <v>2115</v>
      </c>
      <c r="T713" s="5">
        <f>DATE(2021,3,9)</f>
        <v>44264</v>
      </c>
    </row>
    <row r="714" spans="1:26" ht="55.05" customHeight="1" x14ac:dyDescent="0.3">
      <c r="A714" s="4" t="s">
        <v>2095</v>
      </c>
      <c r="B714" s="4" t="s">
        <v>81</v>
      </c>
      <c r="C714" s="4" t="s">
        <v>405</v>
      </c>
      <c r="D714" s="4" t="s">
        <v>20</v>
      </c>
      <c r="E714" s="4" t="s">
        <v>406</v>
      </c>
      <c r="F714" s="4" t="s">
        <v>407</v>
      </c>
      <c r="G714" s="4" t="s">
        <v>2455</v>
      </c>
      <c r="H714" s="4" t="s">
        <v>24</v>
      </c>
      <c r="I714" s="4" t="s">
        <v>25</v>
      </c>
      <c r="K714" s="4" t="s">
        <v>26</v>
      </c>
      <c r="L714" s="4" t="s">
        <v>2456</v>
      </c>
      <c r="O714" s="4" t="s">
        <v>2447</v>
      </c>
      <c r="P714" s="5">
        <f>DATE(2023,9,14)</f>
        <v>45183</v>
      </c>
      <c r="Q714" s="4" t="s">
        <v>2114</v>
      </c>
      <c r="R714" s="5">
        <f>DATE(2021,12,21)</f>
        <v>44551</v>
      </c>
      <c r="S714" s="4" t="s">
        <v>2115</v>
      </c>
      <c r="T714" s="5">
        <f>DATE(2021,3,9)</f>
        <v>44264</v>
      </c>
    </row>
    <row r="715" spans="1:26" ht="55.05" customHeight="1" x14ac:dyDescent="0.3">
      <c r="A715" s="4" t="s">
        <v>2095</v>
      </c>
      <c r="B715" s="4" t="s">
        <v>81</v>
      </c>
      <c r="C715" s="4" t="s">
        <v>405</v>
      </c>
      <c r="D715" s="4" t="s">
        <v>20</v>
      </c>
      <c r="E715" s="4" t="s">
        <v>406</v>
      </c>
      <c r="F715" s="4" t="s">
        <v>407</v>
      </c>
      <c r="G715" s="4" t="s">
        <v>2457</v>
      </c>
      <c r="H715" s="4" t="s">
        <v>37</v>
      </c>
      <c r="I715" s="4" t="s">
        <v>25</v>
      </c>
      <c r="K715" s="4" t="s">
        <v>402</v>
      </c>
      <c r="L715" s="4" t="s">
        <v>2458</v>
      </c>
      <c r="O715" s="4" t="s">
        <v>1184</v>
      </c>
      <c r="P715" s="5">
        <f>DATE(2023,3,31)</f>
        <v>45016</v>
      </c>
      <c r="Q715" s="4" t="s">
        <v>2437</v>
      </c>
      <c r="R715" s="5">
        <f>DATE(2022,6,24)</f>
        <v>44736</v>
      </c>
    </row>
    <row r="716" spans="1:26" ht="55.05" customHeight="1" x14ac:dyDescent="0.3">
      <c r="A716" s="4" t="s">
        <v>2095</v>
      </c>
      <c r="B716" s="4" t="s">
        <v>81</v>
      </c>
      <c r="C716" s="4" t="s">
        <v>405</v>
      </c>
      <c r="D716" s="4" t="s">
        <v>20</v>
      </c>
      <c r="E716" s="4" t="s">
        <v>411</v>
      </c>
      <c r="F716" s="4" t="s">
        <v>407</v>
      </c>
      <c r="G716" s="4" t="s">
        <v>2459</v>
      </c>
      <c r="H716" s="4" t="s">
        <v>24</v>
      </c>
      <c r="I716" s="4" t="s">
        <v>25</v>
      </c>
      <c r="K716" s="4" t="s">
        <v>26</v>
      </c>
      <c r="L716" s="4" t="s">
        <v>2460</v>
      </c>
      <c r="M716" s="4" t="s">
        <v>414</v>
      </c>
      <c r="N716" s="5">
        <f>DATE(2022,3,14)</f>
        <v>44634</v>
      </c>
      <c r="O716" s="4" t="s">
        <v>2314</v>
      </c>
      <c r="P716" s="5">
        <f>DATE(2022,11,24)</f>
        <v>44889</v>
      </c>
      <c r="Q716" s="4" t="s">
        <v>2114</v>
      </c>
      <c r="R716" s="5">
        <f>DATE(2021,12,21)</f>
        <v>44551</v>
      </c>
      <c r="S716" s="4" t="s">
        <v>2115</v>
      </c>
      <c r="T716" s="5">
        <f>DATE(2021,3,9)</f>
        <v>44264</v>
      </c>
    </row>
    <row r="717" spans="1:26" ht="55.05" customHeight="1" x14ac:dyDescent="0.3">
      <c r="A717" s="4" t="s">
        <v>2095</v>
      </c>
      <c r="B717" s="4" t="s">
        <v>81</v>
      </c>
      <c r="C717" s="4" t="s">
        <v>405</v>
      </c>
      <c r="D717" s="4" t="s">
        <v>20</v>
      </c>
      <c r="E717" s="4" t="s">
        <v>411</v>
      </c>
      <c r="F717" s="4" t="s">
        <v>407</v>
      </c>
      <c r="G717" s="4" t="s">
        <v>2461</v>
      </c>
      <c r="H717" s="4" t="s">
        <v>24</v>
      </c>
      <c r="I717" s="4" t="s">
        <v>25</v>
      </c>
      <c r="K717" s="4" t="s">
        <v>26</v>
      </c>
      <c r="L717" s="4" t="s">
        <v>2462</v>
      </c>
      <c r="M717" s="4" t="s">
        <v>414</v>
      </c>
      <c r="N717" s="5">
        <f>DATE(2022,3,14)</f>
        <v>44634</v>
      </c>
      <c r="O717" s="4" t="s">
        <v>2114</v>
      </c>
      <c r="P717" s="5">
        <f t="shared" ref="P717:P722" si="11">DATE(2021,12,21)</f>
        <v>44551</v>
      </c>
      <c r="Q717" s="4" t="s">
        <v>2115</v>
      </c>
      <c r="R717" s="5">
        <f>DATE(2021,3,9)</f>
        <v>44264</v>
      </c>
    </row>
    <row r="718" spans="1:26" ht="55.05" customHeight="1" x14ac:dyDescent="0.3">
      <c r="A718" s="4" t="s">
        <v>2095</v>
      </c>
      <c r="B718" s="4" t="s">
        <v>81</v>
      </c>
      <c r="C718" s="4" t="s">
        <v>405</v>
      </c>
      <c r="D718" s="4" t="s">
        <v>20</v>
      </c>
      <c r="E718" s="4" t="s">
        <v>411</v>
      </c>
      <c r="F718" s="4" t="s">
        <v>407</v>
      </c>
      <c r="G718" s="4" t="s">
        <v>2463</v>
      </c>
      <c r="H718" s="4" t="s">
        <v>24</v>
      </c>
      <c r="I718" s="4" t="s">
        <v>25</v>
      </c>
      <c r="K718" s="4" t="s">
        <v>26</v>
      </c>
      <c r="L718" s="4" t="s">
        <v>2464</v>
      </c>
      <c r="M718" s="4" t="s">
        <v>414</v>
      </c>
      <c r="N718" s="5">
        <f>DATE(2022,3,14)</f>
        <v>44634</v>
      </c>
      <c r="O718" s="4" t="s">
        <v>2114</v>
      </c>
      <c r="P718" s="5">
        <f t="shared" si="11"/>
        <v>44551</v>
      </c>
      <c r="Q718" s="4" t="s">
        <v>2115</v>
      </c>
      <c r="R718" s="5">
        <f>DATE(2021,3,9)</f>
        <v>44264</v>
      </c>
    </row>
    <row r="719" spans="1:26" ht="55.05" customHeight="1" x14ac:dyDescent="0.3">
      <c r="A719" s="4" t="s">
        <v>2095</v>
      </c>
      <c r="B719" s="4" t="s">
        <v>81</v>
      </c>
      <c r="C719" s="4" t="s">
        <v>107</v>
      </c>
      <c r="D719" s="4" t="s">
        <v>20</v>
      </c>
      <c r="E719" s="4" t="s">
        <v>108</v>
      </c>
      <c r="F719" s="4" t="s">
        <v>96</v>
      </c>
      <c r="G719" s="4" t="s">
        <v>2465</v>
      </c>
      <c r="H719" s="4" t="s">
        <v>24</v>
      </c>
      <c r="I719" s="4" t="s">
        <v>25</v>
      </c>
      <c r="K719" s="4" t="s">
        <v>26</v>
      </c>
      <c r="L719" s="4" t="s">
        <v>2466</v>
      </c>
      <c r="O719" s="4" t="s">
        <v>1448</v>
      </c>
      <c r="P719" s="5">
        <f t="shared" si="11"/>
        <v>44551</v>
      </c>
      <c r="Q719" s="4" t="s">
        <v>2115</v>
      </c>
      <c r="R719" s="5">
        <f>DATE(2021,3,9)</f>
        <v>44264</v>
      </c>
    </row>
    <row r="720" spans="1:26" ht="55.05" customHeight="1" x14ac:dyDescent="0.3">
      <c r="A720" s="4" t="s">
        <v>2095</v>
      </c>
      <c r="B720" s="4" t="s">
        <v>81</v>
      </c>
      <c r="C720" s="4" t="s">
        <v>107</v>
      </c>
      <c r="D720" s="4" t="s">
        <v>20</v>
      </c>
      <c r="E720" s="4" t="s">
        <v>108</v>
      </c>
      <c r="F720" s="4" t="s">
        <v>96</v>
      </c>
      <c r="G720" s="4" t="s">
        <v>2467</v>
      </c>
      <c r="H720" s="4" t="s">
        <v>24</v>
      </c>
      <c r="I720" s="4" t="s">
        <v>25</v>
      </c>
      <c r="K720" s="4" t="s">
        <v>26</v>
      </c>
      <c r="L720" s="4" t="s">
        <v>2468</v>
      </c>
      <c r="O720" s="4" t="s">
        <v>1448</v>
      </c>
      <c r="P720" s="5">
        <f t="shared" si="11"/>
        <v>44551</v>
      </c>
      <c r="Q720" s="4" t="s">
        <v>2115</v>
      </c>
      <c r="R720" s="5">
        <f>DATE(2021,3,9)</f>
        <v>44264</v>
      </c>
    </row>
    <row r="721" spans="1:20" ht="55.05" customHeight="1" x14ac:dyDescent="0.3">
      <c r="A721" s="4" t="s">
        <v>2095</v>
      </c>
      <c r="B721" s="4" t="s">
        <v>81</v>
      </c>
      <c r="C721" s="4" t="s">
        <v>107</v>
      </c>
      <c r="D721" s="4" t="s">
        <v>20</v>
      </c>
      <c r="E721" s="4" t="s">
        <v>108</v>
      </c>
      <c r="F721" s="4" t="s">
        <v>96</v>
      </c>
      <c r="G721" s="4" t="s">
        <v>2469</v>
      </c>
      <c r="H721" s="4" t="s">
        <v>24</v>
      </c>
      <c r="I721" s="4" t="s">
        <v>25</v>
      </c>
      <c r="K721" s="4" t="s">
        <v>26</v>
      </c>
      <c r="L721" s="4" t="s">
        <v>2470</v>
      </c>
      <c r="O721" s="4" t="s">
        <v>1448</v>
      </c>
      <c r="P721" s="5">
        <f t="shared" si="11"/>
        <v>44551</v>
      </c>
      <c r="Q721" s="4" t="s">
        <v>2115</v>
      </c>
      <c r="R721" s="5">
        <f>DATE(2021,3,9)</f>
        <v>44264</v>
      </c>
    </row>
    <row r="722" spans="1:20" ht="55.05" customHeight="1" x14ac:dyDescent="0.3">
      <c r="A722" s="4" t="s">
        <v>2095</v>
      </c>
      <c r="B722" s="4" t="s">
        <v>81</v>
      </c>
      <c r="C722" s="4" t="s">
        <v>107</v>
      </c>
      <c r="D722" s="4" t="s">
        <v>20</v>
      </c>
      <c r="E722" s="4" t="s">
        <v>108</v>
      </c>
      <c r="F722" s="4" t="s">
        <v>96</v>
      </c>
      <c r="G722" s="4" t="s">
        <v>2471</v>
      </c>
      <c r="H722" s="4" t="s">
        <v>24</v>
      </c>
      <c r="I722" s="4" t="s">
        <v>25</v>
      </c>
      <c r="K722" s="4" t="s">
        <v>26</v>
      </c>
      <c r="L722" s="4" t="s">
        <v>2472</v>
      </c>
      <c r="O722" s="4" t="s">
        <v>1448</v>
      </c>
      <c r="P722" s="5">
        <f t="shared" si="11"/>
        <v>44551</v>
      </c>
      <c r="Q722" s="4" t="s">
        <v>2473</v>
      </c>
      <c r="R722" s="5">
        <f>DATE(2021,8,18)</f>
        <v>44426</v>
      </c>
    </row>
    <row r="723" spans="1:20" ht="55.05" customHeight="1" x14ac:dyDescent="0.3">
      <c r="A723" s="4" t="s">
        <v>2095</v>
      </c>
      <c r="B723" s="4" t="s">
        <v>81</v>
      </c>
      <c r="C723" s="4" t="s">
        <v>107</v>
      </c>
      <c r="D723" s="4" t="s">
        <v>20</v>
      </c>
      <c r="E723" s="4" t="s">
        <v>2474</v>
      </c>
      <c r="F723" s="4" t="s">
        <v>96</v>
      </c>
      <c r="G723" s="4" t="s">
        <v>2475</v>
      </c>
      <c r="H723" s="4" t="s">
        <v>24</v>
      </c>
      <c r="I723" s="4" t="s">
        <v>25</v>
      </c>
      <c r="K723" s="4" t="s">
        <v>26</v>
      </c>
      <c r="L723" s="4" t="s">
        <v>2476</v>
      </c>
      <c r="O723" s="4" t="s">
        <v>2386</v>
      </c>
      <c r="P723" s="5">
        <f>DATE(2022,2,15)</f>
        <v>44607</v>
      </c>
      <c r="Q723" s="4" t="s">
        <v>1448</v>
      </c>
      <c r="R723" s="5">
        <f>DATE(2021,12,21)</f>
        <v>44551</v>
      </c>
      <c r="S723" s="4" t="s">
        <v>2115</v>
      </c>
      <c r="T723" s="5">
        <f>DATE(2021,3,9)</f>
        <v>44264</v>
      </c>
    </row>
    <row r="724" spans="1:20" ht="55.05" customHeight="1" x14ac:dyDescent="0.3">
      <c r="A724" s="4" t="s">
        <v>2095</v>
      </c>
      <c r="B724" s="4" t="s">
        <v>81</v>
      </c>
      <c r="C724" s="4" t="s">
        <v>107</v>
      </c>
      <c r="D724" s="4" t="s">
        <v>1375</v>
      </c>
      <c r="E724" s="4" t="s">
        <v>1376</v>
      </c>
      <c r="F724" s="4" t="s">
        <v>96</v>
      </c>
      <c r="G724" s="4" t="s">
        <v>2477</v>
      </c>
      <c r="H724" s="4" t="s">
        <v>24</v>
      </c>
      <c r="I724" s="4" t="s">
        <v>25</v>
      </c>
      <c r="K724" s="4" t="s">
        <v>26</v>
      </c>
      <c r="L724" s="4" t="s">
        <v>2478</v>
      </c>
      <c r="O724" s="4" t="s">
        <v>2114</v>
      </c>
      <c r="P724" s="5">
        <f t="shared" ref="P724:P732" si="12">DATE(2021,12,21)</f>
        <v>44551</v>
      </c>
      <c r="Q724" s="4" t="s">
        <v>2115</v>
      </c>
      <c r="R724" s="5">
        <f t="shared" ref="R724:R732" si="13">DATE(2021,3,9)</f>
        <v>44264</v>
      </c>
    </row>
    <row r="725" spans="1:20" ht="55.05" customHeight="1" x14ac:dyDescent="0.3">
      <c r="A725" s="4" t="s">
        <v>2095</v>
      </c>
      <c r="B725" s="4" t="s">
        <v>81</v>
      </c>
      <c r="C725" s="4" t="s">
        <v>107</v>
      </c>
      <c r="D725" s="4" t="s">
        <v>113</v>
      </c>
      <c r="E725" s="4" t="s">
        <v>114</v>
      </c>
      <c r="F725" s="4" t="s">
        <v>96</v>
      </c>
      <c r="G725" s="4" t="s">
        <v>2479</v>
      </c>
      <c r="H725" s="4" t="s">
        <v>24</v>
      </c>
      <c r="I725" s="4" t="s">
        <v>25</v>
      </c>
      <c r="K725" s="4" t="s">
        <v>26</v>
      </c>
      <c r="L725" s="4" t="s">
        <v>2480</v>
      </c>
      <c r="O725" s="4" t="s">
        <v>1448</v>
      </c>
      <c r="P725" s="5">
        <f t="shared" si="12"/>
        <v>44551</v>
      </c>
      <c r="Q725" s="4" t="s">
        <v>2115</v>
      </c>
      <c r="R725" s="5">
        <f t="shared" si="13"/>
        <v>44264</v>
      </c>
    </row>
    <row r="726" spans="1:20" ht="55.05" customHeight="1" x14ac:dyDescent="0.3">
      <c r="A726" s="4" t="s">
        <v>2095</v>
      </c>
      <c r="B726" s="4" t="s">
        <v>81</v>
      </c>
      <c r="C726" s="4" t="s">
        <v>107</v>
      </c>
      <c r="D726" s="4" t="s">
        <v>113</v>
      </c>
      <c r="E726" s="4" t="s">
        <v>114</v>
      </c>
      <c r="F726" s="4" t="s">
        <v>96</v>
      </c>
      <c r="G726" s="4" t="s">
        <v>2481</v>
      </c>
      <c r="H726" s="4" t="s">
        <v>24</v>
      </c>
      <c r="I726" s="4" t="s">
        <v>25</v>
      </c>
      <c r="K726" s="4" t="s">
        <v>26</v>
      </c>
      <c r="L726" s="4" t="s">
        <v>2482</v>
      </c>
      <c r="O726" s="4" t="s">
        <v>1448</v>
      </c>
      <c r="P726" s="5">
        <f t="shared" si="12"/>
        <v>44551</v>
      </c>
      <c r="Q726" s="4" t="s">
        <v>2115</v>
      </c>
      <c r="R726" s="5">
        <f t="shared" si="13"/>
        <v>44264</v>
      </c>
    </row>
    <row r="727" spans="1:20" ht="55.05" customHeight="1" x14ac:dyDescent="0.3">
      <c r="A727" s="4" t="s">
        <v>2095</v>
      </c>
      <c r="B727" s="4" t="s">
        <v>81</v>
      </c>
      <c r="C727" s="4" t="s">
        <v>107</v>
      </c>
      <c r="D727" s="4" t="s">
        <v>113</v>
      </c>
      <c r="E727" s="4" t="s">
        <v>114</v>
      </c>
      <c r="F727" s="4" t="s">
        <v>96</v>
      </c>
      <c r="G727" s="4" t="s">
        <v>2483</v>
      </c>
      <c r="H727" s="4" t="s">
        <v>24</v>
      </c>
      <c r="I727" s="4" t="s">
        <v>25</v>
      </c>
      <c r="K727" s="4" t="s">
        <v>26</v>
      </c>
      <c r="L727" s="4" t="s">
        <v>2484</v>
      </c>
      <c r="O727" s="4" t="s">
        <v>1448</v>
      </c>
      <c r="P727" s="5">
        <f t="shared" si="12"/>
        <v>44551</v>
      </c>
      <c r="Q727" s="4" t="s">
        <v>2115</v>
      </c>
      <c r="R727" s="5">
        <f t="shared" si="13"/>
        <v>44264</v>
      </c>
    </row>
    <row r="728" spans="1:20" ht="55.05" customHeight="1" x14ac:dyDescent="0.3">
      <c r="A728" s="4" t="s">
        <v>2095</v>
      </c>
      <c r="B728" s="4" t="s">
        <v>81</v>
      </c>
      <c r="C728" s="4" t="s">
        <v>107</v>
      </c>
      <c r="D728" s="4" t="s">
        <v>113</v>
      </c>
      <c r="E728" s="4" t="s">
        <v>114</v>
      </c>
      <c r="F728" s="4" t="s">
        <v>96</v>
      </c>
      <c r="G728" s="4" t="s">
        <v>2485</v>
      </c>
      <c r="H728" s="4" t="s">
        <v>24</v>
      </c>
      <c r="I728" s="4" t="s">
        <v>25</v>
      </c>
      <c r="K728" s="4" t="s">
        <v>26</v>
      </c>
      <c r="L728" s="4" t="s">
        <v>2486</v>
      </c>
      <c r="O728" s="4" t="s">
        <v>1448</v>
      </c>
      <c r="P728" s="5">
        <f t="shared" si="12"/>
        <v>44551</v>
      </c>
      <c r="Q728" s="4" t="s">
        <v>2115</v>
      </c>
      <c r="R728" s="5">
        <f t="shared" si="13"/>
        <v>44264</v>
      </c>
    </row>
    <row r="729" spans="1:20" ht="55.05" customHeight="1" x14ac:dyDescent="0.3">
      <c r="A729" s="4" t="s">
        <v>2095</v>
      </c>
      <c r="B729" s="4" t="s">
        <v>81</v>
      </c>
      <c r="C729" s="4" t="s">
        <v>107</v>
      </c>
      <c r="D729" s="4" t="s">
        <v>113</v>
      </c>
      <c r="E729" s="4" t="s">
        <v>114</v>
      </c>
      <c r="F729" s="4" t="s">
        <v>96</v>
      </c>
      <c r="G729" s="4" t="s">
        <v>2487</v>
      </c>
      <c r="H729" s="4" t="s">
        <v>24</v>
      </c>
      <c r="I729" s="4" t="s">
        <v>25</v>
      </c>
      <c r="K729" s="4" t="s">
        <v>26</v>
      </c>
      <c r="L729" s="4" t="s">
        <v>2488</v>
      </c>
      <c r="O729" s="4" t="s">
        <v>1448</v>
      </c>
      <c r="P729" s="5">
        <f t="shared" si="12"/>
        <v>44551</v>
      </c>
      <c r="Q729" s="4" t="s">
        <v>2115</v>
      </c>
      <c r="R729" s="5">
        <f t="shared" si="13"/>
        <v>44264</v>
      </c>
    </row>
    <row r="730" spans="1:20" ht="55.05" customHeight="1" x14ac:dyDescent="0.3">
      <c r="A730" s="4" t="s">
        <v>2095</v>
      </c>
      <c r="B730" s="4" t="s">
        <v>81</v>
      </c>
      <c r="C730" s="4" t="s">
        <v>107</v>
      </c>
      <c r="D730" s="4" t="s">
        <v>113</v>
      </c>
      <c r="E730" s="4" t="s">
        <v>114</v>
      </c>
      <c r="F730" s="4" t="s">
        <v>96</v>
      </c>
      <c r="G730" s="4" t="s">
        <v>2489</v>
      </c>
      <c r="H730" s="4" t="s">
        <v>24</v>
      </c>
      <c r="I730" s="4" t="s">
        <v>25</v>
      </c>
      <c r="K730" s="4" t="s">
        <v>26</v>
      </c>
      <c r="L730" s="4" t="s">
        <v>2490</v>
      </c>
      <c r="O730" s="4" t="s">
        <v>1448</v>
      </c>
      <c r="P730" s="5">
        <f t="shared" si="12"/>
        <v>44551</v>
      </c>
      <c r="Q730" s="4" t="s">
        <v>2115</v>
      </c>
      <c r="R730" s="5">
        <f t="shared" si="13"/>
        <v>44264</v>
      </c>
    </row>
    <row r="731" spans="1:20" ht="55.05" customHeight="1" x14ac:dyDescent="0.3">
      <c r="A731" s="4" t="s">
        <v>2095</v>
      </c>
      <c r="B731" s="4" t="s">
        <v>81</v>
      </c>
      <c r="C731" s="4" t="s">
        <v>107</v>
      </c>
      <c r="D731" s="4" t="s">
        <v>113</v>
      </c>
      <c r="E731" s="4" t="s">
        <v>114</v>
      </c>
      <c r="F731" s="4" t="s">
        <v>96</v>
      </c>
      <c r="G731" s="4" t="s">
        <v>2491</v>
      </c>
      <c r="H731" s="4" t="s">
        <v>24</v>
      </c>
      <c r="I731" s="4" t="s">
        <v>25</v>
      </c>
      <c r="K731" s="4" t="s">
        <v>26</v>
      </c>
      <c r="L731" s="4" t="s">
        <v>2492</v>
      </c>
      <c r="O731" s="4" t="s">
        <v>1448</v>
      </c>
      <c r="P731" s="5">
        <f t="shared" si="12"/>
        <v>44551</v>
      </c>
      <c r="Q731" s="4" t="s">
        <v>2115</v>
      </c>
      <c r="R731" s="5">
        <f t="shared" si="13"/>
        <v>44264</v>
      </c>
    </row>
    <row r="732" spans="1:20" ht="55.05" customHeight="1" x14ac:dyDescent="0.3">
      <c r="A732" s="4" t="s">
        <v>2095</v>
      </c>
      <c r="B732" s="4" t="s">
        <v>81</v>
      </c>
      <c r="C732" s="4" t="s">
        <v>107</v>
      </c>
      <c r="D732" s="4" t="s">
        <v>113</v>
      </c>
      <c r="E732" s="4" t="s">
        <v>425</v>
      </c>
      <c r="F732" s="4" t="s">
        <v>96</v>
      </c>
      <c r="G732" s="4" t="s">
        <v>2493</v>
      </c>
      <c r="H732" s="4" t="s">
        <v>24</v>
      </c>
      <c r="I732" s="4" t="s">
        <v>25</v>
      </c>
      <c r="K732" s="4" t="s">
        <v>26</v>
      </c>
      <c r="L732" s="4" t="s">
        <v>2494</v>
      </c>
      <c r="O732" s="4" t="s">
        <v>1448</v>
      </c>
      <c r="P732" s="5">
        <f t="shared" si="12"/>
        <v>44551</v>
      </c>
      <c r="Q732" s="4" t="s">
        <v>2115</v>
      </c>
      <c r="R732" s="5">
        <f t="shared" si="13"/>
        <v>44264</v>
      </c>
    </row>
    <row r="733" spans="1:20" ht="55.05" customHeight="1" x14ac:dyDescent="0.3">
      <c r="A733" s="4" t="s">
        <v>2095</v>
      </c>
      <c r="B733" s="4" t="s">
        <v>81</v>
      </c>
      <c r="C733" s="4" t="s">
        <v>107</v>
      </c>
      <c r="D733" s="4" t="s">
        <v>113</v>
      </c>
      <c r="E733" s="4" t="s">
        <v>425</v>
      </c>
      <c r="F733" s="4" t="s">
        <v>96</v>
      </c>
      <c r="G733" s="4" t="s">
        <v>2495</v>
      </c>
      <c r="H733" s="4" t="s">
        <v>24</v>
      </c>
      <c r="I733" s="4" t="s">
        <v>25</v>
      </c>
      <c r="K733" s="4" t="s">
        <v>26</v>
      </c>
      <c r="L733" s="4" t="s">
        <v>2496</v>
      </c>
      <c r="O733" s="4" t="s">
        <v>2497</v>
      </c>
      <c r="P733" s="5">
        <f>DATE(2022,7,12)</f>
        <v>44754</v>
      </c>
      <c r="Q733" s="4" t="s">
        <v>1448</v>
      </c>
      <c r="R733" s="5">
        <f>DATE(2021,12,21)</f>
        <v>44551</v>
      </c>
      <c r="S733" s="4" t="s">
        <v>2498</v>
      </c>
      <c r="T733" s="5">
        <f>DATE(2021,9,9)</f>
        <v>44448</v>
      </c>
    </row>
    <row r="734" spans="1:20" ht="55.05" customHeight="1" x14ac:dyDescent="0.3">
      <c r="A734" s="4" t="s">
        <v>2095</v>
      </c>
      <c r="B734" s="4" t="s">
        <v>81</v>
      </c>
      <c r="C734" s="4" t="s">
        <v>107</v>
      </c>
      <c r="D734" s="4" t="s">
        <v>113</v>
      </c>
      <c r="E734" s="4" t="s">
        <v>425</v>
      </c>
      <c r="F734" s="4" t="s">
        <v>96</v>
      </c>
      <c r="G734" s="4" t="s">
        <v>2499</v>
      </c>
      <c r="H734" s="4" t="s">
        <v>24</v>
      </c>
      <c r="I734" s="4" t="s">
        <v>25</v>
      </c>
      <c r="K734" s="4" t="s">
        <v>26</v>
      </c>
      <c r="L734" s="4" t="s">
        <v>2500</v>
      </c>
      <c r="O734" s="4" t="s">
        <v>1448</v>
      </c>
      <c r="P734" s="5">
        <f>DATE(2021,12,21)</f>
        <v>44551</v>
      </c>
      <c r="Q734" s="4" t="s">
        <v>2115</v>
      </c>
      <c r="R734" s="5">
        <f>DATE(2021,3,9)</f>
        <v>44264</v>
      </c>
    </row>
    <row r="735" spans="1:20" ht="55.05" customHeight="1" x14ac:dyDescent="0.3">
      <c r="A735" s="4" t="s">
        <v>2095</v>
      </c>
      <c r="B735" s="4" t="s">
        <v>81</v>
      </c>
      <c r="C735" s="4" t="s">
        <v>107</v>
      </c>
      <c r="D735" s="4" t="s">
        <v>113</v>
      </c>
      <c r="E735" s="4" t="s">
        <v>2501</v>
      </c>
      <c r="F735" s="4" t="s">
        <v>96</v>
      </c>
      <c r="G735" s="4" t="s">
        <v>2502</v>
      </c>
      <c r="H735" s="4" t="s">
        <v>24</v>
      </c>
      <c r="I735" s="4" t="s">
        <v>25</v>
      </c>
      <c r="K735" s="4" t="s">
        <v>26</v>
      </c>
      <c r="L735" s="4" t="s">
        <v>2503</v>
      </c>
      <c r="O735" s="4" t="s">
        <v>2114</v>
      </c>
      <c r="P735" s="5">
        <f>DATE(2021,12,21)</f>
        <v>44551</v>
      </c>
      <c r="Q735" s="4" t="s">
        <v>2115</v>
      </c>
      <c r="R735" s="5">
        <f>DATE(2021,3,9)</f>
        <v>44264</v>
      </c>
    </row>
    <row r="736" spans="1:20" ht="55.05" customHeight="1" x14ac:dyDescent="0.3">
      <c r="A736" s="4" t="s">
        <v>2095</v>
      </c>
      <c r="B736" s="4" t="s">
        <v>81</v>
      </c>
      <c r="C736" s="4" t="s">
        <v>428</v>
      </c>
      <c r="D736" s="4" t="s">
        <v>20</v>
      </c>
      <c r="E736" s="4" t="s">
        <v>429</v>
      </c>
      <c r="F736" s="4" t="s">
        <v>96</v>
      </c>
      <c r="G736" s="4" t="s">
        <v>2504</v>
      </c>
      <c r="H736" s="4" t="s">
        <v>24</v>
      </c>
      <c r="I736" s="4" t="s">
        <v>25</v>
      </c>
      <c r="K736" s="4" t="s">
        <v>26</v>
      </c>
      <c r="L736" s="4" t="s">
        <v>2505</v>
      </c>
      <c r="O736" s="4" t="s">
        <v>2114</v>
      </c>
      <c r="P736" s="5">
        <f>DATE(2021,12,21)</f>
        <v>44551</v>
      </c>
      <c r="Q736" s="4" t="s">
        <v>2506</v>
      </c>
      <c r="R736" s="5">
        <f>DATE(2020,3,10)</f>
        <v>43900</v>
      </c>
    </row>
    <row r="737" spans="1:24" ht="55.05" customHeight="1" x14ac:dyDescent="0.3">
      <c r="A737" s="4" t="s">
        <v>2095</v>
      </c>
      <c r="B737" s="4" t="s">
        <v>81</v>
      </c>
      <c r="C737" s="4" t="s">
        <v>428</v>
      </c>
      <c r="D737" s="4" t="s">
        <v>20</v>
      </c>
      <c r="E737" s="4" t="s">
        <v>429</v>
      </c>
      <c r="F737" s="4" t="s">
        <v>96</v>
      </c>
      <c r="G737" s="4" t="s">
        <v>2507</v>
      </c>
      <c r="H737" s="4" t="s">
        <v>24</v>
      </c>
      <c r="I737" s="4" t="s">
        <v>25</v>
      </c>
      <c r="K737" s="4" t="s">
        <v>26</v>
      </c>
      <c r="L737" s="4" t="s">
        <v>2508</v>
      </c>
      <c r="O737" s="4" t="s">
        <v>2114</v>
      </c>
      <c r="P737" s="5">
        <f>DATE(2021,12,21)</f>
        <v>44551</v>
      </c>
      <c r="Q737" s="4" t="s">
        <v>2509</v>
      </c>
      <c r="R737" s="5">
        <f>DATE(2020,11,3)</f>
        <v>44138</v>
      </c>
    </row>
    <row r="738" spans="1:24" ht="55.05" customHeight="1" x14ac:dyDescent="0.3">
      <c r="A738" s="4" t="s">
        <v>2095</v>
      </c>
      <c r="B738" s="4" t="s">
        <v>81</v>
      </c>
      <c r="C738" s="4" t="s">
        <v>428</v>
      </c>
      <c r="D738" s="4" t="s">
        <v>20</v>
      </c>
      <c r="E738" s="4" t="s">
        <v>429</v>
      </c>
      <c r="F738" s="4" t="s">
        <v>96</v>
      </c>
      <c r="G738" s="4" t="s">
        <v>2510</v>
      </c>
      <c r="H738" s="4" t="s">
        <v>24</v>
      </c>
      <c r="I738" s="4" t="s">
        <v>25</v>
      </c>
      <c r="K738" s="4" t="s">
        <v>26</v>
      </c>
      <c r="L738" s="4" t="s">
        <v>2511</v>
      </c>
      <c r="O738" s="4" t="s">
        <v>2114</v>
      </c>
      <c r="P738" s="5">
        <f>DATE(2021,12,21)</f>
        <v>44551</v>
      </c>
      <c r="Q738" s="4" t="s">
        <v>2509</v>
      </c>
      <c r="R738" s="5">
        <f>DATE(2020,11,3)</f>
        <v>44138</v>
      </c>
    </row>
    <row r="739" spans="1:24" ht="55.05" customHeight="1" x14ac:dyDescent="0.3">
      <c r="A739" s="4" t="s">
        <v>2095</v>
      </c>
      <c r="B739" s="4" t="s">
        <v>81</v>
      </c>
      <c r="C739" s="4" t="s">
        <v>428</v>
      </c>
      <c r="D739" s="4" t="s">
        <v>20</v>
      </c>
      <c r="E739" s="4" t="s">
        <v>429</v>
      </c>
      <c r="F739" s="4" t="s">
        <v>96</v>
      </c>
      <c r="G739" s="4" t="s">
        <v>2512</v>
      </c>
      <c r="H739" s="4" t="s">
        <v>24</v>
      </c>
      <c r="I739" s="4" t="s">
        <v>25</v>
      </c>
      <c r="K739" s="4" t="s">
        <v>26</v>
      </c>
      <c r="L739" s="4" t="s">
        <v>2513</v>
      </c>
      <c r="O739" s="4" t="s">
        <v>2514</v>
      </c>
      <c r="P739" s="5">
        <f>DATE(2022,6,28)</f>
        <v>44740</v>
      </c>
      <c r="Q739" s="4" t="s">
        <v>2265</v>
      </c>
      <c r="R739" s="5">
        <f>DATE(2021,5,11)</f>
        <v>44327</v>
      </c>
    </row>
    <row r="740" spans="1:24" ht="55.05" customHeight="1" x14ac:dyDescent="0.3">
      <c r="A740" s="4" t="s">
        <v>2095</v>
      </c>
      <c r="B740" s="4" t="s">
        <v>81</v>
      </c>
      <c r="C740" s="4" t="s">
        <v>428</v>
      </c>
      <c r="D740" s="4" t="s">
        <v>20</v>
      </c>
      <c r="E740" s="4" t="s">
        <v>2515</v>
      </c>
      <c r="F740" s="4" t="s">
        <v>96</v>
      </c>
      <c r="G740" s="4" t="s">
        <v>2516</v>
      </c>
      <c r="H740" s="4" t="s">
        <v>24</v>
      </c>
      <c r="I740" s="4" t="s">
        <v>25</v>
      </c>
      <c r="K740" s="4" t="s">
        <v>26</v>
      </c>
      <c r="L740" s="4" t="s">
        <v>2517</v>
      </c>
      <c r="O740" s="4" t="s">
        <v>2114</v>
      </c>
      <c r="P740" s="5">
        <f>DATE(2021,12,21)</f>
        <v>44551</v>
      </c>
      <c r="Q740" s="4" t="s">
        <v>2327</v>
      </c>
      <c r="R740" s="5">
        <f>DATE(2020,3,10)</f>
        <v>43900</v>
      </c>
    </row>
    <row r="741" spans="1:24" ht="55.05" customHeight="1" x14ac:dyDescent="0.3">
      <c r="A741" s="4" t="s">
        <v>2095</v>
      </c>
      <c r="B741" s="4" t="s">
        <v>81</v>
      </c>
      <c r="C741" s="4" t="s">
        <v>436</v>
      </c>
      <c r="D741" s="4" t="s">
        <v>20</v>
      </c>
      <c r="E741" s="4" t="s">
        <v>2518</v>
      </c>
      <c r="F741" s="4" t="s">
        <v>444</v>
      </c>
      <c r="G741" s="4" t="s">
        <v>2519</v>
      </c>
      <c r="H741" s="4" t="s">
        <v>24</v>
      </c>
      <c r="I741" s="4" t="s">
        <v>25</v>
      </c>
      <c r="K741" s="4" t="s">
        <v>26</v>
      </c>
      <c r="L741" s="4" t="s">
        <v>2520</v>
      </c>
      <c r="O741" s="4" t="s">
        <v>2521</v>
      </c>
      <c r="P741" s="5">
        <f>DATE(2022,5,30)</f>
        <v>44711</v>
      </c>
      <c r="Q741" s="4" t="s">
        <v>1448</v>
      </c>
      <c r="R741" s="5">
        <f>DATE(2021,12,21)</f>
        <v>44551</v>
      </c>
      <c r="S741" s="4" t="s">
        <v>2115</v>
      </c>
      <c r="T741" s="5">
        <f>DATE(2021,3,9)</f>
        <v>44264</v>
      </c>
    </row>
    <row r="742" spans="1:24" ht="55.05" customHeight="1" x14ac:dyDescent="0.3">
      <c r="A742" s="4" t="s">
        <v>2095</v>
      </c>
      <c r="B742" s="4" t="s">
        <v>81</v>
      </c>
      <c r="C742" s="4" t="s">
        <v>436</v>
      </c>
      <c r="D742" s="4" t="s">
        <v>20</v>
      </c>
      <c r="E742" s="4" t="s">
        <v>2518</v>
      </c>
      <c r="F742" s="4" t="s">
        <v>444</v>
      </c>
      <c r="G742" s="4" t="s">
        <v>2522</v>
      </c>
      <c r="H742" s="4" t="s">
        <v>24</v>
      </c>
      <c r="I742" s="4" t="s">
        <v>25</v>
      </c>
      <c r="K742" s="4" t="s">
        <v>26</v>
      </c>
      <c r="L742" s="4" t="s">
        <v>2523</v>
      </c>
      <c r="O742" s="4" t="s">
        <v>2524</v>
      </c>
      <c r="P742" s="5">
        <f>DATE(2022,6,13)</f>
        <v>44725</v>
      </c>
      <c r="Q742" s="4" t="s">
        <v>2525</v>
      </c>
      <c r="R742" s="5">
        <f>DATE(2022,2,11)</f>
        <v>44603</v>
      </c>
      <c r="S742" s="4" t="s">
        <v>53</v>
      </c>
      <c r="T742" s="5">
        <f>DATE(2021,12,21)</f>
        <v>44551</v>
      </c>
      <c r="U742" s="4" t="s">
        <v>2115</v>
      </c>
      <c r="V742" s="5">
        <f>DATE(2021,3,9)</f>
        <v>44264</v>
      </c>
    </row>
    <row r="743" spans="1:24" ht="55.05" customHeight="1" x14ac:dyDescent="0.3">
      <c r="A743" s="4" t="s">
        <v>2095</v>
      </c>
      <c r="B743" s="4" t="s">
        <v>81</v>
      </c>
      <c r="C743" s="4" t="s">
        <v>436</v>
      </c>
      <c r="D743" s="4" t="s">
        <v>20</v>
      </c>
      <c r="E743" s="4" t="s">
        <v>2518</v>
      </c>
      <c r="F743" s="4" t="s">
        <v>444</v>
      </c>
      <c r="G743" s="4" t="s">
        <v>2526</v>
      </c>
      <c r="H743" s="4" t="s">
        <v>24</v>
      </c>
      <c r="I743" s="4" t="s">
        <v>25</v>
      </c>
      <c r="K743" s="4" t="s">
        <v>26</v>
      </c>
      <c r="L743" s="4" t="s">
        <v>2527</v>
      </c>
      <c r="O743" s="4" t="s">
        <v>2525</v>
      </c>
      <c r="P743" s="5">
        <f>DATE(2022,2,11)</f>
        <v>44603</v>
      </c>
      <c r="Q743" s="4" t="s">
        <v>1448</v>
      </c>
      <c r="R743" s="5">
        <f>DATE(2021,12,21)</f>
        <v>44551</v>
      </c>
      <c r="S743" s="4" t="s">
        <v>2115</v>
      </c>
      <c r="T743" s="5">
        <f>DATE(2021,3,9)</f>
        <v>44264</v>
      </c>
    </row>
    <row r="744" spans="1:24" ht="55.05" customHeight="1" x14ac:dyDescent="0.3">
      <c r="A744" s="4" t="s">
        <v>2095</v>
      </c>
      <c r="B744" s="4" t="s">
        <v>81</v>
      </c>
      <c r="C744" s="4" t="s">
        <v>436</v>
      </c>
      <c r="D744" s="4" t="s">
        <v>20</v>
      </c>
      <c r="E744" s="4" t="s">
        <v>437</v>
      </c>
      <c r="F744" s="4" t="s">
        <v>42</v>
      </c>
      <c r="G744" s="4" t="s">
        <v>2528</v>
      </c>
      <c r="H744" s="4" t="s">
        <v>24</v>
      </c>
      <c r="I744" s="4" t="s">
        <v>25</v>
      </c>
      <c r="K744" s="4" t="s">
        <v>26</v>
      </c>
      <c r="L744" s="4" t="s">
        <v>2529</v>
      </c>
      <c r="O744" s="4" t="s">
        <v>2530</v>
      </c>
      <c r="P744" s="5">
        <f>DATE(2022,8,18)</f>
        <v>44791</v>
      </c>
      <c r="Q744" s="4" t="s">
        <v>1448</v>
      </c>
      <c r="R744" s="5">
        <f>DATE(2021,12,21)</f>
        <v>44551</v>
      </c>
      <c r="S744" s="4" t="s">
        <v>2115</v>
      </c>
      <c r="T744" s="5">
        <f>DATE(2021,3,9)</f>
        <v>44264</v>
      </c>
    </row>
    <row r="745" spans="1:24" ht="55.05" customHeight="1" x14ac:dyDescent="0.3">
      <c r="A745" s="4" t="s">
        <v>2095</v>
      </c>
      <c r="B745" s="4" t="s">
        <v>81</v>
      </c>
      <c r="C745" s="4" t="s">
        <v>436</v>
      </c>
      <c r="D745" s="4" t="s">
        <v>20</v>
      </c>
      <c r="E745" s="4" t="s">
        <v>437</v>
      </c>
      <c r="F745" s="4" t="s">
        <v>42</v>
      </c>
      <c r="G745" s="4" t="s">
        <v>2531</v>
      </c>
      <c r="H745" s="4" t="s">
        <v>32</v>
      </c>
      <c r="I745" s="4" t="s">
        <v>536</v>
      </c>
      <c r="J745" s="5">
        <f>DATE(2022,7,4)</f>
        <v>44746</v>
      </c>
      <c r="K745" s="4" t="s">
        <v>26</v>
      </c>
      <c r="L745" s="4" t="s">
        <v>2532</v>
      </c>
      <c r="O745" s="4" t="s">
        <v>2533</v>
      </c>
      <c r="P745" s="5">
        <f>DATE(2022,7,4)</f>
        <v>44746</v>
      </c>
      <c r="Q745" s="4" t="s">
        <v>1597</v>
      </c>
      <c r="R745" s="5">
        <f>DATE(2022,2,25)</f>
        <v>44617</v>
      </c>
      <c r="S745" s="4" t="s">
        <v>53</v>
      </c>
      <c r="T745" s="5">
        <f>DATE(2021,12,21)</f>
        <v>44551</v>
      </c>
      <c r="U745" s="4" t="s">
        <v>2534</v>
      </c>
      <c r="V745" s="5">
        <f>DATE(2021,8,27)</f>
        <v>44435</v>
      </c>
    </row>
    <row r="746" spans="1:24" ht="55.05" customHeight="1" x14ac:dyDescent="0.3">
      <c r="A746" s="4" t="s">
        <v>2095</v>
      </c>
      <c r="B746" s="4" t="s">
        <v>81</v>
      </c>
      <c r="C746" s="4" t="s">
        <v>436</v>
      </c>
      <c r="D746" s="4" t="s">
        <v>20</v>
      </c>
      <c r="E746" s="4" t="s">
        <v>437</v>
      </c>
      <c r="F746" s="4" t="s">
        <v>42</v>
      </c>
      <c r="G746" s="4" t="s">
        <v>2535</v>
      </c>
      <c r="H746" s="4" t="s">
        <v>32</v>
      </c>
      <c r="I746" s="4" t="s">
        <v>536</v>
      </c>
      <c r="J746" s="5">
        <f>DATE(2022,7,4)</f>
        <v>44746</v>
      </c>
      <c r="K746" s="4" t="s">
        <v>26</v>
      </c>
      <c r="L746" s="4" t="s">
        <v>2536</v>
      </c>
      <c r="O746" s="4" t="s">
        <v>2533</v>
      </c>
      <c r="P746" s="5">
        <f>DATE(2022,7,4)</f>
        <v>44746</v>
      </c>
      <c r="Q746" s="4" t="s">
        <v>2524</v>
      </c>
      <c r="R746" s="5">
        <f>DATE(2022,6,13)</f>
        <v>44725</v>
      </c>
      <c r="S746" s="4" t="s">
        <v>1514</v>
      </c>
      <c r="T746" s="5">
        <f>DATE(2022,2,25)</f>
        <v>44617</v>
      </c>
      <c r="U746" s="4" t="s">
        <v>53</v>
      </c>
      <c r="V746" s="5">
        <f>DATE(2021,12,21)</f>
        <v>44551</v>
      </c>
      <c r="W746" s="4" t="s">
        <v>2534</v>
      </c>
      <c r="X746" s="5">
        <f>DATE(2021,8,27)</f>
        <v>44435</v>
      </c>
    </row>
    <row r="747" spans="1:24" ht="55.05" customHeight="1" x14ac:dyDescent="0.3">
      <c r="A747" s="4" t="s">
        <v>2095</v>
      </c>
      <c r="B747" s="4" t="s">
        <v>81</v>
      </c>
      <c r="C747" s="4" t="s">
        <v>436</v>
      </c>
      <c r="D747" s="4" t="s">
        <v>20</v>
      </c>
      <c r="E747" s="4" t="s">
        <v>437</v>
      </c>
      <c r="F747" s="4" t="s">
        <v>42</v>
      </c>
      <c r="G747" s="4" t="s">
        <v>2537</v>
      </c>
      <c r="H747" s="4" t="s">
        <v>24</v>
      </c>
      <c r="I747" s="4" t="s">
        <v>25</v>
      </c>
      <c r="K747" s="4" t="s">
        <v>26</v>
      </c>
      <c r="L747" s="4" t="s">
        <v>2538</v>
      </c>
      <c r="O747" s="4" t="s">
        <v>2539</v>
      </c>
      <c r="P747" s="5">
        <f t="shared" ref="P747:P753" si="14">DATE(2023,8,3)</f>
        <v>45141</v>
      </c>
      <c r="Q747" s="4" t="s">
        <v>2533</v>
      </c>
      <c r="R747" s="5">
        <f t="shared" ref="R747:R753" si="15">DATE(2022,7,4)</f>
        <v>44746</v>
      </c>
      <c r="S747" s="4" t="s">
        <v>1597</v>
      </c>
      <c r="T747" s="5">
        <f>DATE(2022,2,25)</f>
        <v>44617</v>
      </c>
      <c r="U747" s="4" t="s">
        <v>53</v>
      </c>
      <c r="V747" s="5">
        <f>DATE(2021,12,21)</f>
        <v>44551</v>
      </c>
      <c r="W747" s="4" t="s">
        <v>2534</v>
      </c>
      <c r="X747" s="5">
        <f>DATE(2021,8,27)</f>
        <v>44435</v>
      </c>
    </row>
    <row r="748" spans="1:24" ht="55.05" customHeight="1" x14ac:dyDescent="0.3">
      <c r="A748" s="4" t="s">
        <v>2095</v>
      </c>
      <c r="B748" s="4" t="s">
        <v>81</v>
      </c>
      <c r="C748" s="4" t="s">
        <v>436</v>
      </c>
      <c r="D748" s="4" t="s">
        <v>20</v>
      </c>
      <c r="E748" s="4" t="s">
        <v>437</v>
      </c>
      <c r="F748" s="4" t="s">
        <v>42</v>
      </c>
      <c r="G748" s="4" t="s">
        <v>2540</v>
      </c>
      <c r="H748" s="4" t="s">
        <v>24</v>
      </c>
      <c r="I748" s="4" t="s">
        <v>25</v>
      </c>
      <c r="K748" s="4" t="s">
        <v>402</v>
      </c>
      <c r="L748" s="4" t="s">
        <v>2541</v>
      </c>
      <c r="O748" s="4" t="s">
        <v>2539</v>
      </c>
      <c r="P748" s="5">
        <f t="shared" si="14"/>
        <v>45141</v>
      </c>
      <c r="Q748" s="4" t="s">
        <v>2533</v>
      </c>
      <c r="R748" s="5">
        <f t="shared" si="15"/>
        <v>44746</v>
      </c>
    </row>
    <row r="749" spans="1:24" ht="55.05" customHeight="1" x14ac:dyDescent="0.3">
      <c r="A749" s="4" t="s">
        <v>2095</v>
      </c>
      <c r="B749" s="4" t="s">
        <v>81</v>
      </c>
      <c r="C749" s="4" t="s">
        <v>436</v>
      </c>
      <c r="D749" s="4" t="s">
        <v>20</v>
      </c>
      <c r="E749" s="4" t="s">
        <v>437</v>
      </c>
      <c r="F749" s="4" t="s">
        <v>42</v>
      </c>
      <c r="G749" s="4" t="s">
        <v>2542</v>
      </c>
      <c r="H749" s="4" t="s">
        <v>24</v>
      </c>
      <c r="I749" s="4" t="s">
        <v>25</v>
      </c>
      <c r="K749" s="4" t="s">
        <v>402</v>
      </c>
      <c r="L749" s="4" t="s">
        <v>2543</v>
      </c>
      <c r="O749" s="4" t="s">
        <v>2539</v>
      </c>
      <c r="P749" s="5">
        <f t="shared" si="14"/>
        <v>45141</v>
      </c>
      <c r="Q749" s="4" t="s">
        <v>2533</v>
      </c>
      <c r="R749" s="5">
        <f t="shared" si="15"/>
        <v>44746</v>
      </c>
    </row>
    <row r="750" spans="1:24" ht="55.05" customHeight="1" x14ac:dyDescent="0.3">
      <c r="A750" s="4" t="s">
        <v>2095</v>
      </c>
      <c r="B750" s="4" t="s">
        <v>81</v>
      </c>
      <c r="C750" s="4" t="s">
        <v>436</v>
      </c>
      <c r="D750" s="4" t="s">
        <v>20</v>
      </c>
      <c r="E750" s="4" t="s">
        <v>437</v>
      </c>
      <c r="F750" s="4" t="s">
        <v>42</v>
      </c>
      <c r="G750" s="4" t="s">
        <v>2544</v>
      </c>
      <c r="H750" s="4" t="s">
        <v>24</v>
      </c>
      <c r="I750" s="4" t="s">
        <v>25</v>
      </c>
      <c r="K750" s="4" t="s">
        <v>402</v>
      </c>
      <c r="L750" s="4" t="s">
        <v>2545</v>
      </c>
      <c r="O750" s="4" t="s">
        <v>2539</v>
      </c>
      <c r="P750" s="5">
        <f t="shared" si="14"/>
        <v>45141</v>
      </c>
      <c r="Q750" s="4" t="s">
        <v>2533</v>
      </c>
      <c r="R750" s="5">
        <f t="shared" si="15"/>
        <v>44746</v>
      </c>
    </row>
    <row r="751" spans="1:24" ht="55.05" customHeight="1" x14ac:dyDescent="0.3">
      <c r="A751" s="4" t="s">
        <v>2095</v>
      </c>
      <c r="B751" s="4" t="s">
        <v>81</v>
      </c>
      <c r="C751" s="4" t="s">
        <v>436</v>
      </c>
      <c r="D751" s="4" t="s">
        <v>20</v>
      </c>
      <c r="E751" s="4" t="s">
        <v>437</v>
      </c>
      <c r="F751" s="4" t="s">
        <v>42</v>
      </c>
      <c r="G751" s="4" t="s">
        <v>2546</v>
      </c>
      <c r="H751" s="4" t="s">
        <v>24</v>
      </c>
      <c r="I751" s="4" t="s">
        <v>25</v>
      </c>
      <c r="K751" s="4" t="s">
        <v>402</v>
      </c>
      <c r="L751" s="4" t="s">
        <v>2547</v>
      </c>
      <c r="O751" s="4" t="s">
        <v>2539</v>
      </c>
      <c r="P751" s="5">
        <f t="shared" si="14"/>
        <v>45141</v>
      </c>
      <c r="Q751" s="4" t="s">
        <v>2533</v>
      </c>
      <c r="R751" s="5">
        <f t="shared" si="15"/>
        <v>44746</v>
      </c>
    </row>
    <row r="752" spans="1:24" ht="55.05" customHeight="1" x14ac:dyDescent="0.3">
      <c r="A752" s="4" t="s">
        <v>2095</v>
      </c>
      <c r="B752" s="4" t="s">
        <v>81</v>
      </c>
      <c r="C752" s="4" t="s">
        <v>436</v>
      </c>
      <c r="D752" s="4" t="s">
        <v>20</v>
      </c>
      <c r="E752" s="4" t="s">
        <v>437</v>
      </c>
      <c r="F752" s="4" t="s">
        <v>42</v>
      </c>
      <c r="G752" s="4" t="s">
        <v>2548</v>
      </c>
      <c r="H752" s="4" t="s">
        <v>24</v>
      </c>
      <c r="I752" s="4" t="s">
        <v>25</v>
      </c>
      <c r="K752" s="4" t="s">
        <v>26</v>
      </c>
      <c r="L752" s="4" t="s">
        <v>2549</v>
      </c>
      <c r="O752" s="4" t="s">
        <v>2539</v>
      </c>
      <c r="P752" s="5">
        <f t="shared" si="14"/>
        <v>45141</v>
      </c>
      <c r="Q752" s="4" t="s">
        <v>2533</v>
      </c>
      <c r="R752" s="5">
        <f t="shared" si="15"/>
        <v>44746</v>
      </c>
    </row>
    <row r="753" spans="1:28" ht="55.05" customHeight="1" x14ac:dyDescent="0.3">
      <c r="A753" s="4" t="s">
        <v>2095</v>
      </c>
      <c r="B753" s="4" t="s">
        <v>81</v>
      </c>
      <c r="C753" s="4" t="s">
        <v>436</v>
      </c>
      <c r="D753" s="4" t="s">
        <v>20</v>
      </c>
      <c r="E753" s="4" t="s">
        <v>437</v>
      </c>
      <c r="F753" s="4" t="s">
        <v>42</v>
      </c>
      <c r="G753" s="4" t="s">
        <v>2550</v>
      </c>
      <c r="H753" s="4" t="s">
        <v>24</v>
      </c>
      <c r="I753" s="4" t="s">
        <v>25</v>
      </c>
      <c r="K753" s="4" t="s">
        <v>402</v>
      </c>
      <c r="L753" s="4" t="s">
        <v>2551</v>
      </c>
      <c r="O753" s="4" t="s">
        <v>2539</v>
      </c>
      <c r="P753" s="5">
        <f t="shared" si="14"/>
        <v>45141</v>
      </c>
      <c r="Q753" s="4" t="s">
        <v>2533</v>
      </c>
      <c r="R753" s="5">
        <f t="shared" si="15"/>
        <v>44746</v>
      </c>
    </row>
    <row r="754" spans="1:28" ht="55.05" customHeight="1" x14ac:dyDescent="0.3">
      <c r="A754" s="4" t="s">
        <v>2095</v>
      </c>
      <c r="B754" s="4" t="s">
        <v>81</v>
      </c>
      <c r="C754" s="4" t="s">
        <v>436</v>
      </c>
      <c r="D754" s="4" t="s">
        <v>20</v>
      </c>
      <c r="E754" s="4" t="s">
        <v>437</v>
      </c>
      <c r="F754" s="4" t="s">
        <v>42</v>
      </c>
      <c r="G754" s="4" t="s">
        <v>2552</v>
      </c>
      <c r="H754" s="4" t="s">
        <v>24</v>
      </c>
      <c r="I754" s="4" t="s">
        <v>25</v>
      </c>
      <c r="K754" s="4" t="s">
        <v>402</v>
      </c>
      <c r="L754" s="4" t="s">
        <v>2553</v>
      </c>
      <c r="O754" s="4" t="s">
        <v>2533</v>
      </c>
      <c r="P754" s="5">
        <f>DATE(2022,7,4)</f>
        <v>44746</v>
      </c>
    </row>
    <row r="755" spans="1:28" ht="55.05" customHeight="1" x14ac:dyDescent="0.3">
      <c r="A755" s="4" t="s">
        <v>2095</v>
      </c>
      <c r="B755" s="4" t="s">
        <v>81</v>
      </c>
      <c r="C755" s="4" t="s">
        <v>436</v>
      </c>
      <c r="D755" s="4" t="s">
        <v>20</v>
      </c>
      <c r="E755" s="4" t="s">
        <v>437</v>
      </c>
      <c r="F755" s="4" t="s">
        <v>42</v>
      </c>
      <c r="G755" s="4" t="s">
        <v>2554</v>
      </c>
      <c r="H755" s="4" t="s">
        <v>24</v>
      </c>
      <c r="I755" s="4" t="s">
        <v>25</v>
      </c>
      <c r="K755" s="4" t="s">
        <v>402</v>
      </c>
      <c r="L755" s="4" t="s">
        <v>2555</v>
      </c>
      <c r="O755" s="4" t="s">
        <v>2539</v>
      </c>
      <c r="P755" s="5">
        <f>DATE(2023,8,3)</f>
        <v>45141</v>
      </c>
      <c r="Q755" s="4" t="s">
        <v>2533</v>
      </c>
      <c r="R755" s="5">
        <f>DATE(2022,7,4)</f>
        <v>44746</v>
      </c>
    </row>
    <row r="756" spans="1:28" ht="55.05" customHeight="1" x14ac:dyDescent="0.3">
      <c r="A756" s="4" t="s">
        <v>2095</v>
      </c>
      <c r="B756" s="4" t="s">
        <v>81</v>
      </c>
      <c r="C756" s="4" t="s">
        <v>436</v>
      </c>
      <c r="D756" s="4" t="s">
        <v>20</v>
      </c>
      <c r="E756" s="4" t="s">
        <v>437</v>
      </c>
      <c r="F756" s="4" t="s">
        <v>42</v>
      </c>
      <c r="G756" s="4" t="s">
        <v>2556</v>
      </c>
      <c r="H756" s="4" t="s">
        <v>24</v>
      </c>
      <c r="I756" s="4" t="s">
        <v>25</v>
      </c>
      <c r="K756" s="4" t="s">
        <v>402</v>
      </c>
      <c r="L756" s="4" t="s">
        <v>2557</v>
      </c>
      <c r="O756" s="4" t="s">
        <v>2539</v>
      </c>
      <c r="P756" s="5">
        <f>DATE(2023,8,3)</f>
        <v>45141</v>
      </c>
      <c r="Q756" s="4" t="s">
        <v>2533</v>
      </c>
      <c r="R756" s="5">
        <f>DATE(2022,7,4)</f>
        <v>44746</v>
      </c>
    </row>
    <row r="757" spans="1:28" ht="55.05" customHeight="1" x14ac:dyDescent="0.3">
      <c r="A757" s="4" t="s">
        <v>2095</v>
      </c>
      <c r="B757" s="4" t="s">
        <v>81</v>
      </c>
      <c r="C757" s="4" t="s">
        <v>436</v>
      </c>
      <c r="D757" s="4" t="s">
        <v>20</v>
      </c>
      <c r="E757" s="4" t="s">
        <v>443</v>
      </c>
      <c r="F757" s="4" t="s">
        <v>444</v>
      </c>
      <c r="G757" s="4" t="s">
        <v>2558</v>
      </c>
      <c r="H757" s="4" t="s">
        <v>24</v>
      </c>
      <c r="I757" s="4" t="s">
        <v>25</v>
      </c>
      <c r="K757" s="4" t="s">
        <v>26</v>
      </c>
      <c r="L757" s="4" t="s">
        <v>2559</v>
      </c>
      <c r="O757" s="4" t="s">
        <v>2560</v>
      </c>
      <c r="P757" s="5">
        <f>DATE(2023,3,14)</f>
        <v>44999</v>
      </c>
      <c r="Q757" s="4" t="s">
        <v>2560</v>
      </c>
      <c r="R757" s="5">
        <f t="shared" ref="R757:R763" si="16">DATE(2023,3,14)</f>
        <v>44999</v>
      </c>
      <c r="S757" s="4" t="s">
        <v>2521</v>
      </c>
      <c r="T757" s="5">
        <f>DATE(2022,5,30)</f>
        <v>44711</v>
      </c>
      <c r="U757" s="4" t="s">
        <v>1448</v>
      </c>
      <c r="V757" s="5">
        <f>DATE(2021,12,21)</f>
        <v>44551</v>
      </c>
      <c r="W757" s="4" t="s">
        <v>2115</v>
      </c>
      <c r="X757" s="5">
        <f>DATE(2021,3,9)</f>
        <v>44264</v>
      </c>
    </row>
    <row r="758" spans="1:28" ht="55.05" customHeight="1" x14ac:dyDescent="0.3">
      <c r="A758" s="4" t="s">
        <v>2095</v>
      </c>
      <c r="B758" s="4" t="s">
        <v>81</v>
      </c>
      <c r="C758" s="4" t="s">
        <v>436</v>
      </c>
      <c r="D758" s="4" t="s">
        <v>20</v>
      </c>
      <c r="E758" s="4" t="s">
        <v>443</v>
      </c>
      <c r="F758" s="4" t="s">
        <v>444</v>
      </c>
      <c r="G758" s="4" t="s">
        <v>2561</v>
      </c>
      <c r="H758" s="4" t="s">
        <v>24</v>
      </c>
      <c r="I758" s="4" t="s">
        <v>25</v>
      </c>
      <c r="K758" s="4" t="s">
        <v>26</v>
      </c>
      <c r="L758" s="4" t="s">
        <v>2562</v>
      </c>
      <c r="O758" s="4" t="s">
        <v>1604</v>
      </c>
      <c r="P758" s="5">
        <f t="shared" ref="P758:P763" si="17">DATE(2023,8,30)</f>
        <v>45168</v>
      </c>
      <c r="Q758" s="4" t="s">
        <v>2560</v>
      </c>
      <c r="R758" s="5">
        <f t="shared" si="16"/>
        <v>44999</v>
      </c>
      <c r="S758" s="4" t="s">
        <v>2563</v>
      </c>
      <c r="T758" s="5">
        <f t="shared" ref="T758:T763" si="18">DATE(2022,8,22)</f>
        <v>44795</v>
      </c>
      <c r="U758" s="4" t="s">
        <v>2524</v>
      </c>
      <c r="V758" s="5">
        <f>DATE(2022,6,13)</f>
        <v>44725</v>
      </c>
      <c r="W758" s="4" t="s">
        <v>2564</v>
      </c>
      <c r="X758" s="5">
        <f>DATE(2022,3,3)</f>
        <v>44623</v>
      </c>
      <c r="Y758" s="4" t="s">
        <v>53</v>
      </c>
      <c r="Z758" s="5">
        <f>DATE(2021,12,21)</f>
        <v>44551</v>
      </c>
      <c r="AA758" s="4" t="s">
        <v>2115</v>
      </c>
      <c r="AB758" s="5">
        <f>DATE(2021,3,9)</f>
        <v>44264</v>
      </c>
    </row>
    <row r="759" spans="1:28" ht="55.05" customHeight="1" x14ac:dyDescent="0.3">
      <c r="A759" s="4" t="s">
        <v>2095</v>
      </c>
      <c r="B759" s="4" t="s">
        <v>81</v>
      </c>
      <c r="C759" s="4" t="s">
        <v>436</v>
      </c>
      <c r="D759" s="4" t="s">
        <v>20</v>
      </c>
      <c r="E759" s="4" t="s">
        <v>443</v>
      </c>
      <c r="F759" s="4" t="s">
        <v>444</v>
      </c>
      <c r="G759" s="4" t="s">
        <v>2565</v>
      </c>
      <c r="H759" s="4" t="s">
        <v>24</v>
      </c>
      <c r="I759" s="4" t="s">
        <v>25</v>
      </c>
      <c r="K759" s="4" t="s">
        <v>26</v>
      </c>
      <c r="L759" s="4" t="s">
        <v>2566</v>
      </c>
      <c r="O759" s="4" t="s">
        <v>1604</v>
      </c>
      <c r="P759" s="5">
        <f t="shared" si="17"/>
        <v>45168</v>
      </c>
      <c r="Q759" s="4" t="s">
        <v>2560</v>
      </c>
      <c r="R759" s="5">
        <f t="shared" si="16"/>
        <v>44999</v>
      </c>
      <c r="S759" s="4" t="s">
        <v>2563</v>
      </c>
      <c r="T759" s="5">
        <f t="shared" si="18"/>
        <v>44795</v>
      </c>
      <c r="U759" s="4" t="s">
        <v>2567</v>
      </c>
      <c r="V759" s="5">
        <f>DATE(2022,3,3)</f>
        <v>44623</v>
      </c>
      <c r="W759" s="4" t="s">
        <v>53</v>
      </c>
      <c r="X759" s="5">
        <f>DATE(2021,12,21)</f>
        <v>44551</v>
      </c>
      <c r="Y759" s="4" t="s">
        <v>2115</v>
      </c>
      <c r="Z759" s="5">
        <f>DATE(2021,3,9)</f>
        <v>44264</v>
      </c>
    </row>
    <row r="760" spans="1:28" ht="55.05" customHeight="1" x14ac:dyDescent="0.3">
      <c r="A760" s="4" t="s">
        <v>2095</v>
      </c>
      <c r="B760" s="4" t="s">
        <v>81</v>
      </c>
      <c r="C760" s="4" t="s">
        <v>436</v>
      </c>
      <c r="D760" s="4" t="s">
        <v>20</v>
      </c>
      <c r="E760" s="4" t="s">
        <v>443</v>
      </c>
      <c r="F760" s="4" t="s">
        <v>444</v>
      </c>
      <c r="G760" s="4" t="s">
        <v>2568</v>
      </c>
      <c r="H760" s="4" t="s">
        <v>24</v>
      </c>
      <c r="I760" s="4" t="s">
        <v>25</v>
      </c>
      <c r="K760" s="4" t="s">
        <v>26</v>
      </c>
      <c r="L760" s="4" t="s">
        <v>2569</v>
      </c>
      <c r="O760" s="4" t="s">
        <v>1604</v>
      </c>
      <c r="P760" s="5">
        <f t="shared" si="17"/>
        <v>45168</v>
      </c>
      <c r="Q760" s="4" t="s">
        <v>2560</v>
      </c>
      <c r="R760" s="5">
        <f t="shared" si="16"/>
        <v>44999</v>
      </c>
      <c r="S760" s="4" t="s">
        <v>2563</v>
      </c>
      <c r="T760" s="5">
        <f t="shared" si="18"/>
        <v>44795</v>
      </c>
      <c r="U760" s="4" t="s">
        <v>2524</v>
      </c>
      <c r="V760" s="5">
        <f>DATE(2022,6,13)</f>
        <v>44725</v>
      </c>
      <c r="W760" s="4" t="s">
        <v>1514</v>
      </c>
      <c r="X760" s="5">
        <f>DATE(2022,2,25)</f>
        <v>44617</v>
      </c>
      <c r="Y760" s="4" t="s">
        <v>53</v>
      </c>
      <c r="Z760" s="5">
        <f>DATE(2021,12,21)</f>
        <v>44551</v>
      </c>
      <c r="AA760" s="4" t="s">
        <v>2115</v>
      </c>
      <c r="AB760" s="5">
        <f>DATE(2021,3,9)</f>
        <v>44264</v>
      </c>
    </row>
    <row r="761" spans="1:28" ht="55.05" customHeight="1" x14ac:dyDescent="0.3">
      <c r="A761" s="4" t="s">
        <v>2095</v>
      </c>
      <c r="B761" s="4" t="s">
        <v>81</v>
      </c>
      <c r="C761" s="4" t="s">
        <v>436</v>
      </c>
      <c r="D761" s="4" t="s">
        <v>20</v>
      </c>
      <c r="E761" s="4" t="s">
        <v>443</v>
      </c>
      <c r="F761" s="4" t="s">
        <v>444</v>
      </c>
      <c r="G761" s="4" t="s">
        <v>2570</v>
      </c>
      <c r="H761" s="4" t="s">
        <v>24</v>
      </c>
      <c r="I761" s="4" t="s">
        <v>25</v>
      </c>
      <c r="K761" s="4" t="s">
        <v>26</v>
      </c>
      <c r="L761" s="4" t="s">
        <v>2571</v>
      </c>
      <c r="O761" s="4" t="s">
        <v>1604</v>
      </c>
      <c r="P761" s="5">
        <f t="shared" si="17"/>
        <v>45168</v>
      </c>
      <c r="Q761" s="4" t="s">
        <v>2560</v>
      </c>
      <c r="R761" s="5">
        <f t="shared" si="16"/>
        <v>44999</v>
      </c>
      <c r="S761" s="4" t="s">
        <v>2563</v>
      </c>
      <c r="T761" s="5">
        <f t="shared" si="18"/>
        <v>44795</v>
      </c>
      <c r="U761" s="4" t="s">
        <v>1597</v>
      </c>
      <c r="V761" s="5">
        <f>DATE(2022,2,25)</f>
        <v>44617</v>
      </c>
      <c r="W761" s="4" t="s">
        <v>53</v>
      </c>
      <c r="X761" s="5">
        <f>DATE(2021,12,21)</f>
        <v>44551</v>
      </c>
      <c r="Y761" s="4" t="s">
        <v>2115</v>
      </c>
      <c r="Z761" s="5">
        <f>DATE(2021,3,9)</f>
        <v>44264</v>
      </c>
    </row>
    <row r="762" spans="1:28" ht="55.05" customHeight="1" x14ac:dyDescent="0.3">
      <c r="A762" s="4" t="s">
        <v>2095</v>
      </c>
      <c r="B762" s="4" t="s">
        <v>81</v>
      </c>
      <c r="C762" s="4" t="s">
        <v>436</v>
      </c>
      <c r="D762" s="4" t="s">
        <v>20</v>
      </c>
      <c r="E762" s="4" t="s">
        <v>443</v>
      </c>
      <c r="F762" s="4" t="s">
        <v>444</v>
      </c>
      <c r="G762" s="4" t="s">
        <v>2572</v>
      </c>
      <c r="H762" s="4" t="s">
        <v>24</v>
      </c>
      <c r="I762" s="4" t="s">
        <v>25</v>
      </c>
      <c r="K762" s="4" t="s">
        <v>26</v>
      </c>
      <c r="L762" s="4" t="s">
        <v>2573</v>
      </c>
      <c r="O762" s="4" t="s">
        <v>1604</v>
      </c>
      <c r="P762" s="5">
        <f t="shared" si="17"/>
        <v>45168</v>
      </c>
      <c r="Q762" s="4" t="s">
        <v>2560</v>
      </c>
      <c r="R762" s="5">
        <f t="shared" si="16"/>
        <v>44999</v>
      </c>
      <c r="S762" s="4" t="s">
        <v>2563</v>
      </c>
      <c r="T762" s="5">
        <f t="shared" si="18"/>
        <v>44795</v>
      </c>
      <c r="U762" s="4" t="s">
        <v>1597</v>
      </c>
      <c r="V762" s="5">
        <f>DATE(2022,2,25)</f>
        <v>44617</v>
      </c>
      <c r="W762" s="4" t="s">
        <v>53</v>
      </c>
      <c r="X762" s="5">
        <f>DATE(2021,12,21)</f>
        <v>44551</v>
      </c>
      <c r="Y762" s="4" t="s">
        <v>2115</v>
      </c>
      <c r="Z762" s="5">
        <f>DATE(2021,3,9)</f>
        <v>44264</v>
      </c>
    </row>
    <row r="763" spans="1:28" ht="55.05" customHeight="1" x14ac:dyDescent="0.3">
      <c r="A763" s="4" t="s">
        <v>2095</v>
      </c>
      <c r="B763" s="4" t="s">
        <v>81</v>
      </c>
      <c r="C763" s="4" t="s">
        <v>436</v>
      </c>
      <c r="D763" s="4" t="s">
        <v>20</v>
      </c>
      <c r="E763" s="4" t="s">
        <v>443</v>
      </c>
      <c r="F763" s="4" t="s">
        <v>444</v>
      </c>
      <c r="G763" s="4" t="s">
        <v>2574</v>
      </c>
      <c r="H763" s="4" t="s">
        <v>24</v>
      </c>
      <c r="I763" s="4" t="s">
        <v>25</v>
      </c>
      <c r="K763" s="4" t="s">
        <v>26</v>
      </c>
      <c r="L763" s="4" t="s">
        <v>2575</v>
      </c>
      <c r="O763" s="4" t="s">
        <v>1604</v>
      </c>
      <c r="P763" s="5">
        <f t="shared" si="17"/>
        <v>45168</v>
      </c>
      <c r="Q763" s="4" t="s">
        <v>2560</v>
      </c>
      <c r="R763" s="5">
        <f t="shared" si="16"/>
        <v>44999</v>
      </c>
      <c r="S763" s="4" t="s">
        <v>2563</v>
      </c>
      <c r="T763" s="5">
        <f t="shared" si="18"/>
        <v>44795</v>
      </c>
      <c r="U763" s="4" t="s">
        <v>1597</v>
      </c>
      <c r="V763" s="5">
        <f>DATE(2022,2,25)</f>
        <v>44617</v>
      </c>
      <c r="W763" s="4" t="s">
        <v>53</v>
      </c>
      <c r="X763" s="5">
        <f>DATE(2021,12,21)</f>
        <v>44551</v>
      </c>
      <c r="Y763" s="4" t="s">
        <v>2115</v>
      </c>
      <c r="Z763" s="5">
        <f>DATE(2021,3,9)</f>
        <v>44264</v>
      </c>
    </row>
    <row r="764" spans="1:28" ht="55.05" customHeight="1" x14ac:dyDescent="0.3">
      <c r="A764" s="4" t="s">
        <v>2095</v>
      </c>
      <c r="B764" s="4" t="s">
        <v>81</v>
      </c>
      <c r="C764" s="4" t="s">
        <v>436</v>
      </c>
      <c r="D764" s="4" t="s">
        <v>20</v>
      </c>
      <c r="E764" s="4" t="s">
        <v>443</v>
      </c>
      <c r="F764" s="4" t="s">
        <v>444</v>
      </c>
      <c r="G764" s="4" t="s">
        <v>2576</v>
      </c>
      <c r="H764" s="4" t="s">
        <v>24</v>
      </c>
      <c r="I764" s="4" t="s">
        <v>25</v>
      </c>
      <c r="K764" s="4" t="s">
        <v>26</v>
      </c>
      <c r="L764" s="4" t="s">
        <v>2577</v>
      </c>
      <c r="O764" s="4" t="s">
        <v>2560</v>
      </c>
      <c r="P764" s="5">
        <f>DATE(2023,3,14)</f>
        <v>44999</v>
      </c>
      <c r="Q764" s="4" t="s">
        <v>2563</v>
      </c>
      <c r="R764" s="5">
        <f>DATE(2022,8,22)</f>
        <v>44795</v>
      </c>
      <c r="S764" s="4" t="s">
        <v>2524</v>
      </c>
      <c r="T764" s="5">
        <f>DATE(2022,6,13)</f>
        <v>44725</v>
      </c>
      <c r="U764" s="4" t="s">
        <v>2564</v>
      </c>
      <c r="V764" s="5">
        <f>DATE(2022,3,3)</f>
        <v>44623</v>
      </c>
      <c r="W764" s="4" t="s">
        <v>53</v>
      </c>
      <c r="X764" s="5">
        <f>DATE(2021,12,21)</f>
        <v>44551</v>
      </c>
      <c r="Y764" s="4" t="s">
        <v>2115</v>
      </c>
      <c r="Z764" s="5">
        <f>DATE(2021,3,9)</f>
        <v>44264</v>
      </c>
    </row>
    <row r="765" spans="1:28" ht="55.05" customHeight="1" x14ac:dyDescent="0.3">
      <c r="A765" s="4" t="s">
        <v>2095</v>
      </c>
      <c r="B765" s="4" t="s">
        <v>81</v>
      </c>
      <c r="C765" s="4" t="s">
        <v>436</v>
      </c>
      <c r="D765" s="4" t="s">
        <v>20</v>
      </c>
      <c r="E765" s="4" t="s">
        <v>443</v>
      </c>
      <c r="F765" s="4" t="s">
        <v>444</v>
      </c>
      <c r="G765" s="4" t="s">
        <v>2578</v>
      </c>
      <c r="H765" s="4" t="s">
        <v>24</v>
      </c>
      <c r="I765" s="4" t="s">
        <v>25</v>
      </c>
      <c r="K765" s="4" t="s">
        <v>26</v>
      </c>
      <c r="L765" s="4" t="s">
        <v>2579</v>
      </c>
      <c r="O765" s="4" t="s">
        <v>2560</v>
      </c>
      <c r="P765" s="5">
        <f>DATE(2023,3,14)</f>
        <v>44999</v>
      </c>
      <c r="Q765" s="4" t="s">
        <v>2563</v>
      </c>
      <c r="R765" s="5">
        <f>DATE(2022,8,22)</f>
        <v>44795</v>
      </c>
      <c r="S765" s="4" t="s">
        <v>2567</v>
      </c>
      <c r="T765" s="5">
        <f>DATE(2022,3,3)</f>
        <v>44623</v>
      </c>
      <c r="U765" s="4" t="s">
        <v>53</v>
      </c>
      <c r="V765" s="5">
        <f>DATE(2021,12,21)</f>
        <v>44551</v>
      </c>
      <c r="W765" s="4" t="s">
        <v>2115</v>
      </c>
      <c r="X765" s="5">
        <f>DATE(2021,3,9)</f>
        <v>44264</v>
      </c>
    </row>
    <row r="766" spans="1:28" ht="55.05" customHeight="1" x14ac:dyDescent="0.3">
      <c r="A766" s="4" t="s">
        <v>2095</v>
      </c>
      <c r="B766" s="4" t="s">
        <v>81</v>
      </c>
      <c r="C766" s="4" t="s">
        <v>436</v>
      </c>
      <c r="D766" s="4" t="s">
        <v>20</v>
      </c>
      <c r="E766" s="4" t="s">
        <v>443</v>
      </c>
      <c r="F766" s="4" t="s">
        <v>444</v>
      </c>
      <c r="G766" s="4" t="s">
        <v>2580</v>
      </c>
      <c r="H766" s="4" t="s">
        <v>24</v>
      </c>
      <c r="I766" s="4" t="s">
        <v>25</v>
      </c>
      <c r="K766" s="4" t="s">
        <v>26</v>
      </c>
      <c r="L766" s="4" t="s">
        <v>2581</v>
      </c>
      <c r="O766" s="4" t="s">
        <v>1604</v>
      </c>
      <c r="P766" s="5">
        <f>DATE(2023,8,30)</f>
        <v>45168</v>
      </c>
      <c r="Q766" s="4" t="s">
        <v>2560</v>
      </c>
      <c r="R766" s="5">
        <f>DATE(2023,3,14)</f>
        <v>44999</v>
      </c>
      <c r="S766" s="4" t="s">
        <v>2563</v>
      </c>
      <c r="T766" s="5">
        <f>DATE(2022,8,22)</f>
        <v>44795</v>
      </c>
      <c r="U766" s="4" t="s">
        <v>2524</v>
      </c>
      <c r="V766" s="5">
        <f>DATE(2022,6,13)</f>
        <v>44725</v>
      </c>
      <c r="W766" s="4" t="s">
        <v>2564</v>
      </c>
      <c r="X766" s="5">
        <f>DATE(2022,3,3)</f>
        <v>44623</v>
      </c>
      <c r="Y766" s="4" t="s">
        <v>53</v>
      </c>
      <c r="Z766" s="5">
        <f>DATE(2021,12,21)</f>
        <v>44551</v>
      </c>
      <c r="AA766" s="4" t="s">
        <v>2115</v>
      </c>
      <c r="AB766" s="5">
        <f>DATE(2021,3,9)</f>
        <v>44264</v>
      </c>
    </row>
    <row r="767" spans="1:28" ht="55.05" customHeight="1" x14ac:dyDescent="0.3">
      <c r="A767" s="4" t="s">
        <v>2095</v>
      </c>
      <c r="B767" s="4" t="s">
        <v>81</v>
      </c>
      <c r="C767" s="4" t="s">
        <v>436</v>
      </c>
      <c r="D767" s="4" t="s">
        <v>20</v>
      </c>
      <c r="E767" s="4" t="s">
        <v>443</v>
      </c>
      <c r="F767" s="4" t="s">
        <v>444</v>
      </c>
      <c r="G767" s="4" t="s">
        <v>2582</v>
      </c>
      <c r="H767" s="4" t="s">
        <v>24</v>
      </c>
      <c r="I767" s="4" t="s">
        <v>25</v>
      </c>
      <c r="K767" s="4" t="s">
        <v>26</v>
      </c>
      <c r="L767" s="4" t="s">
        <v>2583</v>
      </c>
      <c r="O767" s="4" t="s">
        <v>1604</v>
      </c>
      <c r="P767" s="5">
        <f>DATE(2023,8,30)</f>
        <v>45168</v>
      </c>
      <c r="Q767" s="4" t="s">
        <v>2560</v>
      </c>
      <c r="R767" s="5">
        <f>DATE(2023,3,14)</f>
        <v>44999</v>
      </c>
      <c r="S767" s="4" t="s">
        <v>2563</v>
      </c>
      <c r="T767" s="5">
        <f>DATE(2022,8,22)</f>
        <v>44795</v>
      </c>
      <c r="U767" s="4" t="s">
        <v>2567</v>
      </c>
      <c r="V767" s="5">
        <f>DATE(2022,3,3)</f>
        <v>44623</v>
      </c>
      <c r="W767" s="4" t="s">
        <v>53</v>
      </c>
      <c r="X767" s="5">
        <f>DATE(2021,12,21)</f>
        <v>44551</v>
      </c>
      <c r="Y767" s="4" t="s">
        <v>2115</v>
      </c>
      <c r="Z767" s="5">
        <f>DATE(2021,3,9)</f>
        <v>44264</v>
      </c>
    </row>
    <row r="768" spans="1:28" ht="55.05" customHeight="1" x14ac:dyDescent="0.3">
      <c r="A768" s="4" t="s">
        <v>2095</v>
      </c>
      <c r="B768" s="4" t="s">
        <v>81</v>
      </c>
      <c r="C768" s="4" t="s">
        <v>436</v>
      </c>
      <c r="D768" s="4" t="s">
        <v>20</v>
      </c>
      <c r="E768" s="4" t="s">
        <v>443</v>
      </c>
      <c r="F768" s="4" t="s">
        <v>444</v>
      </c>
      <c r="G768" s="4" t="s">
        <v>2584</v>
      </c>
      <c r="H768" s="4" t="s">
        <v>24</v>
      </c>
      <c r="I768" s="4" t="s">
        <v>25</v>
      </c>
      <c r="K768" s="4" t="s">
        <v>26</v>
      </c>
      <c r="L768" s="4" t="s">
        <v>2585</v>
      </c>
      <c r="O768" s="4" t="s">
        <v>1604</v>
      </c>
      <c r="P768" s="5">
        <f>DATE(2023,8,30)</f>
        <v>45168</v>
      </c>
      <c r="Q768" s="4" t="s">
        <v>2560</v>
      </c>
      <c r="R768" s="5">
        <f>DATE(2023,3,14)</f>
        <v>44999</v>
      </c>
      <c r="S768" s="4" t="s">
        <v>2563</v>
      </c>
      <c r="T768" s="5">
        <f>DATE(2022,8,22)</f>
        <v>44795</v>
      </c>
      <c r="U768" s="4" t="s">
        <v>2524</v>
      </c>
      <c r="V768" s="5">
        <f>DATE(2022,6,13)</f>
        <v>44725</v>
      </c>
      <c r="W768" s="4" t="s">
        <v>2564</v>
      </c>
      <c r="X768" s="5">
        <f>DATE(2022,3,3)</f>
        <v>44623</v>
      </c>
      <c r="Y768" s="4" t="s">
        <v>53</v>
      </c>
      <c r="Z768" s="5">
        <f>DATE(2021,12,21)</f>
        <v>44551</v>
      </c>
      <c r="AA768" s="4" t="s">
        <v>2586</v>
      </c>
      <c r="AB768" s="5">
        <f>DATE(2021,10,20)</f>
        <v>44489</v>
      </c>
    </row>
    <row r="769" spans="1:28" ht="55.05" customHeight="1" x14ac:dyDescent="0.3">
      <c r="A769" s="4" t="s">
        <v>2095</v>
      </c>
      <c r="B769" s="4" t="s">
        <v>81</v>
      </c>
      <c r="C769" s="4" t="s">
        <v>436</v>
      </c>
      <c r="D769" s="4" t="s">
        <v>20</v>
      </c>
      <c r="E769" s="4" t="s">
        <v>443</v>
      </c>
      <c r="F769" s="4" t="s">
        <v>444</v>
      </c>
      <c r="G769" s="4" t="s">
        <v>2587</v>
      </c>
      <c r="H769" s="4" t="s">
        <v>24</v>
      </c>
      <c r="I769" s="4" t="s">
        <v>25</v>
      </c>
      <c r="K769" s="4" t="s">
        <v>26</v>
      </c>
      <c r="L769" s="4" t="s">
        <v>2588</v>
      </c>
      <c r="O769" s="4" t="s">
        <v>1604</v>
      </c>
      <c r="P769" s="5">
        <f>DATE(2023,8,30)</f>
        <v>45168</v>
      </c>
      <c r="Q769" s="4" t="s">
        <v>2560</v>
      </c>
      <c r="R769" s="5">
        <f>DATE(2023,3,14)</f>
        <v>44999</v>
      </c>
      <c r="S769" s="4" t="s">
        <v>2563</v>
      </c>
      <c r="T769" s="5">
        <f>DATE(2022,8,22)</f>
        <v>44795</v>
      </c>
      <c r="U769" s="4" t="s">
        <v>2524</v>
      </c>
      <c r="V769" s="5">
        <f>DATE(2022,6,13)</f>
        <v>44725</v>
      </c>
      <c r="W769" s="4" t="s">
        <v>2564</v>
      </c>
      <c r="X769" s="5">
        <f>DATE(2022,3,3)</f>
        <v>44623</v>
      </c>
      <c r="Y769" s="4" t="s">
        <v>53</v>
      </c>
      <c r="Z769" s="5">
        <f>DATE(2021,12,21)</f>
        <v>44551</v>
      </c>
      <c r="AA769" s="4" t="s">
        <v>2586</v>
      </c>
      <c r="AB769" s="5">
        <f>DATE(2021,10,20)</f>
        <v>44489</v>
      </c>
    </row>
    <row r="770" spans="1:28" ht="55.05" customHeight="1" x14ac:dyDescent="0.3">
      <c r="A770" s="4" t="s">
        <v>2095</v>
      </c>
      <c r="B770" s="4" t="s">
        <v>81</v>
      </c>
      <c r="C770" s="4" t="s">
        <v>436</v>
      </c>
      <c r="D770" s="4" t="s">
        <v>20</v>
      </c>
      <c r="E770" s="4" t="s">
        <v>443</v>
      </c>
      <c r="F770" s="4" t="s">
        <v>444</v>
      </c>
      <c r="G770" s="4" t="s">
        <v>2589</v>
      </c>
      <c r="H770" s="4" t="s">
        <v>24</v>
      </c>
      <c r="I770" s="4" t="s">
        <v>25</v>
      </c>
      <c r="K770" s="4" t="s">
        <v>26</v>
      </c>
      <c r="L770" s="4" t="s">
        <v>2590</v>
      </c>
      <c r="O770" s="4" t="s">
        <v>1604</v>
      </c>
      <c r="P770" s="5">
        <f>DATE(2023,8,30)</f>
        <v>45168</v>
      </c>
      <c r="Q770" s="4" t="s">
        <v>2560</v>
      </c>
      <c r="R770" s="5">
        <f>DATE(2023,3,14)</f>
        <v>44999</v>
      </c>
      <c r="S770" s="4" t="s">
        <v>2563</v>
      </c>
      <c r="T770" s="5">
        <f>DATE(2022,8,22)</f>
        <v>44795</v>
      </c>
      <c r="U770" s="4" t="s">
        <v>2524</v>
      </c>
      <c r="V770" s="5">
        <f>DATE(2022,6,13)</f>
        <v>44725</v>
      </c>
      <c r="W770" s="4" t="s">
        <v>2564</v>
      </c>
      <c r="X770" s="5">
        <f>DATE(2022,3,3)</f>
        <v>44623</v>
      </c>
      <c r="Y770" s="4" t="s">
        <v>53</v>
      </c>
      <c r="Z770" s="5">
        <f>DATE(2021,12,21)</f>
        <v>44551</v>
      </c>
      <c r="AA770" s="4" t="s">
        <v>2115</v>
      </c>
      <c r="AB770" s="5">
        <f>DATE(2021,3,9)</f>
        <v>44264</v>
      </c>
    </row>
    <row r="771" spans="1:28" ht="55.05" customHeight="1" x14ac:dyDescent="0.3">
      <c r="A771" s="4" t="s">
        <v>2095</v>
      </c>
      <c r="B771" s="4" t="s">
        <v>81</v>
      </c>
      <c r="C771" s="4" t="s">
        <v>436</v>
      </c>
      <c r="D771" s="4" t="s">
        <v>20</v>
      </c>
      <c r="E771" s="4" t="s">
        <v>443</v>
      </c>
      <c r="F771" s="4" t="s">
        <v>444</v>
      </c>
      <c r="G771" s="4" t="s">
        <v>2591</v>
      </c>
      <c r="H771" s="4" t="s">
        <v>32</v>
      </c>
      <c r="I771" s="4" t="s">
        <v>536</v>
      </c>
      <c r="J771" s="5">
        <f>DATE(2022,8,22)</f>
        <v>44795</v>
      </c>
      <c r="K771" s="4" t="s">
        <v>26</v>
      </c>
      <c r="L771" s="4" t="s">
        <v>2592</v>
      </c>
      <c r="O771" s="4" t="s">
        <v>2563</v>
      </c>
      <c r="P771" s="5">
        <f>DATE(2022,8,22)</f>
        <v>44795</v>
      </c>
      <c r="Q771" s="4" t="s">
        <v>2524</v>
      </c>
      <c r="R771" s="5">
        <f>DATE(2022,6,13)</f>
        <v>44725</v>
      </c>
      <c r="S771" s="4" t="s">
        <v>2564</v>
      </c>
      <c r="T771" s="5">
        <f>DATE(2022,3,3)</f>
        <v>44623</v>
      </c>
      <c r="U771" s="4" t="s">
        <v>53</v>
      </c>
      <c r="V771" s="5">
        <f>DATE(2021,12,21)</f>
        <v>44551</v>
      </c>
      <c r="W771" s="4" t="s">
        <v>2115</v>
      </c>
      <c r="X771" s="5">
        <f>DATE(2021,3,9)</f>
        <v>44264</v>
      </c>
    </row>
    <row r="772" spans="1:28" ht="55.05" customHeight="1" x14ac:dyDescent="0.3">
      <c r="A772" s="4" t="s">
        <v>2095</v>
      </c>
      <c r="B772" s="4" t="s">
        <v>81</v>
      </c>
      <c r="C772" s="4" t="s">
        <v>436</v>
      </c>
      <c r="D772" s="4" t="s">
        <v>20</v>
      </c>
      <c r="E772" s="4" t="s">
        <v>443</v>
      </c>
      <c r="F772" s="4" t="s">
        <v>444</v>
      </c>
      <c r="G772" s="4" t="s">
        <v>2593</v>
      </c>
      <c r="H772" s="4" t="s">
        <v>32</v>
      </c>
      <c r="I772" s="4" t="s">
        <v>536</v>
      </c>
      <c r="J772" s="5">
        <f>DATE(2022,8,22)</f>
        <v>44795</v>
      </c>
      <c r="K772" s="4" t="s">
        <v>26</v>
      </c>
      <c r="L772" s="4" t="s">
        <v>2594</v>
      </c>
      <c r="O772" s="4" t="s">
        <v>2563</v>
      </c>
      <c r="P772" s="5">
        <f>DATE(2022,8,22)</f>
        <v>44795</v>
      </c>
      <c r="Q772" s="4" t="s">
        <v>2524</v>
      </c>
      <c r="R772" s="5">
        <f>DATE(2022,6,13)</f>
        <v>44725</v>
      </c>
      <c r="S772" s="4" t="s">
        <v>2564</v>
      </c>
      <c r="T772" s="5">
        <f>DATE(2022,3,3)</f>
        <v>44623</v>
      </c>
      <c r="U772" s="4" t="s">
        <v>53</v>
      </c>
      <c r="V772" s="5">
        <f>DATE(2021,12,21)</f>
        <v>44551</v>
      </c>
      <c r="W772" s="4" t="s">
        <v>2115</v>
      </c>
      <c r="X772" s="5">
        <f>DATE(2021,3,9)</f>
        <v>44264</v>
      </c>
    </row>
    <row r="773" spans="1:28" ht="55.05" customHeight="1" x14ac:dyDescent="0.3">
      <c r="A773" s="4" t="s">
        <v>2095</v>
      </c>
      <c r="B773" s="4" t="s">
        <v>81</v>
      </c>
      <c r="C773" s="4" t="s">
        <v>436</v>
      </c>
      <c r="D773" s="4" t="s">
        <v>20</v>
      </c>
      <c r="E773" s="4" t="s">
        <v>443</v>
      </c>
      <c r="F773" s="4" t="s">
        <v>444</v>
      </c>
      <c r="G773" s="4" t="s">
        <v>2595</v>
      </c>
      <c r="H773" s="4" t="s">
        <v>24</v>
      </c>
      <c r="I773" s="4" t="s">
        <v>25</v>
      </c>
      <c r="K773" s="4" t="s">
        <v>26</v>
      </c>
      <c r="L773" s="4" t="s">
        <v>2596</v>
      </c>
      <c r="O773" s="4" t="s">
        <v>1604</v>
      </c>
      <c r="P773" s="5">
        <f>DATE(2023,8,30)</f>
        <v>45168</v>
      </c>
      <c r="Q773" s="4" t="s">
        <v>2560</v>
      </c>
      <c r="R773" s="5">
        <f>DATE(2023,3,14)</f>
        <v>44999</v>
      </c>
      <c r="S773" s="4" t="s">
        <v>2563</v>
      </c>
      <c r="T773" s="5">
        <f>DATE(2022,8,22)</f>
        <v>44795</v>
      </c>
      <c r="U773" s="4" t="s">
        <v>2524</v>
      </c>
      <c r="V773" s="5">
        <f>DATE(2022,6,13)</f>
        <v>44725</v>
      </c>
      <c r="W773" s="4" t="s">
        <v>53</v>
      </c>
      <c r="X773" s="5">
        <f>DATE(2021,12,21)</f>
        <v>44551</v>
      </c>
      <c r="Y773" s="4" t="s">
        <v>2115</v>
      </c>
      <c r="Z773" s="5">
        <f>DATE(2021,3,9)</f>
        <v>44264</v>
      </c>
    </row>
    <row r="774" spans="1:28" ht="55.05" customHeight="1" x14ac:dyDescent="0.3">
      <c r="A774" s="4" t="s">
        <v>2095</v>
      </c>
      <c r="B774" s="4" t="s">
        <v>81</v>
      </c>
      <c r="C774" s="4" t="s">
        <v>436</v>
      </c>
      <c r="D774" s="4" t="s">
        <v>20</v>
      </c>
      <c r="E774" s="4" t="s">
        <v>463</v>
      </c>
      <c r="F774" s="4" t="s">
        <v>444</v>
      </c>
      <c r="G774" s="4" t="s">
        <v>2597</v>
      </c>
      <c r="H774" s="4" t="s">
        <v>24</v>
      </c>
      <c r="I774" s="4" t="s">
        <v>25</v>
      </c>
      <c r="K774" s="4" t="s">
        <v>26</v>
      </c>
      <c r="L774" s="4" t="s">
        <v>2598</v>
      </c>
      <c r="O774" s="4" t="s">
        <v>2521</v>
      </c>
      <c r="P774" s="5">
        <f>DATE(2022,5,30)</f>
        <v>44711</v>
      </c>
      <c r="Q774" s="4" t="s">
        <v>1448</v>
      </c>
      <c r="R774" s="5">
        <f>DATE(2021,12,21)</f>
        <v>44551</v>
      </c>
      <c r="S774" s="4" t="s">
        <v>2115</v>
      </c>
      <c r="T774" s="5">
        <f>DATE(2021,3,9)</f>
        <v>44264</v>
      </c>
    </row>
    <row r="775" spans="1:28" ht="55.05" customHeight="1" x14ac:dyDescent="0.3">
      <c r="A775" s="4" t="s">
        <v>2095</v>
      </c>
      <c r="B775" s="4" t="s">
        <v>81</v>
      </c>
      <c r="C775" s="4" t="s">
        <v>436</v>
      </c>
      <c r="D775" s="4" t="s">
        <v>20</v>
      </c>
      <c r="E775" s="4" t="s">
        <v>463</v>
      </c>
      <c r="F775" s="4" t="s">
        <v>444</v>
      </c>
      <c r="G775" s="4" t="s">
        <v>2599</v>
      </c>
      <c r="H775" s="4" t="s">
        <v>24</v>
      </c>
      <c r="I775" s="4" t="s">
        <v>25</v>
      </c>
      <c r="K775" s="4" t="s">
        <v>26</v>
      </c>
      <c r="L775" s="4" t="s">
        <v>2600</v>
      </c>
      <c r="O775" s="4" t="s">
        <v>2524</v>
      </c>
      <c r="P775" s="5">
        <f>DATE(2022,6,13)</f>
        <v>44725</v>
      </c>
      <c r="Q775" s="4" t="s">
        <v>2525</v>
      </c>
      <c r="R775" s="5">
        <f>DATE(2022,2,11)</f>
        <v>44603</v>
      </c>
      <c r="S775" s="4" t="s">
        <v>53</v>
      </c>
      <c r="T775" s="5">
        <f>DATE(2021,12,21)</f>
        <v>44551</v>
      </c>
      <c r="U775" s="4" t="s">
        <v>2601</v>
      </c>
      <c r="V775" s="5">
        <f>DATE(2021,4,23)</f>
        <v>44309</v>
      </c>
    </row>
    <row r="776" spans="1:28" ht="55.05" customHeight="1" x14ac:dyDescent="0.3">
      <c r="A776" s="4" t="s">
        <v>2095</v>
      </c>
      <c r="B776" s="4" t="s">
        <v>81</v>
      </c>
      <c r="C776" s="4" t="s">
        <v>436</v>
      </c>
      <c r="D776" s="4" t="s">
        <v>20</v>
      </c>
      <c r="E776" s="4" t="s">
        <v>463</v>
      </c>
      <c r="F776" s="4" t="s">
        <v>444</v>
      </c>
      <c r="G776" s="4" t="s">
        <v>2602</v>
      </c>
      <c r="H776" s="4" t="s">
        <v>24</v>
      </c>
      <c r="I776" s="4" t="s">
        <v>25</v>
      </c>
      <c r="K776" s="4" t="s">
        <v>26</v>
      </c>
      <c r="L776" s="4" t="s">
        <v>2603</v>
      </c>
      <c r="O776" s="4" t="s">
        <v>2525</v>
      </c>
      <c r="P776" s="5">
        <f>DATE(2022,2,11)</f>
        <v>44603</v>
      </c>
      <c r="Q776" s="4" t="s">
        <v>1448</v>
      </c>
      <c r="R776" s="5">
        <f>DATE(2021,12,21)</f>
        <v>44551</v>
      </c>
      <c r="S776" s="4" t="s">
        <v>2601</v>
      </c>
      <c r="T776" s="5">
        <f>DATE(2021,4,23)</f>
        <v>44309</v>
      </c>
    </row>
    <row r="777" spans="1:28" ht="55.05" customHeight="1" x14ac:dyDescent="0.3">
      <c r="A777" s="4" t="s">
        <v>2095</v>
      </c>
      <c r="B777" s="4" t="s">
        <v>81</v>
      </c>
      <c r="C777" s="4" t="s">
        <v>436</v>
      </c>
      <c r="D777" s="4" t="s">
        <v>20</v>
      </c>
      <c r="E777" s="4" t="s">
        <v>1633</v>
      </c>
      <c r="F777" s="4" t="s">
        <v>444</v>
      </c>
      <c r="G777" s="4" t="s">
        <v>2604</v>
      </c>
      <c r="H777" s="4" t="s">
        <v>24</v>
      </c>
      <c r="I777" s="4" t="s">
        <v>25</v>
      </c>
      <c r="K777" s="4" t="s">
        <v>26</v>
      </c>
      <c r="L777" s="4" t="s">
        <v>2605</v>
      </c>
      <c r="O777" s="4" t="s">
        <v>1447</v>
      </c>
      <c r="P777" s="5">
        <f>DATE(2022,8,17)</f>
        <v>44790</v>
      </c>
      <c r="Q777" s="4" t="s">
        <v>1597</v>
      </c>
      <c r="R777" s="5">
        <f>DATE(2022,2,25)</f>
        <v>44617</v>
      </c>
      <c r="S777" s="4" t="s">
        <v>2114</v>
      </c>
      <c r="T777" s="5">
        <f>DATE(2021,12,21)</f>
        <v>44551</v>
      </c>
      <c r="U777" s="4" t="s">
        <v>2115</v>
      </c>
      <c r="V777" s="5">
        <f>DATE(2021,3,9)</f>
        <v>44264</v>
      </c>
    </row>
    <row r="778" spans="1:28" ht="55.05" customHeight="1" x14ac:dyDescent="0.3">
      <c r="A778" s="4" t="s">
        <v>2095</v>
      </c>
      <c r="B778" s="4" t="s">
        <v>81</v>
      </c>
      <c r="C778" s="4" t="s">
        <v>436</v>
      </c>
      <c r="D778" s="4" t="s">
        <v>20</v>
      </c>
      <c r="E778" s="4" t="s">
        <v>1633</v>
      </c>
      <c r="F778" s="4" t="s">
        <v>444</v>
      </c>
      <c r="G778" s="4" t="s">
        <v>2606</v>
      </c>
      <c r="H778" s="4" t="s">
        <v>24</v>
      </c>
      <c r="I778" s="4" t="s">
        <v>25</v>
      </c>
      <c r="K778" s="4" t="s">
        <v>26</v>
      </c>
      <c r="L778" s="4" t="s">
        <v>2607</v>
      </c>
      <c r="O778" s="4" t="s">
        <v>1606</v>
      </c>
      <c r="P778" s="5">
        <f>DATE(2022,3,17)</f>
        <v>44637</v>
      </c>
      <c r="Q778" s="4" t="s">
        <v>2114</v>
      </c>
      <c r="R778" s="5">
        <f>DATE(2021,12,21)</f>
        <v>44551</v>
      </c>
      <c r="S778" s="4" t="s">
        <v>2115</v>
      </c>
      <c r="T778" s="5">
        <f>DATE(2021,3,9)</f>
        <v>44264</v>
      </c>
    </row>
    <row r="779" spans="1:28" ht="55.05" customHeight="1" x14ac:dyDescent="0.3">
      <c r="A779" s="4" t="s">
        <v>2095</v>
      </c>
      <c r="B779" s="4" t="s">
        <v>81</v>
      </c>
      <c r="C779" s="4" t="s">
        <v>436</v>
      </c>
      <c r="D779" s="4" t="s">
        <v>20</v>
      </c>
      <c r="E779" s="4" t="s">
        <v>2608</v>
      </c>
      <c r="F779" s="4" t="s">
        <v>444</v>
      </c>
      <c r="G779" s="4" t="s">
        <v>2609</v>
      </c>
      <c r="H779" s="4" t="s">
        <v>24</v>
      </c>
      <c r="I779" s="4" t="s">
        <v>25</v>
      </c>
      <c r="K779" s="4" t="s">
        <v>26</v>
      </c>
      <c r="L779" s="4" t="s">
        <v>2610</v>
      </c>
      <c r="O779" s="4" t="s">
        <v>2530</v>
      </c>
      <c r="P779" s="5">
        <f>DATE(2022,8,18)</f>
        <v>44791</v>
      </c>
      <c r="Q779" s="4" t="s">
        <v>1448</v>
      </c>
      <c r="R779" s="5">
        <f>DATE(2021,12,21)</f>
        <v>44551</v>
      </c>
      <c r="S779" s="4" t="s">
        <v>2115</v>
      </c>
      <c r="T779" s="5">
        <f>DATE(2021,3,9)</f>
        <v>44264</v>
      </c>
    </row>
    <row r="780" spans="1:28" ht="55.05" customHeight="1" x14ac:dyDescent="0.3">
      <c r="A780" s="4" t="s">
        <v>2095</v>
      </c>
      <c r="B780" s="4" t="s">
        <v>119</v>
      </c>
      <c r="C780" s="4" t="s">
        <v>20</v>
      </c>
      <c r="D780" s="4" t="s">
        <v>20</v>
      </c>
      <c r="E780" s="4" t="s">
        <v>2611</v>
      </c>
      <c r="F780" s="4" t="s">
        <v>444</v>
      </c>
      <c r="G780" s="4" t="s">
        <v>2612</v>
      </c>
      <c r="H780" s="4" t="s">
        <v>24</v>
      </c>
      <c r="I780" s="4" t="s">
        <v>25</v>
      </c>
      <c r="K780" s="4" t="s">
        <v>26</v>
      </c>
      <c r="L780" s="4" t="s">
        <v>2613</v>
      </c>
      <c r="O780" s="4" t="s">
        <v>1692</v>
      </c>
      <c r="P780" s="5">
        <f>DATE(2022,6,28)</f>
        <v>44740</v>
      </c>
      <c r="Q780" s="4" t="s">
        <v>1448</v>
      </c>
      <c r="R780" s="5">
        <f>DATE(2021,12,21)</f>
        <v>44551</v>
      </c>
      <c r="S780" s="4" t="s">
        <v>2115</v>
      </c>
      <c r="T780" s="5">
        <f>DATE(2021,3,9)</f>
        <v>44264</v>
      </c>
    </row>
    <row r="781" spans="1:28" ht="55.05" customHeight="1" x14ac:dyDescent="0.3">
      <c r="A781" s="4" t="s">
        <v>2095</v>
      </c>
      <c r="B781" s="4" t="s">
        <v>119</v>
      </c>
      <c r="C781" s="4" t="s">
        <v>468</v>
      </c>
      <c r="D781" s="4" t="s">
        <v>20</v>
      </c>
      <c r="E781" s="4" t="s">
        <v>469</v>
      </c>
      <c r="F781" s="4" t="s">
        <v>22</v>
      </c>
      <c r="G781" s="4" t="s">
        <v>2614</v>
      </c>
      <c r="H781" s="4" t="s">
        <v>24</v>
      </c>
      <c r="I781" s="4" t="s">
        <v>25</v>
      </c>
      <c r="K781" s="4" t="s">
        <v>26</v>
      </c>
      <c r="L781" s="4" t="s">
        <v>2615</v>
      </c>
      <c r="M781" s="4" t="s">
        <v>25</v>
      </c>
      <c r="N781" s="5">
        <f>DATE(2023,12,20)</f>
        <v>45280</v>
      </c>
      <c r="O781" s="4" t="s">
        <v>2114</v>
      </c>
      <c r="P781" s="5">
        <f t="shared" ref="P781:P788" si="19">DATE(2021,12,21)</f>
        <v>44551</v>
      </c>
      <c r="Q781" s="4" t="s">
        <v>2616</v>
      </c>
      <c r="R781" s="5">
        <f>DATE(2020,6,11)</f>
        <v>43993</v>
      </c>
    </row>
    <row r="782" spans="1:28" ht="55.05" customHeight="1" x14ac:dyDescent="0.3">
      <c r="A782" s="4" t="s">
        <v>2095</v>
      </c>
      <c r="B782" s="4" t="s">
        <v>119</v>
      </c>
      <c r="C782" s="4" t="s">
        <v>468</v>
      </c>
      <c r="D782" s="4" t="s">
        <v>20</v>
      </c>
      <c r="E782" s="4" t="s">
        <v>469</v>
      </c>
      <c r="F782" s="4" t="s">
        <v>22</v>
      </c>
      <c r="G782" s="4" t="s">
        <v>2617</v>
      </c>
      <c r="H782" s="4" t="s">
        <v>24</v>
      </c>
      <c r="I782" s="4" t="s">
        <v>25</v>
      </c>
      <c r="K782" s="4" t="s">
        <v>26</v>
      </c>
      <c r="L782" s="4" t="s">
        <v>2618</v>
      </c>
      <c r="O782" s="4" t="s">
        <v>2114</v>
      </c>
      <c r="P782" s="5">
        <f t="shared" si="19"/>
        <v>44551</v>
      </c>
      <c r="Q782" s="4" t="s">
        <v>2619</v>
      </c>
      <c r="R782" s="5">
        <f>DATE(2019,9,11)</f>
        <v>43719</v>
      </c>
    </row>
    <row r="783" spans="1:28" ht="55.05" customHeight="1" x14ac:dyDescent="0.3">
      <c r="A783" s="4" t="s">
        <v>2095</v>
      </c>
      <c r="B783" s="4" t="s">
        <v>119</v>
      </c>
      <c r="C783" s="4" t="s">
        <v>468</v>
      </c>
      <c r="D783" s="4" t="s">
        <v>20</v>
      </c>
      <c r="E783" s="4" t="s">
        <v>469</v>
      </c>
      <c r="F783" s="4" t="s">
        <v>22</v>
      </c>
      <c r="G783" s="4" t="s">
        <v>2620</v>
      </c>
      <c r="H783" s="4" t="s">
        <v>24</v>
      </c>
      <c r="I783" s="4" t="s">
        <v>25</v>
      </c>
      <c r="K783" s="4" t="s">
        <v>26</v>
      </c>
      <c r="L783" s="4" t="s">
        <v>2621</v>
      </c>
      <c r="O783" s="4" t="s">
        <v>2114</v>
      </c>
      <c r="P783" s="5">
        <f t="shared" si="19"/>
        <v>44551</v>
      </c>
      <c r="Q783" s="4" t="s">
        <v>2619</v>
      </c>
      <c r="R783" s="5">
        <f>DATE(2019,9,11)</f>
        <v>43719</v>
      </c>
    </row>
    <row r="784" spans="1:28" ht="55.05" customHeight="1" x14ac:dyDescent="0.3">
      <c r="A784" s="4" t="s">
        <v>2095</v>
      </c>
      <c r="B784" s="4" t="s">
        <v>119</v>
      </c>
      <c r="C784" s="4" t="s">
        <v>468</v>
      </c>
      <c r="D784" s="4" t="s">
        <v>20</v>
      </c>
      <c r="E784" s="4" t="s">
        <v>2622</v>
      </c>
      <c r="F784" s="4" t="s">
        <v>22</v>
      </c>
      <c r="G784" s="4" t="s">
        <v>2623</v>
      </c>
      <c r="H784" s="4" t="s">
        <v>24</v>
      </c>
      <c r="I784" s="4" t="s">
        <v>25</v>
      </c>
      <c r="K784" s="4" t="s">
        <v>26</v>
      </c>
      <c r="L784" s="4" t="s">
        <v>2624</v>
      </c>
      <c r="O784" s="4" t="s">
        <v>2114</v>
      </c>
      <c r="P784" s="5">
        <f t="shared" si="19"/>
        <v>44551</v>
      </c>
      <c r="Q784" s="4" t="s">
        <v>685</v>
      </c>
      <c r="R784" s="5">
        <f>DATE(2020,7,21)</f>
        <v>44033</v>
      </c>
    </row>
    <row r="785" spans="1:22" ht="55.05" customHeight="1" x14ac:dyDescent="0.3">
      <c r="A785" s="4" t="s">
        <v>2095</v>
      </c>
      <c r="B785" s="4" t="s">
        <v>119</v>
      </c>
      <c r="C785" s="4" t="s">
        <v>468</v>
      </c>
      <c r="D785" s="4" t="s">
        <v>20</v>
      </c>
      <c r="E785" s="4" t="s">
        <v>1669</v>
      </c>
      <c r="F785" s="4" t="s">
        <v>22</v>
      </c>
      <c r="G785" s="4" t="s">
        <v>2625</v>
      </c>
      <c r="H785" s="4" t="s">
        <v>24</v>
      </c>
      <c r="I785" s="4" t="s">
        <v>25</v>
      </c>
      <c r="K785" s="4" t="s">
        <v>26</v>
      </c>
      <c r="L785" s="4" t="s">
        <v>2626</v>
      </c>
      <c r="O785" s="4" t="s">
        <v>2114</v>
      </c>
      <c r="P785" s="5">
        <f t="shared" si="19"/>
        <v>44551</v>
      </c>
      <c r="Q785" s="4" t="s">
        <v>2616</v>
      </c>
      <c r="R785" s="5">
        <f>DATE(2020,6,11)</f>
        <v>43993</v>
      </c>
    </row>
    <row r="786" spans="1:22" ht="55.05" customHeight="1" x14ac:dyDescent="0.3">
      <c r="A786" s="4" t="s">
        <v>2095</v>
      </c>
      <c r="B786" s="4" t="s">
        <v>119</v>
      </c>
      <c r="C786" s="4" t="s">
        <v>468</v>
      </c>
      <c r="D786" s="4" t="s">
        <v>20</v>
      </c>
      <c r="E786" s="4" t="s">
        <v>1669</v>
      </c>
      <c r="F786" s="4" t="s">
        <v>22</v>
      </c>
      <c r="G786" s="4" t="s">
        <v>2627</v>
      </c>
      <c r="H786" s="4" t="s">
        <v>24</v>
      </c>
      <c r="I786" s="4" t="s">
        <v>25</v>
      </c>
      <c r="K786" s="4" t="s">
        <v>26</v>
      </c>
      <c r="L786" s="4" t="s">
        <v>2628</v>
      </c>
      <c r="M786" s="4" t="s">
        <v>25</v>
      </c>
      <c r="N786" s="5">
        <f>DATE(2023,12,20)</f>
        <v>45280</v>
      </c>
      <c r="O786" s="4" t="s">
        <v>2114</v>
      </c>
      <c r="P786" s="5">
        <f t="shared" si="19"/>
        <v>44551</v>
      </c>
      <c r="Q786" s="4" t="s">
        <v>1642</v>
      </c>
      <c r="R786" s="5">
        <f>DATE(2020,6,10)</f>
        <v>43992</v>
      </c>
    </row>
    <row r="787" spans="1:22" ht="55.05" customHeight="1" x14ac:dyDescent="0.3">
      <c r="A787" s="4" t="s">
        <v>2095</v>
      </c>
      <c r="B787" s="4" t="s">
        <v>119</v>
      </c>
      <c r="C787" s="4" t="s">
        <v>468</v>
      </c>
      <c r="D787" s="4" t="s">
        <v>20</v>
      </c>
      <c r="E787" s="4" t="s">
        <v>1669</v>
      </c>
      <c r="F787" s="4" t="s">
        <v>22</v>
      </c>
      <c r="G787" s="4" t="s">
        <v>2629</v>
      </c>
      <c r="H787" s="4" t="s">
        <v>24</v>
      </c>
      <c r="I787" s="4" t="s">
        <v>25</v>
      </c>
      <c r="K787" s="4" t="s">
        <v>26</v>
      </c>
      <c r="L787" s="4" t="s">
        <v>2630</v>
      </c>
      <c r="M787" s="4" t="s">
        <v>25</v>
      </c>
      <c r="N787" s="5">
        <f>DATE(2023,12,20)</f>
        <v>45280</v>
      </c>
      <c r="O787" s="4" t="s">
        <v>2114</v>
      </c>
      <c r="P787" s="5">
        <f t="shared" si="19"/>
        <v>44551</v>
      </c>
      <c r="Q787" s="4" t="s">
        <v>1642</v>
      </c>
      <c r="R787" s="5">
        <f>DATE(2020,6,10)</f>
        <v>43992</v>
      </c>
    </row>
    <row r="788" spans="1:22" ht="55.05" customHeight="1" x14ac:dyDescent="0.3">
      <c r="A788" s="4" t="s">
        <v>2095</v>
      </c>
      <c r="B788" s="4" t="s">
        <v>119</v>
      </c>
      <c r="C788" s="4" t="s">
        <v>120</v>
      </c>
      <c r="D788" s="4" t="s">
        <v>20</v>
      </c>
      <c r="E788" s="4" t="s">
        <v>473</v>
      </c>
      <c r="F788" s="4" t="s">
        <v>122</v>
      </c>
      <c r="G788" s="4" t="s">
        <v>2631</v>
      </c>
      <c r="H788" s="4" t="s">
        <v>24</v>
      </c>
      <c r="I788" s="4" t="s">
        <v>25</v>
      </c>
      <c r="K788" s="4" t="s">
        <v>26</v>
      </c>
      <c r="L788" s="4" t="s">
        <v>2632</v>
      </c>
      <c r="O788" s="4" t="s">
        <v>2114</v>
      </c>
      <c r="P788" s="5">
        <f t="shared" si="19"/>
        <v>44551</v>
      </c>
      <c r="Q788" s="4" t="s">
        <v>2115</v>
      </c>
      <c r="R788" s="5">
        <f>DATE(2021,3,9)</f>
        <v>44264</v>
      </c>
    </row>
    <row r="789" spans="1:22" ht="55.05" customHeight="1" x14ac:dyDescent="0.3">
      <c r="A789" s="4" t="s">
        <v>2095</v>
      </c>
      <c r="B789" s="4" t="s">
        <v>119</v>
      </c>
      <c r="C789" s="4" t="s">
        <v>120</v>
      </c>
      <c r="D789" s="4" t="s">
        <v>20</v>
      </c>
      <c r="E789" s="4" t="s">
        <v>473</v>
      </c>
      <c r="F789" s="4" t="s">
        <v>122</v>
      </c>
      <c r="G789" s="4" t="s">
        <v>2633</v>
      </c>
      <c r="H789" s="4" t="s">
        <v>24</v>
      </c>
      <c r="I789" s="4" t="s">
        <v>25</v>
      </c>
      <c r="K789" s="4" t="s">
        <v>26</v>
      </c>
      <c r="L789" s="4" t="s">
        <v>2634</v>
      </c>
      <c r="O789" s="4" t="s">
        <v>2635</v>
      </c>
      <c r="P789" s="5">
        <f>DATE(2022,3,29)</f>
        <v>44649</v>
      </c>
      <c r="Q789" s="4" t="s">
        <v>2114</v>
      </c>
      <c r="R789" s="5">
        <f>DATE(2021,12,21)</f>
        <v>44551</v>
      </c>
      <c r="S789" s="4" t="s">
        <v>2636</v>
      </c>
      <c r="T789" s="5">
        <f>DATE(2021,3,16)</f>
        <v>44271</v>
      </c>
    </row>
    <row r="790" spans="1:22" ht="55.05" customHeight="1" x14ac:dyDescent="0.3">
      <c r="A790" s="4" t="s">
        <v>2095</v>
      </c>
      <c r="B790" s="4" t="s">
        <v>119</v>
      </c>
      <c r="C790" s="4" t="s">
        <v>120</v>
      </c>
      <c r="D790" s="4" t="s">
        <v>20</v>
      </c>
      <c r="E790" s="4" t="s">
        <v>473</v>
      </c>
      <c r="F790" s="4" t="s">
        <v>122</v>
      </c>
      <c r="G790" s="4" t="s">
        <v>2637</v>
      </c>
      <c r="H790" s="4" t="s">
        <v>24</v>
      </c>
      <c r="I790" s="4" t="s">
        <v>25</v>
      </c>
      <c r="K790" s="4" t="s">
        <v>26</v>
      </c>
      <c r="L790" s="4" t="s">
        <v>2638</v>
      </c>
      <c r="O790" s="4" t="s">
        <v>2114</v>
      </c>
      <c r="P790" s="5">
        <f>DATE(2021,12,21)</f>
        <v>44551</v>
      </c>
      <c r="Q790" s="4" t="s">
        <v>2115</v>
      </c>
      <c r="R790" s="5">
        <f>DATE(2021,3,9)</f>
        <v>44264</v>
      </c>
    </row>
    <row r="791" spans="1:22" ht="55.05" customHeight="1" x14ac:dyDescent="0.3">
      <c r="A791" s="4" t="s">
        <v>2095</v>
      </c>
      <c r="B791" s="4" t="s">
        <v>119</v>
      </c>
      <c r="C791" s="4" t="s">
        <v>120</v>
      </c>
      <c r="D791" s="4" t="s">
        <v>20</v>
      </c>
      <c r="E791" s="4" t="s">
        <v>121</v>
      </c>
      <c r="F791" s="4" t="s">
        <v>122</v>
      </c>
      <c r="G791" s="4" t="s">
        <v>2639</v>
      </c>
      <c r="H791" s="4" t="s">
        <v>24</v>
      </c>
      <c r="I791" s="4" t="s">
        <v>25</v>
      </c>
      <c r="K791" s="4" t="s">
        <v>26</v>
      </c>
      <c r="L791" s="4" t="s">
        <v>2640</v>
      </c>
      <c r="O791" s="4" t="s">
        <v>2283</v>
      </c>
      <c r="P791" s="5">
        <f>DATE(2022,6,28)</f>
        <v>44740</v>
      </c>
      <c r="Q791" s="4" t="s">
        <v>2114</v>
      </c>
      <c r="R791" s="5">
        <f>DATE(2021,12,21)</f>
        <v>44551</v>
      </c>
      <c r="S791" s="4" t="s">
        <v>2641</v>
      </c>
      <c r="T791" s="5">
        <f>DATE(2021,9,15)</f>
        <v>44454</v>
      </c>
    </row>
    <row r="792" spans="1:22" ht="55.05" customHeight="1" x14ac:dyDescent="0.3">
      <c r="A792" s="4" t="s">
        <v>2095</v>
      </c>
      <c r="B792" s="4" t="s">
        <v>119</v>
      </c>
      <c r="C792" s="4" t="s">
        <v>120</v>
      </c>
      <c r="D792" s="4" t="s">
        <v>20</v>
      </c>
      <c r="E792" s="4" t="s">
        <v>121</v>
      </c>
      <c r="F792" s="4" t="s">
        <v>122</v>
      </c>
      <c r="G792" s="4" t="s">
        <v>2642</v>
      </c>
      <c r="H792" s="4" t="s">
        <v>24</v>
      </c>
      <c r="I792" s="4" t="s">
        <v>25</v>
      </c>
      <c r="K792" s="4" t="s">
        <v>26</v>
      </c>
      <c r="L792" s="4" t="s">
        <v>2643</v>
      </c>
      <c r="O792" s="4" t="s">
        <v>2114</v>
      </c>
      <c r="P792" s="5">
        <f>DATE(2021,12,21)</f>
        <v>44551</v>
      </c>
      <c r="Q792" s="4" t="s">
        <v>2115</v>
      </c>
      <c r="R792" s="5">
        <f>DATE(2021,3,9)</f>
        <v>44264</v>
      </c>
    </row>
    <row r="793" spans="1:22" ht="55.05" customHeight="1" x14ac:dyDescent="0.3">
      <c r="A793" s="4" t="s">
        <v>2095</v>
      </c>
      <c r="B793" s="4" t="s">
        <v>119</v>
      </c>
      <c r="C793" s="4" t="s">
        <v>120</v>
      </c>
      <c r="D793" s="4" t="s">
        <v>20</v>
      </c>
      <c r="E793" s="4" t="s">
        <v>2644</v>
      </c>
      <c r="F793" s="4" t="s">
        <v>122</v>
      </c>
      <c r="G793" s="4" t="s">
        <v>2645</v>
      </c>
      <c r="H793" s="4" t="s">
        <v>24</v>
      </c>
      <c r="I793" s="4" t="s">
        <v>25</v>
      </c>
      <c r="K793" s="4" t="s">
        <v>26</v>
      </c>
      <c r="L793" s="4" t="s">
        <v>2646</v>
      </c>
      <c r="O793" s="4" t="s">
        <v>2114</v>
      </c>
      <c r="P793" s="5">
        <f>DATE(2021,12,21)</f>
        <v>44551</v>
      </c>
      <c r="Q793" s="4" t="s">
        <v>2327</v>
      </c>
      <c r="R793" s="5">
        <f>DATE(2020,3,10)</f>
        <v>43900</v>
      </c>
    </row>
    <row r="794" spans="1:22" ht="55.05" customHeight="1" x14ac:dyDescent="0.3">
      <c r="A794" s="4" t="s">
        <v>2095</v>
      </c>
      <c r="B794" s="4" t="s">
        <v>119</v>
      </c>
      <c r="C794" s="4" t="s">
        <v>120</v>
      </c>
      <c r="D794" s="4" t="s">
        <v>20</v>
      </c>
      <c r="E794" s="4" t="s">
        <v>2647</v>
      </c>
      <c r="F794" s="4" t="s">
        <v>122</v>
      </c>
      <c r="G794" s="4" t="s">
        <v>2648</v>
      </c>
      <c r="H794" s="4" t="s">
        <v>24</v>
      </c>
      <c r="I794" s="4" t="s">
        <v>25</v>
      </c>
      <c r="K794" s="4" t="s">
        <v>26</v>
      </c>
      <c r="L794" s="4" t="s">
        <v>2649</v>
      </c>
      <c r="O794" s="4" t="s">
        <v>2650</v>
      </c>
      <c r="P794" s="5">
        <f>DATE(2022,11,22)</f>
        <v>44887</v>
      </c>
      <c r="Q794" s="4" t="s">
        <v>2283</v>
      </c>
      <c r="R794" s="5">
        <f>DATE(2022,6,28)</f>
        <v>44740</v>
      </c>
      <c r="S794" s="4" t="s">
        <v>2114</v>
      </c>
      <c r="T794" s="5">
        <f>DATE(2021,12,21)</f>
        <v>44551</v>
      </c>
      <c r="U794" s="4" t="s">
        <v>2651</v>
      </c>
      <c r="V794" s="5">
        <f>DATE(2021,10,6)</f>
        <v>44475</v>
      </c>
    </row>
    <row r="795" spans="1:22" ht="55.05" customHeight="1" x14ac:dyDescent="0.3">
      <c r="A795" s="4" t="s">
        <v>2095</v>
      </c>
      <c r="B795" s="4" t="s">
        <v>119</v>
      </c>
      <c r="C795" s="4" t="s">
        <v>120</v>
      </c>
      <c r="D795" s="4" t="s">
        <v>20</v>
      </c>
      <c r="E795" s="4" t="s">
        <v>480</v>
      </c>
      <c r="F795" s="4" t="s">
        <v>122</v>
      </c>
      <c r="G795" s="4" t="s">
        <v>2652</v>
      </c>
      <c r="H795" s="4" t="s">
        <v>24</v>
      </c>
      <c r="I795" s="4" t="s">
        <v>25</v>
      </c>
      <c r="K795" s="4" t="s">
        <v>26</v>
      </c>
      <c r="L795" s="4" t="s">
        <v>2653</v>
      </c>
      <c r="M795" s="4" t="s">
        <v>483</v>
      </c>
      <c r="N795" s="5">
        <f>DATE(2022,3,8)</f>
        <v>44628</v>
      </c>
      <c r="O795" s="4" t="s">
        <v>484</v>
      </c>
      <c r="P795" s="5">
        <f>DATE(2022,6,28)</f>
        <v>44740</v>
      </c>
      <c r="Q795" s="4" t="s">
        <v>2114</v>
      </c>
      <c r="R795" s="5">
        <f>DATE(2021,12,21)</f>
        <v>44551</v>
      </c>
      <c r="S795" s="4" t="s">
        <v>2115</v>
      </c>
      <c r="T795" s="5">
        <f>DATE(2021,3,9)</f>
        <v>44264</v>
      </c>
    </row>
    <row r="796" spans="1:22" ht="55.05" customHeight="1" x14ac:dyDescent="0.3">
      <c r="A796" s="4" t="s">
        <v>2095</v>
      </c>
      <c r="B796" s="4" t="s">
        <v>119</v>
      </c>
      <c r="C796" s="4" t="s">
        <v>120</v>
      </c>
      <c r="D796" s="4" t="s">
        <v>20</v>
      </c>
      <c r="E796" s="4" t="s">
        <v>480</v>
      </c>
      <c r="F796" s="4" t="s">
        <v>122</v>
      </c>
      <c r="G796" s="4" t="s">
        <v>2654</v>
      </c>
      <c r="H796" s="4" t="s">
        <v>24</v>
      </c>
      <c r="I796" s="4" t="s">
        <v>25</v>
      </c>
      <c r="K796" s="4" t="s">
        <v>26</v>
      </c>
      <c r="L796" s="4" t="s">
        <v>2655</v>
      </c>
      <c r="M796" s="4" t="s">
        <v>483</v>
      </c>
      <c r="N796" s="5">
        <f>DATE(2022,3,8)</f>
        <v>44628</v>
      </c>
      <c r="O796" s="4" t="s">
        <v>2114</v>
      </c>
      <c r="P796" s="5">
        <f>DATE(2021,12,21)</f>
        <v>44551</v>
      </c>
      <c r="Q796" s="4" t="s">
        <v>2115</v>
      </c>
      <c r="R796" s="5">
        <f>DATE(2021,3,9)</f>
        <v>44264</v>
      </c>
    </row>
    <row r="797" spans="1:22" ht="55.05" customHeight="1" x14ac:dyDescent="0.3">
      <c r="A797" s="4" t="s">
        <v>2095</v>
      </c>
      <c r="B797" s="4" t="s">
        <v>119</v>
      </c>
      <c r="C797" s="4" t="s">
        <v>120</v>
      </c>
      <c r="D797" s="4" t="s">
        <v>20</v>
      </c>
      <c r="E797" s="4" t="s">
        <v>480</v>
      </c>
      <c r="F797" s="4" t="s">
        <v>122</v>
      </c>
      <c r="G797" s="4" t="s">
        <v>2656</v>
      </c>
      <c r="H797" s="4" t="s">
        <v>24</v>
      </c>
      <c r="I797" s="4" t="s">
        <v>25</v>
      </c>
      <c r="K797" s="4" t="s">
        <v>26</v>
      </c>
      <c r="L797" s="4" t="s">
        <v>2657</v>
      </c>
      <c r="M797" s="4" t="s">
        <v>483</v>
      </c>
      <c r="N797" s="5">
        <f>DATE(2022,3,8)</f>
        <v>44628</v>
      </c>
      <c r="O797" s="4" t="s">
        <v>2114</v>
      </c>
      <c r="P797" s="5">
        <f>DATE(2021,12,21)</f>
        <v>44551</v>
      </c>
      <c r="Q797" s="4" t="s">
        <v>2115</v>
      </c>
      <c r="R797" s="5">
        <f>DATE(2021,3,9)</f>
        <v>44264</v>
      </c>
    </row>
    <row r="798" spans="1:22" ht="55.05" customHeight="1" x14ac:dyDescent="0.3">
      <c r="A798" s="4" t="s">
        <v>2095</v>
      </c>
      <c r="B798" s="4" t="s">
        <v>119</v>
      </c>
      <c r="C798" s="4" t="s">
        <v>126</v>
      </c>
      <c r="D798" s="4" t="s">
        <v>20</v>
      </c>
      <c r="E798" s="4" t="s">
        <v>2658</v>
      </c>
      <c r="F798" s="4" t="s">
        <v>122</v>
      </c>
      <c r="G798" s="4" t="s">
        <v>2659</v>
      </c>
      <c r="H798" s="4" t="s">
        <v>24</v>
      </c>
      <c r="I798" s="4" t="s">
        <v>25</v>
      </c>
      <c r="K798" s="4" t="s">
        <v>26</v>
      </c>
      <c r="L798" s="4" t="s">
        <v>2660</v>
      </c>
      <c r="O798" s="4" t="s">
        <v>2114</v>
      </c>
      <c r="P798" s="5">
        <f>DATE(2021,12,21)</f>
        <v>44551</v>
      </c>
      <c r="Q798" s="4" t="s">
        <v>2327</v>
      </c>
      <c r="R798" s="5">
        <f>DATE(2020,3,10)</f>
        <v>43900</v>
      </c>
    </row>
    <row r="799" spans="1:22" ht="55.05" customHeight="1" x14ac:dyDescent="0.3">
      <c r="A799" s="4" t="s">
        <v>2095</v>
      </c>
      <c r="B799" s="4" t="s">
        <v>119</v>
      </c>
      <c r="C799" s="4" t="s">
        <v>126</v>
      </c>
      <c r="D799" s="4" t="s">
        <v>20</v>
      </c>
      <c r="E799" s="4" t="s">
        <v>1701</v>
      </c>
      <c r="F799" s="4" t="s">
        <v>122</v>
      </c>
      <c r="G799" s="4" t="s">
        <v>2661</v>
      </c>
      <c r="H799" s="4" t="s">
        <v>24</v>
      </c>
      <c r="I799" s="4" t="s">
        <v>25</v>
      </c>
      <c r="K799" s="4" t="s">
        <v>26</v>
      </c>
      <c r="L799" s="4" t="s">
        <v>2662</v>
      </c>
      <c r="O799" s="4" t="s">
        <v>2114</v>
      </c>
      <c r="P799" s="5">
        <f>DATE(2021,12,21)</f>
        <v>44551</v>
      </c>
      <c r="Q799" s="4" t="s">
        <v>2115</v>
      </c>
      <c r="R799" s="5">
        <f>DATE(2021,3,9)</f>
        <v>44264</v>
      </c>
    </row>
    <row r="800" spans="1:22" ht="55.05" customHeight="1" x14ac:dyDescent="0.3">
      <c r="A800" s="4" t="s">
        <v>2095</v>
      </c>
      <c r="B800" s="4" t="s">
        <v>119</v>
      </c>
      <c r="C800" s="4" t="s">
        <v>126</v>
      </c>
      <c r="D800" s="4" t="s">
        <v>20</v>
      </c>
      <c r="E800" s="4" t="s">
        <v>1701</v>
      </c>
      <c r="F800" s="4" t="s">
        <v>122</v>
      </c>
      <c r="G800" s="4" t="s">
        <v>2663</v>
      </c>
      <c r="H800" s="4" t="s">
        <v>24</v>
      </c>
      <c r="I800" s="4" t="s">
        <v>25</v>
      </c>
      <c r="K800" s="4" t="s">
        <v>26</v>
      </c>
      <c r="L800" s="4" t="s">
        <v>2664</v>
      </c>
      <c r="O800" s="4" t="s">
        <v>2665</v>
      </c>
      <c r="P800" s="5">
        <f>DATE(2023,8,3)</f>
        <v>45141</v>
      </c>
      <c r="Q800" s="4" t="s">
        <v>2114</v>
      </c>
      <c r="R800" s="5">
        <f>DATE(2021,12,21)</f>
        <v>44551</v>
      </c>
      <c r="S800" s="4" t="s">
        <v>2115</v>
      </c>
      <c r="T800" s="5">
        <f>DATE(2021,3,9)</f>
        <v>44264</v>
      </c>
    </row>
    <row r="801" spans="1:24" ht="55.05" customHeight="1" x14ac:dyDescent="0.3">
      <c r="A801" s="4" t="s">
        <v>2095</v>
      </c>
      <c r="B801" s="4" t="s">
        <v>119</v>
      </c>
      <c r="C801" s="4" t="s">
        <v>126</v>
      </c>
      <c r="D801" s="4" t="s">
        <v>20</v>
      </c>
      <c r="E801" s="4" t="s">
        <v>1715</v>
      </c>
      <c r="F801" s="4" t="s">
        <v>122</v>
      </c>
      <c r="G801" s="4" t="s">
        <v>2666</v>
      </c>
      <c r="H801" s="4" t="s">
        <v>24</v>
      </c>
      <c r="I801" s="4" t="s">
        <v>25</v>
      </c>
      <c r="K801" s="4" t="s">
        <v>26</v>
      </c>
      <c r="L801" s="4" t="s">
        <v>2667</v>
      </c>
      <c r="O801" s="4" t="s">
        <v>2114</v>
      </c>
      <c r="P801" s="5">
        <f>DATE(2021,12,21)</f>
        <v>44551</v>
      </c>
    </row>
    <row r="802" spans="1:24" ht="55.05" customHeight="1" x14ac:dyDescent="0.3">
      <c r="A802" s="4" t="s">
        <v>2095</v>
      </c>
      <c r="B802" s="4" t="s">
        <v>119</v>
      </c>
      <c r="C802" s="4" t="s">
        <v>126</v>
      </c>
      <c r="D802" s="4" t="s">
        <v>20</v>
      </c>
      <c r="E802" s="4" t="s">
        <v>1715</v>
      </c>
      <c r="F802" s="4" t="s">
        <v>122</v>
      </c>
      <c r="G802" s="4" t="s">
        <v>2668</v>
      </c>
      <c r="H802" s="4" t="s">
        <v>24</v>
      </c>
      <c r="I802" s="4" t="s">
        <v>25</v>
      </c>
      <c r="K802" s="4" t="s">
        <v>26</v>
      </c>
      <c r="L802" s="4" t="s">
        <v>2669</v>
      </c>
      <c r="O802" s="4" t="s">
        <v>2114</v>
      </c>
      <c r="P802" s="5">
        <f>DATE(2021,12,21)</f>
        <v>44551</v>
      </c>
      <c r="Q802" s="4" t="s">
        <v>2115</v>
      </c>
      <c r="R802" s="5">
        <f>DATE(2021,3,9)</f>
        <v>44264</v>
      </c>
    </row>
    <row r="803" spans="1:24" ht="55.05" customHeight="1" x14ac:dyDescent="0.3">
      <c r="A803" s="4" t="s">
        <v>2095</v>
      </c>
      <c r="B803" s="4" t="s">
        <v>119</v>
      </c>
      <c r="C803" s="4" t="s">
        <v>126</v>
      </c>
      <c r="D803" s="4" t="s">
        <v>20</v>
      </c>
      <c r="E803" s="4" t="s">
        <v>1715</v>
      </c>
      <c r="F803" s="4" t="s">
        <v>122</v>
      </c>
      <c r="G803" s="4" t="s">
        <v>2670</v>
      </c>
      <c r="H803" s="4" t="s">
        <v>24</v>
      </c>
      <c r="I803" s="4" t="s">
        <v>25</v>
      </c>
      <c r="K803" s="4" t="s">
        <v>26</v>
      </c>
      <c r="L803" s="4" t="s">
        <v>2671</v>
      </c>
      <c r="O803" s="4" t="s">
        <v>2114</v>
      </c>
      <c r="P803" s="5">
        <f>DATE(2021,12,21)</f>
        <v>44551</v>
      </c>
      <c r="Q803" s="4" t="s">
        <v>2115</v>
      </c>
      <c r="R803" s="5">
        <f>DATE(2021,3,9)</f>
        <v>44264</v>
      </c>
    </row>
    <row r="804" spans="1:24" ht="55.05" customHeight="1" x14ac:dyDescent="0.3">
      <c r="A804" s="4" t="s">
        <v>2095</v>
      </c>
      <c r="B804" s="4" t="s">
        <v>119</v>
      </c>
      <c r="C804" s="4" t="s">
        <v>126</v>
      </c>
      <c r="D804" s="4" t="s">
        <v>20</v>
      </c>
      <c r="E804" s="4" t="s">
        <v>1715</v>
      </c>
      <c r="F804" s="4" t="s">
        <v>122</v>
      </c>
      <c r="G804" s="4" t="s">
        <v>2672</v>
      </c>
      <c r="H804" s="4" t="s">
        <v>24</v>
      </c>
      <c r="I804" s="4" t="s">
        <v>25</v>
      </c>
      <c r="K804" s="4" t="s">
        <v>26</v>
      </c>
      <c r="L804" s="4" t="s">
        <v>2673</v>
      </c>
      <c r="O804" s="4" t="s">
        <v>2114</v>
      </c>
      <c r="P804" s="5">
        <f>DATE(2021,12,21)</f>
        <v>44551</v>
      </c>
      <c r="Q804" s="4" t="s">
        <v>2115</v>
      </c>
      <c r="R804" s="5">
        <f>DATE(2021,3,9)</f>
        <v>44264</v>
      </c>
    </row>
    <row r="805" spans="1:24" ht="55.05" customHeight="1" x14ac:dyDescent="0.3">
      <c r="A805" s="4" t="s">
        <v>2095</v>
      </c>
      <c r="B805" s="4" t="s">
        <v>119</v>
      </c>
      <c r="C805" s="4" t="s">
        <v>126</v>
      </c>
      <c r="D805" s="4" t="s">
        <v>20</v>
      </c>
      <c r="E805" s="4" t="s">
        <v>1715</v>
      </c>
      <c r="F805" s="4" t="s">
        <v>122</v>
      </c>
      <c r="G805" s="4" t="s">
        <v>2674</v>
      </c>
      <c r="H805" s="4" t="s">
        <v>24</v>
      </c>
      <c r="I805" s="4" t="s">
        <v>25</v>
      </c>
      <c r="K805" s="4" t="s">
        <v>26</v>
      </c>
      <c r="L805" s="4" t="s">
        <v>2675</v>
      </c>
      <c r="O805" s="4" t="s">
        <v>2114</v>
      </c>
      <c r="P805" s="5">
        <f>DATE(2021,12,21)</f>
        <v>44551</v>
      </c>
      <c r="Q805" s="4" t="s">
        <v>2115</v>
      </c>
      <c r="R805" s="5">
        <f>DATE(2021,3,9)</f>
        <v>44264</v>
      </c>
    </row>
    <row r="806" spans="1:24" ht="55.05" customHeight="1" x14ac:dyDescent="0.3">
      <c r="A806" s="4" t="s">
        <v>2095</v>
      </c>
      <c r="B806" s="4" t="s">
        <v>119</v>
      </c>
      <c r="C806" s="4" t="s">
        <v>126</v>
      </c>
      <c r="D806" s="4" t="s">
        <v>2676</v>
      </c>
      <c r="E806" s="4" t="s">
        <v>2677</v>
      </c>
      <c r="F806" s="4" t="s">
        <v>122</v>
      </c>
      <c r="G806" s="4" t="s">
        <v>2678</v>
      </c>
      <c r="H806" s="4" t="s">
        <v>24</v>
      </c>
      <c r="I806" s="4" t="s">
        <v>25</v>
      </c>
      <c r="K806" s="4" t="s">
        <v>26</v>
      </c>
      <c r="L806" s="4" t="s">
        <v>2679</v>
      </c>
      <c r="O806" s="4" t="s">
        <v>2680</v>
      </c>
      <c r="P806" s="5">
        <f>DATE(2023,4,21)</f>
        <v>45037</v>
      </c>
      <c r="Q806" s="4" t="s">
        <v>2114</v>
      </c>
      <c r="R806" s="5">
        <f>DATE(2021,12,21)</f>
        <v>44551</v>
      </c>
      <c r="S806" s="4" t="s">
        <v>2115</v>
      </c>
      <c r="T806" s="5">
        <f>DATE(2021,3,9)</f>
        <v>44264</v>
      </c>
    </row>
    <row r="807" spans="1:24" ht="55.05" customHeight="1" x14ac:dyDescent="0.3">
      <c r="A807" s="4" t="s">
        <v>2095</v>
      </c>
      <c r="B807" s="4" t="s">
        <v>119</v>
      </c>
      <c r="C807" s="4" t="s">
        <v>126</v>
      </c>
      <c r="D807" s="4" t="s">
        <v>2676</v>
      </c>
      <c r="E807" s="4" t="s">
        <v>2681</v>
      </c>
      <c r="F807" s="4" t="s">
        <v>122</v>
      </c>
      <c r="G807" s="4" t="s">
        <v>2682</v>
      </c>
      <c r="H807" s="4" t="s">
        <v>24</v>
      </c>
      <c r="I807" s="4" t="s">
        <v>25</v>
      </c>
      <c r="K807" s="4" t="s">
        <v>26</v>
      </c>
      <c r="L807" s="4" t="s">
        <v>2683</v>
      </c>
      <c r="O807" s="4" t="s">
        <v>2680</v>
      </c>
      <c r="P807" s="5">
        <f>DATE(2023,4,21)</f>
        <v>45037</v>
      </c>
      <c r="Q807" s="4" t="s">
        <v>2114</v>
      </c>
      <c r="R807" s="5">
        <f>DATE(2021,12,21)</f>
        <v>44551</v>
      </c>
      <c r="S807" s="4" t="s">
        <v>2115</v>
      </c>
      <c r="T807" s="5">
        <f>DATE(2021,3,9)</f>
        <v>44264</v>
      </c>
    </row>
    <row r="808" spans="1:24" ht="55.05" customHeight="1" x14ac:dyDescent="0.3">
      <c r="A808" s="4" t="s">
        <v>2095</v>
      </c>
      <c r="B808" s="4" t="s">
        <v>119</v>
      </c>
      <c r="C808" s="4" t="s">
        <v>126</v>
      </c>
      <c r="D808" s="4" t="s">
        <v>2676</v>
      </c>
      <c r="E808" s="4" t="s">
        <v>2681</v>
      </c>
      <c r="F808" s="4" t="s">
        <v>122</v>
      </c>
      <c r="G808" s="4" t="s">
        <v>2684</v>
      </c>
      <c r="H808" s="4" t="s">
        <v>24</v>
      </c>
      <c r="I808" s="4" t="s">
        <v>25</v>
      </c>
      <c r="K808" s="4" t="s">
        <v>26</v>
      </c>
      <c r="L808" s="4" t="s">
        <v>2685</v>
      </c>
      <c r="O808" s="4" t="s">
        <v>2680</v>
      </c>
      <c r="P808" s="5">
        <f>DATE(2023,4,21)</f>
        <v>45037</v>
      </c>
      <c r="Q808" s="4" t="s">
        <v>2114</v>
      </c>
      <c r="R808" s="5">
        <f>DATE(2021,12,21)</f>
        <v>44551</v>
      </c>
      <c r="S808" s="4" t="s">
        <v>2115</v>
      </c>
      <c r="T808" s="5">
        <f>DATE(2021,3,9)</f>
        <v>44264</v>
      </c>
    </row>
    <row r="809" spans="1:24" ht="55.05" customHeight="1" x14ac:dyDescent="0.3">
      <c r="A809" s="4" t="s">
        <v>2095</v>
      </c>
      <c r="B809" s="4" t="s">
        <v>119</v>
      </c>
      <c r="C809" s="4" t="s">
        <v>126</v>
      </c>
      <c r="D809" s="4" t="s">
        <v>2676</v>
      </c>
      <c r="E809" s="4" t="s">
        <v>2686</v>
      </c>
      <c r="F809" s="4" t="s">
        <v>122</v>
      </c>
      <c r="G809" s="4" t="s">
        <v>2687</v>
      </c>
      <c r="H809" s="4" t="s">
        <v>24</v>
      </c>
      <c r="I809" s="4" t="s">
        <v>25</v>
      </c>
      <c r="K809" s="4" t="s">
        <v>26</v>
      </c>
      <c r="L809" s="4" t="s">
        <v>2688</v>
      </c>
      <c r="O809" s="4" t="s">
        <v>2680</v>
      </c>
      <c r="P809" s="5">
        <f>DATE(2023,4,21)</f>
        <v>45037</v>
      </c>
      <c r="Q809" s="4" t="s">
        <v>2114</v>
      </c>
      <c r="R809" s="5">
        <f>DATE(2021,12,21)</f>
        <v>44551</v>
      </c>
      <c r="S809" s="4" t="s">
        <v>2115</v>
      </c>
      <c r="T809" s="5">
        <f>DATE(2021,3,9)</f>
        <v>44264</v>
      </c>
    </row>
    <row r="810" spans="1:24" ht="55.05" customHeight="1" x14ac:dyDescent="0.3">
      <c r="A810" s="4" t="s">
        <v>2095</v>
      </c>
      <c r="B810" s="4" t="s">
        <v>119</v>
      </c>
      <c r="C810" s="4" t="s">
        <v>126</v>
      </c>
      <c r="D810" s="4" t="s">
        <v>127</v>
      </c>
      <c r="E810" s="4" t="s">
        <v>128</v>
      </c>
      <c r="F810" s="4" t="s">
        <v>122</v>
      </c>
      <c r="G810" s="4" t="s">
        <v>2689</v>
      </c>
      <c r="H810" s="4" t="s">
        <v>32</v>
      </c>
      <c r="I810" s="4" t="s">
        <v>130</v>
      </c>
      <c r="J810" s="5">
        <f>DATE(2023,4,21)</f>
        <v>45037</v>
      </c>
      <c r="K810" s="4" t="s">
        <v>26</v>
      </c>
      <c r="L810" s="4" t="s">
        <v>2690</v>
      </c>
      <c r="O810" s="4" t="s">
        <v>2680</v>
      </c>
      <c r="P810" s="5">
        <f>DATE(2023,4,21)</f>
        <v>45037</v>
      </c>
      <c r="Q810" s="4" t="s">
        <v>2680</v>
      </c>
      <c r="R810" s="5">
        <f>DATE(2023,4,21)</f>
        <v>45037</v>
      </c>
      <c r="S810" s="4" t="s">
        <v>2114</v>
      </c>
      <c r="T810" s="5">
        <f>DATE(2021,12,21)</f>
        <v>44551</v>
      </c>
      <c r="U810" s="4" t="s">
        <v>2115</v>
      </c>
      <c r="V810" s="5">
        <f>DATE(2021,3,9)</f>
        <v>44264</v>
      </c>
    </row>
    <row r="811" spans="1:24" ht="55.05" customHeight="1" x14ac:dyDescent="0.3">
      <c r="A811" s="4" t="s">
        <v>2095</v>
      </c>
      <c r="B811" s="4" t="s">
        <v>119</v>
      </c>
      <c r="C811" s="4" t="s">
        <v>137</v>
      </c>
      <c r="D811" s="4" t="s">
        <v>20</v>
      </c>
      <c r="E811" s="4" t="s">
        <v>2691</v>
      </c>
      <c r="F811" s="4" t="s">
        <v>22</v>
      </c>
      <c r="G811" s="4" t="s">
        <v>2692</v>
      </c>
      <c r="H811" s="4" t="s">
        <v>24</v>
      </c>
      <c r="I811" s="4" t="s">
        <v>25</v>
      </c>
      <c r="K811" s="4" t="s">
        <v>26</v>
      </c>
      <c r="L811" s="4" t="s">
        <v>2693</v>
      </c>
      <c r="O811" s="4" t="s">
        <v>1031</v>
      </c>
      <c r="P811" s="5">
        <f t="shared" ref="P811:P817" si="20">DATE(2023,3,28)</f>
        <v>45013</v>
      </c>
      <c r="Q811" s="4" t="s">
        <v>2114</v>
      </c>
      <c r="R811" s="5">
        <f>DATE(2021,12,21)</f>
        <v>44551</v>
      </c>
      <c r="S811" s="4" t="s">
        <v>2302</v>
      </c>
      <c r="T811" s="5">
        <f>DATE(2021,3,30)</f>
        <v>44285</v>
      </c>
    </row>
    <row r="812" spans="1:24" ht="55.05" customHeight="1" x14ac:dyDescent="0.3">
      <c r="A812" s="4" t="s">
        <v>2095</v>
      </c>
      <c r="B812" s="4" t="s">
        <v>119</v>
      </c>
      <c r="C812" s="4" t="s">
        <v>137</v>
      </c>
      <c r="D812" s="4" t="s">
        <v>20</v>
      </c>
      <c r="E812" s="4" t="s">
        <v>2694</v>
      </c>
      <c r="F812" s="4" t="s">
        <v>22</v>
      </c>
      <c r="G812" s="4" t="s">
        <v>2695</v>
      </c>
      <c r="H812" s="4" t="s">
        <v>24</v>
      </c>
      <c r="I812" s="4" t="s">
        <v>25</v>
      </c>
      <c r="K812" s="4" t="s">
        <v>26</v>
      </c>
      <c r="L812" s="4" t="s">
        <v>2696</v>
      </c>
      <c r="O812" s="4" t="s">
        <v>1031</v>
      </c>
      <c r="P812" s="5">
        <f t="shared" si="20"/>
        <v>45013</v>
      </c>
      <c r="Q812" s="4" t="s">
        <v>2697</v>
      </c>
      <c r="R812" s="5">
        <f>DATE(2022,8,31)</f>
        <v>44804</v>
      </c>
      <c r="S812" s="4" t="s">
        <v>2114</v>
      </c>
      <c r="T812" s="5">
        <f>DATE(2021,12,21)</f>
        <v>44551</v>
      </c>
      <c r="U812" s="4" t="s">
        <v>2265</v>
      </c>
      <c r="V812" s="5">
        <f>DATE(2021,5,11)</f>
        <v>44327</v>
      </c>
    </row>
    <row r="813" spans="1:24" ht="55.05" customHeight="1" x14ac:dyDescent="0.3">
      <c r="A813" s="4" t="s">
        <v>2095</v>
      </c>
      <c r="B813" s="4" t="s">
        <v>119</v>
      </c>
      <c r="C813" s="4" t="s">
        <v>137</v>
      </c>
      <c r="D813" s="4" t="s">
        <v>20</v>
      </c>
      <c r="E813" s="4" t="s">
        <v>138</v>
      </c>
      <c r="F813" s="4" t="s">
        <v>22</v>
      </c>
      <c r="G813" s="4" t="s">
        <v>2698</v>
      </c>
      <c r="H813" s="4" t="s">
        <v>24</v>
      </c>
      <c r="I813" s="4" t="s">
        <v>25</v>
      </c>
      <c r="K813" s="4" t="s">
        <v>26</v>
      </c>
      <c r="L813" s="4" t="s">
        <v>2699</v>
      </c>
      <c r="O813" s="4" t="s">
        <v>1031</v>
      </c>
      <c r="P813" s="5">
        <f t="shared" si="20"/>
        <v>45013</v>
      </c>
      <c r="Q813" s="4" t="s">
        <v>2697</v>
      </c>
      <c r="R813" s="5">
        <f>DATE(2022,8,31)</f>
        <v>44804</v>
      </c>
      <c r="S813" s="4" t="s">
        <v>2114</v>
      </c>
      <c r="T813" s="5">
        <f>DATE(2021,12,21)</f>
        <v>44551</v>
      </c>
      <c r="U813" s="4" t="s">
        <v>2700</v>
      </c>
      <c r="V813" s="5">
        <f>DATE(2021,3,30)</f>
        <v>44285</v>
      </c>
    </row>
    <row r="814" spans="1:24" ht="55.05" customHeight="1" x14ac:dyDescent="0.3">
      <c r="A814" s="4" t="s">
        <v>2095</v>
      </c>
      <c r="B814" s="4" t="s">
        <v>119</v>
      </c>
      <c r="C814" s="4" t="s">
        <v>137</v>
      </c>
      <c r="D814" s="4" t="s">
        <v>20</v>
      </c>
      <c r="E814" s="4" t="s">
        <v>138</v>
      </c>
      <c r="F814" s="4" t="s">
        <v>22</v>
      </c>
      <c r="G814" s="4" t="s">
        <v>2701</v>
      </c>
      <c r="H814" s="4" t="s">
        <v>24</v>
      </c>
      <c r="I814" s="4" t="s">
        <v>25</v>
      </c>
      <c r="K814" s="4" t="s">
        <v>26</v>
      </c>
      <c r="L814" s="4" t="s">
        <v>2702</v>
      </c>
      <c r="O814" s="4" t="s">
        <v>1031</v>
      </c>
      <c r="P814" s="5">
        <f t="shared" si="20"/>
        <v>45013</v>
      </c>
      <c r="Q814" s="4" t="s">
        <v>1782</v>
      </c>
      <c r="R814" s="5">
        <f>DATE(2023,2,27)</f>
        <v>44984</v>
      </c>
      <c r="S814" s="4" t="s">
        <v>1791</v>
      </c>
      <c r="T814" s="5">
        <f>DATE(2022,7,26)</f>
        <v>44768</v>
      </c>
      <c r="U814" s="4" t="s">
        <v>2114</v>
      </c>
      <c r="V814" s="5">
        <f>DATE(2021,12,21)</f>
        <v>44551</v>
      </c>
      <c r="W814" s="4" t="s">
        <v>2115</v>
      </c>
      <c r="X814" s="5">
        <f>DATE(2021,3,9)</f>
        <v>44264</v>
      </c>
    </row>
    <row r="815" spans="1:24" ht="55.05" customHeight="1" x14ac:dyDescent="0.3">
      <c r="A815" s="4" t="s">
        <v>2095</v>
      </c>
      <c r="B815" s="4" t="s">
        <v>119</v>
      </c>
      <c r="C815" s="4" t="s">
        <v>137</v>
      </c>
      <c r="D815" s="4" t="s">
        <v>20</v>
      </c>
      <c r="E815" s="4" t="s">
        <v>138</v>
      </c>
      <c r="F815" s="4" t="s">
        <v>22</v>
      </c>
      <c r="G815" s="4" t="s">
        <v>2703</v>
      </c>
      <c r="H815" s="4" t="s">
        <v>24</v>
      </c>
      <c r="I815" s="4" t="s">
        <v>25</v>
      </c>
      <c r="K815" s="4" t="s">
        <v>26</v>
      </c>
      <c r="L815" s="4" t="s">
        <v>2704</v>
      </c>
      <c r="O815" s="4" t="s">
        <v>1031</v>
      </c>
      <c r="P815" s="5">
        <f t="shared" si="20"/>
        <v>45013</v>
      </c>
      <c r="Q815" s="4" t="s">
        <v>1782</v>
      </c>
      <c r="R815" s="5">
        <f>DATE(2023,2,27)</f>
        <v>44984</v>
      </c>
      <c r="S815" s="4" t="s">
        <v>2114</v>
      </c>
      <c r="T815" s="5">
        <f>DATE(2021,12,21)</f>
        <v>44551</v>
      </c>
      <c r="U815" s="4" t="s">
        <v>2115</v>
      </c>
      <c r="V815" s="5">
        <f>DATE(2021,3,9)</f>
        <v>44264</v>
      </c>
    </row>
    <row r="816" spans="1:24" ht="55.05" customHeight="1" x14ac:dyDescent="0.3">
      <c r="A816" s="4" t="s">
        <v>2095</v>
      </c>
      <c r="B816" s="4" t="s">
        <v>119</v>
      </c>
      <c r="C816" s="4" t="s">
        <v>137</v>
      </c>
      <c r="D816" s="4" t="s">
        <v>20</v>
      </c>
      <c r="E816" s="4" t="s">
        <v>138</v>
      </c>
      <c r="F816" s="4" t="s">
        <v>22</v>
      </c>
      <c r="G816" s="4" t="s">
        <v>2705</v>
      </c>
      <c r="H816" s="4" t="s">
        <v>24</v>
      </c>
      <c r="I816" s="4" t="s">
        <v>25</v>
      </c>
      <c r="K816" s="4" t="s">
        <v>26</v>
      </c>
      <c r="L816" s="4" t="s">
        <v>2706</v>
      </c>
      <c r="O816" s="4" t="s">
        <v>1031</v>
      </c>
      <c r="P816" s="5">
        <f t="shared" si="20"/>
        <v>45013</v>
      </c>
      <c r="Q816" s="4" t="s">
        <v>2114</v>
      </c>
      <c r="R816" s="5">
        <f>DATE(2021,12,21)</f>
        <v>44551</v>
      </c>
      <c r="S816" s="4" t="s">
        <v>1786</v>
      </c>
      <c r="T816" s="5">
        <f>DATE(2021,8,19)</f>
        <v>44427</v>
      </c>
    </row>
    <row r="817" spans="1:24" ht="55.05" customHeight="1" x14ac:dyDescent="0.3">
      <c r="A817" s="4" t="s">
        <v>2095</v>
      </c>
      <c r="B817" s="4" t="s">
        <v>119</v>
      </c>
      <c r="C817" s="4" t="s">
        <v>137</v>
      </c>
      <c r="D817" s="4" t="s">
        <v>20</v>
      </c>
      <c r="E817" s="4" t="s">
        <v>138</v>
      </c>
      <c r="F817" s="4" t="s">
        <v>22</v>
      </c>
      <c r="G817" s="4" t="s">
        <v>2707</v>
      </c>
      <c r="H817" s="4" t="s">
        <v>24</v>
      </c>
      <c r="I817" s="4" t="s">
        <v>25</v>
      </c>
      <c r="K817" s="4" t="s">
        <v>26</v>
      </c>
      <c r="L817" s="4" t="s">
        <v>2708</v>
      </c>
      <c r="O817" s="4" t="s">
        <v>1031</v>
      </c>
      <c r="P817" s="5">
        <f t="shared" si="20"/>
        <v>45013</v>
      </c>
      <c r="Q817" s="4" t="s">
        <v>1782</v>
      </c>
      <c r="R817" s="5">
        <f>DATE(2023,2,27)</f>
        <v>44984</v>
      </c>
      <c r="S817" s="4" t="s">
        <v>1791</v>
      </c>
      <c r="T817" s="5">
        <f>DATE(2022,7,26)</f>
        <v>44768</v>
      </c>
      <c r="U817" s="4" t="s">
        <v>2114</v>
      </c>
      <c r="V817" s="5">
        <f>DATE(2021,12,21)</f>
        <v>44551</v>
      </c>
      <c r="W817" s="4" t="s">
        <v>2115</v>
      </c>
      <c r="X817" s="5">
        <f>DATE(2021,3,9)</f>
        <v>44264</v>
      </c>
    </row>
    <row r="818" spans="1:24" ht="55.05" customHeight="1" x14ac:dyDescent="0.3">
      <c r="A818" s="4" t="s">
        <v>2095</v>
      </c>
      <c r="B818" s="4" t="s">
        <v>145</v>
      </c>
      <c r="C818" s="4" t="s">
        <v>20</v>
      </c>
      <c r="D818" s="4" t="s">
        <v>20</v>
      </c>
      <c r="E818" s="4" t="s">
        <v>500</v>
      </c>
      <c r="F818" s="4" t="s">
        <v>162</v>
      </c>
      <c r="G818" s="4" t="s">
        <v>2709</v>
      </c>
      <c r="H818" s="4" t="s">
        <v>24</v>
      </c>
      <c r="I818" s="4" t="s">
        <v>25</v>
      </c>
      <c r="K818" s="4" t="s">
        <v>26</v>
      </c>
      <c r="L818" s="4" t="s">
        <v>2710</v>
      </c>
      <c r="O818" s="4" t="s">
        <v>2711</v>
      </c>
      <c r="P818" s="5">
        <f>DATE(2023,12,14)</f>
        <v>45274</v>
      </c>
      <c r="Q818" s="4" t="s">
        <v>2712</v>
      </c>
      <c r="R818" s="5">
        <f>DATE(2023,10,17)</f>
        <v>45216</v>
      </c>
      <c r="S818" s="4" t="s">
        <v>2115</v>
      </c>
      <c r="T818" s="5">
        <f>DATE(2021,3,9)</f>
        <v>44264</v>
      </c>
      <c r="U818" s="4" t="s">
        <v>125</v>
      </c>
      <c r="V818" s="5">
        <f>DATE(2020,7,21)</f>
        <v>44033</v>
      </c>
    </row>
    <row r="819" spans="1:24" ht="55.05" customHeight="1" x14ac:dyDescent="0.3">
      <c r="A819" s="4" t="s">
        <v>2095</v>
      </c>
      <c r="B819" s="4" t="s">
        <v>145</v>
      </c>
      <c r="C819" s="4" t="s">
        <v>20</v>
      </c>
      <c r="D819" s="4" t="s">
        <v>20</v>
      </c>
      <c r="E819" s="4" t="s">
        <v>500</v>
      </c>
      <c r="F819" s="4" t="s">
        <v>162</v>
      </c>
      <c r="G819" s="4" t="s">
        <v>2713</v>
      </c>
      <c r="H819" s="4" t="s">
        <v>24</v>
      </c>
      <c r="I819" s="4" t="s">
        <v>25</v>
      </c>
      <c r="K819" s="4" t="s">
        <v>26</v>
      </c>
      <c r="L819" s="4" t="s">
        <v>2714</v>
      </c>
      <c r="O819" s="4" t="s">
        <v>2712</v>
      </c>
      <c r="P819" s="5">
        <f>DATE(2023,10,17)</f>
        <v>45216</v>
      </c>
      <c r="Q819" s="4" t="s">
        <v>1795</v>
      </c>
      <c r="R819" s="5">
        <f>DATE(2023,6,8)</f>
        <v>45085</v>
      </c>
      <c r="S819" s="4" t="s">
        <v>758</v>
      </c>
      <c r="T819" s="5">
        <f>DATE(2021,10,21)</f>
        <v>44490</v>
      </c>
    </row>
    <row r="820" spans="1:24" ht="55.05" customHeight="1" x14ac:dyDescent="0.3">
      <c r="A820" s="4" t="s">
        <v>2095</v>
      </c>
      <c r="B820" s="4" t="s">
        <v>145</v>
      </c>
      <c r="C820" s="4" t="s">
        <v>20</v>
      </c>
      <c r="D820" s="4" t="s">
        <v>20</v>
      </c>
      <c r="E820" s="4" t="s">
        <v>500</v>
      </c>
      <c r="F820" s="4" t="s">
        <v>162</v>
      </c>
      <c r="G820" s="4" t="s">
        <v>2715</v>
      </c>
      <c r="H820" s="4" t="s">
        <v>24</v>
      </c>
      <c r="I820" s="4" t="s">
        <v>25</v>
      </c>
      <c r="K820" s="4" t="s">
        <v>26</v>
      </c>
      <c r="L820" s="4" t="s">
        <v>2716</v>
      </c>
      <c r="O820" s="4" t="s">
        <v>2712</v>
      </c>
      <c r="P820" s="5">
        <f>DATE(2023,10,17)</f>
        <v>45216</v>
      </c>
      <c r="Q820" s="4" t="s">
        <v>1795</v>
      </c>
      <c r="R820" s="5">
        <f>DATE(2023,6,8)</f>
        <v>45085</v>
      </c>
      <c r="S820" s="4" t="s">
        <v>758</v>
      </c>
      <c r="T820" s="5">
        <f>DATE(2021,10,21)</f>
        <v>44490</v>
      </c>
    </row>
    <row r="821" spans="1:24" ht="55.05" customHeight="1" x14ac:dyDescent="0.3">
      <c r="A821" s="4" t="s">
        <v>2095</v>
      </c>
      <c r="B821" s="4" t="s">
        <v>145</v>
      </c>
      <c r="C821" s="4" t="s">
        <v>20</v>
      </c>
      <c r="D821" s="4" t="s">
        <v>146</v>
      </c>
      <c r="E821" s="4" t="s">
        <v>147</v>
      </c>
      <c r="F821" s="4" t="s">
        <v>122</v>
      </c>
      <c r="G821" s="4" t="s">
        <v>2717</v>
      </c>
      <c r="H821" s="4" t="s">
        <v>24</v>
      </c>
      <c r="I821" s="4" t="s">
        <v>25</v>
      </c>
      <c r="K821" s="4" t="s">
        <v>26</v>
      </c>
      <c r="L821" s="4" t="s">
        <v>2718</v>
      </c>
      <c r="O821" s="4" t="s">
        <v>2114</v>
      </c>
      <c r="P821" s="5">
        <f t="shared" ref="P821:P832" si="21">DATE(2021,12,21)</f>
        <v>44551</v>
      </c>
      <c r="Q821" s="4" t="s">
        <v>2115</v>
      </c>
      <c r="R821" s="5">
        <f t="shared" ref="R821:R827" si="22">DATE(2021,3,9)</f>
        <v>44264</v>
      </c>
    </row>
    <row r="822" spans="1:24" ht="55.05" customHeight="1" x14ac:dyDescent="0.3">
      <c r="A822" s="4" t="s">
        <v>2095</v>
      </c>
      <c r="B822" s="4" t="s">
        <v>145</v>
      </c>
      <c r="C822" s="4" t="s">
        <v>20</v>
      </c>
      <c r="D822" s="4" t="s">
        <v>146</v>
      </c>
      <c r="E822" s="4" t="s">
        <v>147</v>
      </c>
      <c r="F822" s="4" t="s">
        <v>122</v>
      </c>
      <c r="G822" s="4" t="s">
        <v>2719</v>
      </c>
      <c r="H822" s="4" t="s">
        <v>24</v>
      </c>
      <c r="I822" s="4" t="s">
        <v>25</v>
      </c>
      <c r="K822" s="4" t="s">
        <v>26</v>
      </c>
      <c r="L822" s="4" t="s">
        <v>2720</v>
      </c>
      <c r="O822" s="4" t="s">
        <v>2114</v>
      </c>
      <c r="P822" s="5">
        <f t="shared" si="21"/>
        <v>44551</v>
      </c>
      <c r="Q822" s="4" t="s">
        <v>2115</v>
      </c>
      <c r="R822" s="5">
        <f t="shared" si="22"/>
        <v>44264</v>
      </c>
    </row>
    <row r="823" spans="1:24" ht="55.05" customHeight="1" x14ac:dyDescent="0.3">
      <c r="A823" s="4" t="s">
        <v>2095</v>
      </c>
      <c r="B823" s="4" t="s">
        <v>145</v>
      </c>
      <c r="C823" s="4" t="s">
        <v>20</v>
      </c>
      <c r="D823" s="4" t="s">
        <v>146</v>
      </c>
      <c r="E823" s="4" t="s">
        <v>147</v>
      </c>
      <c r="F823" s="4" t="s">
        <v>122</v>
      </c>
      <c r="G823" s="4" t="s">
        <v>2721</v>
      </c>
      <c r="H823" s="4" t="s">
        <v>24</v>
      </c>
      <c r="I823" s="4" t="s">
        <v>25</v>
      </c>
      <c r="K823" s="4" t="s">
        <v>26</v>
      </c>
      <c r="L823" s="4" t="s">
        <v>2722</v>
      </c>
      <c r="O823" s="4" t="s">
        <v>2114</v>
      </c>
      <c r="P823" s="5">
        <f t="shared" si="21"/>
        <v>44551</v>
      </c>
      <c r="Q823" s="4" t="s">
        <v>2115</v>
      </c>
      <c r="R823" s="5">
        <f t="shared" si="22"/>
        <v>44264</v>
      </c>
    </row>
    <row r="824" spans="1:24" ht="55.05" customHeight="1" x14ac:dyDescent="0.3">
      <c r="A824" s="4" t="s">
        <v>2095</v>
      </c>
      <c r="B824" s="4" t="s">
        <v>145</v>
      </c>
      <c r="C824" s="4" t="s">
        <v>20</v>
      </c>
      <c r="D824" s="4" t="s">
        <v>146</v>
      </c>
      <c r="E824" s="4" t="s">
        <v>147</v>
      </c>
      <c r="F824" s="4" t="s">
        <v>122</v>
      </c>
      <c r="G824" s="4" t="s">
        <v>2723</v>
      </c>
      <c r="H824" s="4" t="s">
        <v>24</v>
      </c>
      <c r="I824" s="4" t="s">
        <v>25</v>
      </c>
      <c r="K824" s="4" t="s">
        <v>26</v>
      </c>
      <c r="L824" s="4" t="s">
        <v>2724</v>
      </c>
      <c r="O824" s="4" t="s">
        <v>2114</v>
      </c>
      <c r="P824" s="5">
        <f t="shared" si="21"/>
        <v>44551</v>
      </c>
      <c r="Q824" s="4" t="s">
        <v>2115</v>
      </c>
      <c r="R824" s="5">
        <f t="shared" si="22"/>
        <v>44264</v>
      </c>
    </row>
    <row r="825" spans="1:24" ht="55.05" customHeight="1" x14ac:dyDescent="0.3">
      <c r="A825" s="4" t="s">
        <v>2095</v>
      </c>
      <c r="B825" s="4" t="s">
        <v>145</v>
      </c>
      <c r="C825" s="4" t="s">
        <v>20</v>
      </c>
      <c r="D825" s="4" t="s">
        <v>146</v>
      </c>
      <c r="E825" s="4" t="s">
        <v>147</v>
      </c>
      <c r="F825" s="4" t="s">
        <v>122</v>
      </c>
      <c r="G825" s="4" t="s">
        <v>2725</v>
      </c>
      <c r="H825" s="4" t="s">
        <v>24</v>
      </c>
      <c r="I825" s="4" t="s">
        <v>25</v>
      </c>
      <c r="K825" s="4" t="s">
        <v>26</v>
      </c>
      <c r="L825" s="4" t="s">
        <v>2726</v>
      </c>
      <c r="O825" s="4" t="s">
        <v>2114</v>
      </c>
      <c r="P825" s="5">
        <f t="shared" si="21"/>
        <v>44551</v>
      </c>
      <c r="Q825" s="4" t="s">
        <v>2115</v>
      </c>
      <c r="R825" s="5">
        <f t="shared" si="22"/>
        <v>44264</v>
      </c>
    </row>
    <row r="826" spans="1:24" ht="55.05" customHeight="1" x14ac:dyDescent="0.3">
      <c r="A826" s="4" t="s">
        <v>2095</v>
      </c>
      <c r="B826" s="4" t="s">
        <v>145</v>
      </c>
      <c r="C826" s="4" t="s">
        <v>20</v>
      </c>
      <c r="D826" s="4" t="s">
        <v>146</v>
      </c>
      <c r="E826" s="4" t="s">
        <v>147</v>
      </c>
      <c r="F826" s="4" t="s">
        <v>122</v>
      </c>
      <c r="G826" s="4" t="s">
        <v>2727</v>
      </c>
      <c r="H826" s="4" t="s">
        <v>24</v>
      </c>
      <c r="I826" s="4" t="s">
        <v>25</v>
      </c>
      <c r="K826" s="4" t="s">
        <v>26</v>
      </c>
      <c r="L826" s="4" t="s">
        <v>2728</v>
      </c>
      <c r="O826" s="4" t="s">
        <v>2114</v>
      </c>
      <c r="P826" s="5">
        <f t="shared" si="21"/>
        <v>44551</v>
      </c>
      <c r="Q826" s="4" t="s">
        <v>2115</v>
      </c>
      <c r="R826" s="5">
        <f t="shared" si="22"/>
        <v>44264</v>
      </c>
    </row>
    <row r="827" spans="1:24" ht="55.05" customHeight="1" x14ac:dyDescent="0.3">
      <c r="A827" s="4" t="s">
        <v>2095</v>
      </c>
      <c r="B827" s="4" t="s">
        <v>145</v>
      </c>
      <c r="C827" s="4" t="s">
        <v>20</v>
      </c>
      <c r="D827" s="4" t="s">
        <v>146</v>
      </c>
      <c r="E827" s="4" t="s">
        <v>147</v>
      </c>
      <c r="F827" s="4" t="s">
        <v>122</v>
      </c>
      <c r="G827" s="4" t="s">
        <v>2729</v>
      </c>
      <c r="H827" s="4" t="s">
        <v>24</v>
      </c>
      <c r="I827" s="4" t="s">
        <v>25</v>
      </c>
      <c r="K827" s="4" t="s">
        <v>26</v>
      </c>
      <c r="L827" s="4" t="s">
        <v>2730</v>
      </c>
      <c r="O827" s="4" t="s">
        <v>2114</v>
      </c>
      <c r="P827" s="5">
        <f t="shared" si="21"/>
        <v>44551</v>
      </c>
      <c r="Q827" s="4" t="s">
        <v>2115</v>
      </c>
      <c r="R827" s="5">
        <f t="shared" si="22"/>
        <v>44264</v>
      </c>
    </row>
    <row r="828" spans="1:24" ht="55.05" customHeight="1" x14ac:dyDescent="0.3">
      <c r="A828" s="4" t="s">
        <v>2095</v>
      </c>
      <c r="B828" s="4" t="s">
        <v>145</v>
      </c>
      <c r="C828" s="4" t="s">
        <v>20</v>
      </c>
      <c r="D828" s="4" t="s">
        <v>146</v>
      </c>
      <c r="E828" s="4" t="s">
        <v>147</v>
      </c>
      <c r="F828" s="4" t="s">
        <v>122</v>
      </c>
      <c r="G828" s="4" t="s">
        <v>2731</v>
      </c>
      <c r="H828" s="4" t="s">
        <v>24</v>
      </c>
      <c r="I828" s="4" t="s">
        <v>25</v>
      </c>
      <c r="K828" s="4" t="s">
        <v>26</v>
      </c>
      <c r="L828" s="4" t="s">
        <v>2732</v>
      </c>
      <c r="O828" s="4" t="s">
        <v>2114</v>
      </c>
      <c r="P828" s="5">
        <f t="shared" si="21"/>
        <v>44551</v>
      </c>
      <c r="Q828" s="4" t="s">
        <v>2733</v>
      </c>
      <c r="R828" s="5">
        <f>DATE(2021,5,28)</f>
        <v>44344</v>
      </c>
    </row>
    <row r="829" spans="1:24" ht="55.05" customHeight="1" x14ac:dyDescent="0.3">
      <c r="A829" s="4" t="s">
        <v>2095</v>
      </c>
      <c r="B829" s="4" t="s">
        <v>145</v>
      </c>
      <c r="C829" s="4" t="s">
        <v>20</v>
      </c>
      <c r="D829" s="4" t="s">
        <v>146</v>
      </c>
      <c r="E829" s="4" t="s">
        <v>147</v>
      </c>
      <c r="F829" s="4" t="s">
        <v>122</v>
      </c>
      <c r="G829" s="4" t="s">
        <v>2734</v>
      </c>
      <c r="H829" s="4" t="s">
        <v>24</v>
      </c>
      <c r="I829" s="4" t="s">
        <v>25</v>
      </c>
      <c r="K829" s="4" t="s">
        <v>26</v>
      </c>
      <c r="L829" s="4" t="s">
        <v>2735</v>
      </c>
      <c r="O829" s="4" t="s">
        <v>2114</v>
      </c>
      <c r="P829" s="5">
        <f t="shared" si="21"/>
        <v>44551</v>
      </c>
      <c r="Q829" s="4" t="s">
        <v>2115</v>
      </c>
      <c r="R829" s="5">
        <f>DATE(2021,3,9)</f>
        <v>44264</v>
      </c>
    </row>
    <row r="830" spans="1:24" ht="55.05" customHeight="1" x14ac:dyDescent="0.3">
      <c r="A830" s="4" t="s">
        <v>2095</v>
      </c>
      <c r="B830" s="4" t="s">
        <v>145</v>
      </c>
      <c r="C830" s="4" t="s">
        <v>20</v>
      </c>
      <c r="D830" s="4" t="s">
        <v>146</v>
      </c>
      <c r="E830" s="4" t="s">
        <v>147</v>
      </c>
      <c r="F830" s="4" t="s">
        <v>122</v>
      </c>
      <c r="G830" s="4" t="s">
        <v>2736</v>
      </c>
      <c r="H830" s="4" t="s">
        <v>24</v>
      </c>
      <c r="I830" s="4" t="s">
        <v>25</v>
      </c>
      <c r="K830" s="4" t="s">
        <v>26</v>
      </c>
      <c r="L830" s="4" t="s">
        <v>2737</v>
      </c>
      <c r="O830" s="4" t="s">
        <v>2114</v>
      </c>
      <c r="P830" s="5">
        <f t="shared" si="21"/>
        <v>44551</v>
      </c>
      <c r="Q830" s="4" t="s">
        <v>2115</v>
      </c>
      <c r="R830" s="5">
        <f>DATE(2021,3,9)</f>
        <v>44264</v>
      </c>
    </row>
    <row r="831" spans="1:24" ht="55.05" customHeight="1" x14ac:dyDescent="0.3">
      <c r="A831" s="4" t="s">
        <v>2095</v>
      </c>
      <c r="B831" s="4" t="s">
        <v>145</v>
      </c>
      <c r="C831" s="4" t="s">
        <v>20</v>
      </c>
      <c r="D831" s="4" t="s">
        <v>146</v>
      </c>
      <c r="E831" s="4" t="s">
        <v>147</v>
      </c>
      <c r="F831" s="4" t="s">
        <v>122</v>
      </c>
      <c r="G831" s="4" t="s">
        <v>2738</v>
      </c>
      <c r="H831" s="4" t="s">
        <v>24</v>
      </c>
      <c r="I831" s="4" t="s">
        <v>25</v>
      </c>
      <c r="K831" s="4" t="s">
        <v>26</v>
      </c>
      <c r="L831" s="4" t="s">
        <v>2739</v>
      </c>
      <c r="O831" s="4" t="s">
        <v>2114</v>
      </c>
      <c r="P831" s="5">
        <f t="shared" si="21"/>
        <v>44551</v>
      </c>
      <c r="Q831" s="4" t="s">
        <v>2740</v>
      </c>
      <c r="R831" s="5">
        <f>DATE(2021,11,30)</f>
        <v>44530</v>
      </c>
    </row>
    <row r="832" spans="1:24" ht="55.05" customHeight="1" x14ac:dyDescent="0.3">
      <c r="A832" s="4" t="s">
        <v>2095</v>
      </c>
      <c r="B832" s="4" t="s">
        <v>145</v>
      </c>
      <c r="C832" s="4" t="s">
        <v>20</v>
      </c>
      <c r="D832" s="4" t="s">
        <v>146</v>
      </c>
      <c r="E832" s="4" t="s">
        <v>2741</v>
      </c>
      <c r="F832" s="4" t="s">
        <v>122</v>
      </c>
      <c r="G832" s="4" t="s">
        <v>2742</v>
      </c>
      <c r="H832" s="4" t="s">
        <v>24</v>
      </c>
      <c r="I832" s="4" t="s">
        <v>25</v>
      </c>
      <c r="K832" s="4" t="s">
        <v>26</v>
      </c>
      <c r="L832" s="4" t="s">
        <v>2743</v>
      </c>
      <c r="O832" s="4" t="s">
        <v>2114</v>
      </c>
      <c r="P832" s="5">
        <f t="shared" si="21"/>
        <v>44551</v>
      </c>
      <c r="Q832" s="4" t="s">
        <v>2115</v>
      </c>
      <c r="R832" s="5">
        <f>DATE(2021,3,9)</f>
        <v>44264</v>
      </c>
    </row>
    <row r="833" spans="1:24" ht="55.05" customHeight="1" x14ac:dyDescent="0.3">
      <c r="A833" s="4" t="s">
        <v>2095</v>
      </c>
      <c r="B833" s="4" t="s">
        <v>145</v>
      </c>
      <c r="C833" s="4" t="s">
        <v>2744</v>
      </c>
      <c r="D833" s="4" t="s">
        <v>20</v>
      </c>
      <c r="E833" s="4" t="s">
        <v>2745</v>
      </c>
      <c r="F833" s="4" t="s">
        <v>162</v>
      </c>
      <c r="G833" s="4" t="s">
        <v>2746</v>
      </c>
      <c r="H833" s="4" t="s">
        <v>24</v>
      </c>
      <c r="I833" s="4" t="s">
        <v>25</v>
      </c>
      <c r="K833" s="4" t="s">
        <v>26</v>
      </c>
      <c r="L833" s="4" t="s">
        <v>2747</v>
      </c>
      <c r="O833" s="4" t="s">
        <v>73</v>
      </c>
      <c r="P833" s="5">
        <f>DATE(2022,6,28)</f>
        <v>44740</v>
      </c>
      <c r="Q833" s="4" t="s">
        <v>1448</v>
      </c>
      <c r="R833" s="5">
        <f>DATE(2021,12,21)</f>
        <v>44551</v>
      </c>
      <c r="S833" s="4" t="s">
        <v>2700</v>
      </c>
      <c r="T833" s="5">
        <f>DATE(2021,3,30)</f>
        <v>44285</v>
      </c>
    </row>
    <row r="834" spans="1:24" ht="55.05" customHeight="1" x14ac:dyDescent="0.3">
      <c r="A834" s="4" t="s">
        <v>2095</v>
      </c>
      <c r="B834" s="4" t="s">
        <v>145</v>
      </c>
      <c r="C834" s="4" t="s">
        <v>155</v>
      </c>
      <c r="D834" s="4" t="s">
        <v>20</v>
      </c>
      <c r="E834" s="4" t="s">
        <v>2748</v>
      </c>
      <c r="F834" s="4" t="s">
        <v>22</v>
      </c>
      <c r="G834" s="4" t="s">
        <v>2749</v>
      </c>
      <c r="H834" s="4" t="s">
        <v>24</v>
      </c>
      <c r="I834" s="4" t="s">
        <v>25</v>
      </c>
      <c r="K834" s="4" t="s">
        <v>26</v>
      </c>
      <c r="L834" s="4" t="s">
        <v>2750</v>
      </c>
      <c r="O834" s="4" t="s">
        <v>2751</v>
      </c>
      <c r="P834" s="5">
        <f>DATE(2023,3,14)</f>
        <v>44999</v>
      </c>
      <c r="Q834" s="4" t="s">
        <v>2114</v>
      </c>
      <c r="R834" s="5">
        <f>DATE(2021,12,21)</f>
        <v>44551</v>
      </c>
      <c r="S834" s="4" t="s">
        <v>2115</v>
      </c>
      <c r="T834" s="5">
        <f>DATE(2021,3,9)</f>
        <v>44264</v>
      </c>
    </row>
    <row r="835" spans="1:24" ht="55.05" customHeight="1" x14ac:dyDescent="0.3">
      <c r="A835" s="4" t="s">
        <v>2095</v>
      </c>
      <c r="B835" s="4" t="s">
        <v>145</v>
      </c>
      <c r="C835" s="4" t="s">
        <v>155</v>
      </c>
      <c r="D835" s="4" t="s">
        <v>20</v>
      </c>
      <c r="E835" s="4" t="s">
        <v>156</v>
      </c>
      <c r="F835" s="4" t="s">
        <v>22</v>
      </c>
      <c r="G835" s="4" t="s">
        <v>2752</v>
      </c>
      <c r="H835" s="4" t="s">
        <v>24</v>
      </c>
      <c r="I835" s="4" t="s">
        <v>25</v>
      </c>
      <c r="K835" s="4" t="s">
        <v>26</v>
      </c>
      <c r="L835" s="4" t="s">
        <v>2753</v>
      </c>
      <c r="O835" s="4" t="s">
        <v>2754</v>
      </c>
      <c r="P835" s="5">
        <f t="shared" ref="P835:P841" si="23">DATE(2023,9,19)</f>
        <v>45188</v>
      </c>
      <c r="Q835" s="4" t="s">
        <v>2314</v>
      </c>
      <c r="R835" s="5">
        <f>DATE(2022,11,24)</f>
        <v>44889</v>
      </c>
      <c r="S835" s="4" t="s">
        <v>2755</v>
      </c>
      <c r="T835" s="5">
        <f>DATE(2022,9,29)</f>
        <v>44833</v>
      </c>
      <c r="U835" s="4" t="s">
        <v>2114</v>
      </c>
      <c r="V835" s="5">
        <f>DATE(2021,12,21)</f>
        <v>44551</v>
      </c>
      <c r="W835" s="4" t="s">
        <v>2756</v>
      </c>
      <c r="X835" s="5">
        <f>DATE(2021,3,16)</f>
        <v>44271</v>
      </c>
    </row>
    <row r="836" spans="1:24" ht="55.05" customHeight="1" x14ac:dyDescent="0.3">
      <c r="A836" s="4" t="s">
        <v>2095</v>
      </c>
      <c r="B836" s="4" t="s">
        <v>145</v>
      </c>
      <c r="C836" s="4" t="s">
        <v>155</v>
      </c>
      <c r="D836" s="4" t="s">
        <v>20</v>
      </c>
      <c r="E836" s="4" t="s">
        <v>156</v>
      </c>
      <c r="F836" s="4" t="s">
        <v>22</v>
      </c>
      <c r="G836" s="4" t="s">
        <v>2757</v>
      </c>
      <c r="H836" s="4" t="s">
        <v>24</v>
      </c>
      <c r="I836" s="4" t="s">
        <v>25</v>
      </c>
      <c r="K836" s="4" t="s">
        <v>26</v>
      </c>
      <c r="L836" s="4" t="s">
        <v>2758</v>
      </c>
      <c r="O836" s="4" t="s">
        <v>2754</v>
      </c>
      <c r="P836" s="5">
        <f t="shared" si="23"/>
        <v>45188</v>
      </c>
      <c r="Q836" s="4" t="s">
        <v>2114</v>
      </c>
      <c r="R836" s="5">
        <f>DATE(2021,12,21)</f>
        <v>44551</v>
      </c>
      <c r="S836" s="4" t="s">
        <v>2115</v>
      </c>
      <c r="T836" s="5">
        <f>DATE(2021,3,9)</f>
        <v>44264</v>
      </c>
    </row>
    <row r="837" spans="1:24" ht="55.05" customHeight="1" x14ac:dyDescent="0.3">
      <c r="A837" s="4" t="s">
        <v>2095</v>
      </c>
      <c r="B837" s="4" t="s">
        <v>145</v>
      </c>
      <c r="C837" s="4" t="s">
        <v>155</v>
      </c>
      <c r="D837" s="4" t="s">
        <v>20</v>
      </c>
      <c r="E837" s="4" t="s">
        <v>156</v>
      </c>
      <c r="F837" s="4" t="s">
        <v>22</v>
      </c>
      <c r="G837" s="4" t="s">
        <v>2759</v>
      </c>
      <c r="H837" s="4" t="s">
        <v>24</v>
      </c>
      <c r="I837" s="4" t="s">
        <v>25</v>
      </c>
      <c r="K837" s="4" t="s">
        <v>26</v>
      </c>
      <c r="L837" s="4" t="s">
        <v>2760</v>
      </c>
      <c r="O837" s="4" t="s">
        <v>2754</v>
      </c>
      <c r="P837" s="5">
        <f t="shared" si="23"/>
        <v>45188</v>
      </c>
      <c r="Q837" s="4" t="s">
        <v>1836</v>
      </c>
      <c r="R837" s="5">
        <f>DATE(2022,9,30)</f>
        <v>44834</v>
      </c>
      <c r="S837" s="4" t="s">
        <v>2114</v>
      </c>
      <c r="T837" s="5">
        <f>DATE(2021,12,21)</f>
        <v>44551</v>
      </c>
      <c r="U837" s="4" t="s">
        <v>2115</v>
      </c>
      <c r="V837" s="5">
        <f>DATE(2021,3,9)</f>
        <v>44264</v>
      </c>
    </row>
    <row r="838" spans="1:24" ht="55.05" customHeight="1" x14ac:dyDescent="0.3">
      <c r="A838" s="4" t="s">
        <v>2095</v>
      </c>
      <c r="B838" s="4" t="s">
        <v>145</v>
      </c>
      <c r="C838" s="4" t="s">
        <v>155</v>
      </c>
      <c r="D838" s="4" t="s">
        <v>20</v>
      </c>
      <c r="E838" s="4" t="s">
        <v>156</v>
      </c>
      <c r="F838" s="4" t="s">
        <v>22</v>
      </c>
      <c r="G838" s="4" t="s">
        <v>2761</v>
      </c>
      <c r="H838" s="4" t="s">
        <v>24</v>
      </c>
      <c r="I838" s="4" t="s">
        <v>25</v>
      </c>
      <c r="K838" s="4" t="s">
        <v>26</v>
      </c>
      <c r="L838" s="4" t="s">
        <v>2762</v>
      </c>
      <c r="O838" s="4" t="s">
        <v>2754</v>
      </c>
      <c r="P838" s="5">
        <f t="shared" si="23"/>
        <v>45188</v>
      </c>
      <c r="Q838" s="4" t="s">
        <v>1836</v>
      </c>
      <c r="R838" s="5">
        <f>DATE(2022,9,30)</f>
        <v>44834</v>
      </c>
      <c r="S838" s="4" t="s">
        <v>2114</v>
      </c>
      <c r="T838" s="5">
        <f>DATE(2021,12,21)</f>
        <v>44551</v>
      </c>
      <c r="U838" s="4" t="s">
        <v>2115</v>
      </c>
      <c r="V838" s="5">
        <f>DATE(2021,3,9)</f>
        <v>44264</v>
      </c>
    </row>
    <row r="839" spans="1:24" ht="55.05" customHeight="1" x14ac:dyDescent="0.3">
      <c r="A839" s="4" t="s">
        <v>2095</v>
      </c>
      <c r="B839" s="4" t="s">
        <v>145</v>
      </c>
      <c r="C839" s="4" t="s">
        <v>155</v>
      </c>
      <c r="D839" s="4" t="s">
        <v>20</v>
      </c>
      <c r="E839" s="4" t="s">
        <v>156</v>
      </c>
      <c r="F839" s="4" t="s">
        <v>22</v>
      </c>
      <c r="G839" s="4" t="s">
        <v>2763</v>
      </c>
      <c r="H839" s="4" t="s">
        <v>24</v>
      </c>
      <c r="I839" s="4" t="s">
        <v>25</v>
      </c>
      <c r="K839" s="4" t="s">
        <v>26</v>
      </c>
      <c r="L839" s="4" t="s">
        <v>2764</v>
      </c>
      <c r="O839" s="4" t="s">
        <v>2754</v>
      </c>
      <c r="P839" s="5">
        <f t="shared" si="23"/>
        <v>45188</v>
      </c>
      <c r="Q839" s="4" t="s">
        <v>1836</v>
      </c>
      <c r="R839" s="5">
        <f>DATE(2022,9,30)</f>
        <v>44834</v>
      </c>
      <c r="S839" s="4" t="s">
        <v>2114</v>
      </c>
      <c r="T839" s="5">
        <f>DATE(2021,12,21)</f>
        <v>44551</v>
      </c>
      <c r="U839" s="4" t="s">
        <v>2115</v>
      </c>
      <c r="V839" s="5">
        <f>DATE(2021,3,9)</f>
        <v>44264</v>
      </c>
    </row>
    <row r="840" spans="1:24" ht="55.05" customHeight="1" x14ac:dyDescent="0.3">
      <c r="A840" s="4" t="s">
        <v>2095</v>
      </c>
      <c r="B840" s="4" t="s">
        <v>145</v>
      </c>
      <c r="C840" s="4" t="s">
        <v>155</v>
      </c>
      <c r="D840" s="4" t="s">
        <v>20</v>
      </c>
      <c r="E840" s="4" t="s">
        <v>156</v>
      </c>
      <c r="F840" s="4" t="s">
        <v>22</v>
      </c>
      <c r="G840" s="4" t="s">
        <v>2765</v>
      </c>
      <c r="H840" s="4" t="s">
        <v>24</v>
      </c>
      <c r="I840" s="4" t="s">
        <v>25</v>
      </c>
      <c r="K840" s="4" t="s">
        <v>26</v>
      </c>
      <c r="L840" s="4" t="s">
        <v>2766</v>
      </c>
      <c r="O840" s="4" t="s">
        <v>2754</v>
      </c>
      <c r="P840" s="5">
        <f t="shared" si="23"/>
        <v>45188</v>
      </c>
      <c r="Q840" s="4" t="s">
        <v>2114</v>
      </c>
      <c r="R840" s="5">
        <f>DATE(2021,12,21)</f>
        <v>44551</v>
      </c>
      <c r="S840" s="4" t="s">
        <v>2115</v>
      </c>
      <c r="T840" s="5">
        <f>DATE(2021,3,9)</f>
        <v>44264</v>
      </c>
    </row>
    <row r="841" spans="1:24" ht="55.05" customHeight="1" x14ac:dyDescent="0.3">
      <c r="A841" s="4" t="s">
        <v>2095</v>
      </c>
      <c r="B841" s="4" t="s">
        <v>145</v>
      </c>
      <c r="C841" s="4" t="s">
        <v>155</v>
      </c>
      <c r="D841" s="4" t="s">
        <v>20</v>
      </c>
      <c r="E841" s="4" t="s">
        <v>156</v>
      </c>
      <c r="F841" s="4" t="s">
        <v>22</v>
      </c>
      <c r="G841" s="4" t="s">
        <v>2767</v>
      </c>
      <c r="H841" s="4" t="s">
        <v>24</v>
      </c>
      <c r="I841" s="4" t="s">
        <v>25</v>
      </c>
      <c r="K841" s="4" t="s">
        <v>26</v>
      </c>
      <c r="L841" s="4" t="s">
        <v>2768</v>
      </c>
      <c r="O841" s="4" t="s">
        <v>2754</v>
      </c>
      <c r="P841" s="5">
        <f t="shared" si="23"/>
        <v>45188</v>
      </c>
      <c r="Q841" s="4" t="s">
        <v>1836</v>
      </c>
      <c r="R841" s="5">
        <f>DATE(2022,9,30)</f>
        <v>44834</v>
      </c>
      <c r="S841" s="4" t="s">
        <v>2114</v>
      </c>
      <c r="T841" s="5">
        <f>DATE(2021,12,21)</f>
        <v>44551</v>
      </c>
      <c r="U841" s="4" t="s">
        <v>2115</v>
      </c>
      <c r="V841" s="5">
        <f>DATE(2021,3,9)</f>
        <v>44264</v>
      </c>
    </row>
    <row r="842" spans="1:24" ht="55.05" customHeight="1" x14ac:dyDescent="0.3">
      <c r="A842" s="4" t="s">
        <v>2095</v>
      </c>
      <c r="B842" s="4" t="s">
        <v>145</v>
      </c>
      <c r="C842" s="4" t="s">
        <v>155</v>
      </c>
      <c r="D842" s="4" t="s">
        <v>20</v>
      </c>
      <c r="E842" s="4" t="s">
        <v>2769</v>
      </c>
      <c r="F842" s="4" t="s">
        <v>22</v>
      </c>
      <c r="G842" s="4" t="s">
        <v>2770</v>
      </c>
      <c r="H842" s="4" t="s">
        <v>37</v>
      </c>
      <c r="I842" s="4" t="s">
        <v>25</v>
      </c>
      <c r="K842" s="4" t="s">
        <v>402</v>
      </c>
      <c r="L842" s="4" t="s">
        <v>2771</v>
      </c>
      <c r="O842" s="4" t="s">
        <v>2772</v>
      </c>
      <c r="P842" s="5">
        <f>DATE(2022,6,16)</f>
        <v>44728</v>
      </c>
    </row>
    <row r="843" spans="1:24" ht="55.05" customHeight="1" x14ac:dyDescent="0.3">
      <c r="A843" s="4" t="s">
        <v>2095</v>
      </c>
      <c r="B843" s="4" t="s">
        <v>145</v>
      </c>
      <c r="C843" s="4" t="s">
        <v>160</v>
      </c>
      <c r="D843" s="4" t="s">
        <v>20</v>
      </c>
      <c r="E843" s="4" t="s">
        <v>161</v>
      </c>
      <c r="F843" s="4" t="s">
        <v>162</v>
      </c>
      <c r="G843" s="4" t="s">
        <v>2773</v>
      </c>
      <c r="H843" s="4" t="s">
        <v>24</v>
      </c>
      <c r="I843" s="4" t="s">
        <v>25</v>
      </c>
      <c r="K843" s="4" t="s">
        <v>26</v>
      </c>
      <c r="L843" s="4" t="s">
        <v>2774</v>
      </c>
      <c r="O843" s="4" t="s">
        <v>2114</v>
      </c>
      <c r="P843" s="5">
        <f>DATE(2021,12,21)</f>
        <v>44551</v>
      </c>
      <c r="Q843" s="4" t="s">
        <v>2775</v>
      </c>
      <c r="R843" s="5">
        <f>DATE(2021,10,21)</f>
        <v>44490</v>
      </c>
    </row>
    <row r="844" spans="1:24" ht="55.05" customHeight="1" x14ac:dyDescent="0.3">
      <c r="A844" s="4" t="s">
        <v>2095</v>
      </c>
      <c r="B844" s="4" t="s">
        <v>145</v>
      </c>
      <c r="C844" s="4" t="s">
        <v>160</v>
      </c>
      <c r="D844" s="4" t="s">
        <v>20</v>
      </c>
      <c r="E844" s="4" t="s">
        <v>1933</v>
      </c>
      <c r="F844" s="4" t="s">
        <v>162</v>
      </c>
      <c r="G844" s="4" t="s">
        <v>2776</v>
      </c>
      <c r="H844" s="4" t="s">
        <v>24</v>
      </c>
      <c r="I844" s="4" t="s">
        <v>25</v>
      </c>
      <c r="K844" s="4" t="s">
        <v>26</v>
      </c>
      <c r="L844" s="4" t="s">
        <v>2777</v>
      </c>
      <c r="O844" s="4" t="s">
        <v>1937</v>
      </c>
      <c r="P844" s="5">
        <f>DATE(2023,6,16)</f>
        <v>45093</v>
      </c>
      <c r="Q844" s="4" t="s">
        <v>2778</v>
      </c>
      <c r="R844" s="5">
        <f>DATE(2022,7,22)</f>
        <v>44764</v>
      </c>
      <c r="S844" s="4" t="s">
        <v>1448</v>
      </c>
      <c r="T844" s="5">
        <f>DATE(2021,12,21)</f>
        <v>44551</v>
      </c>
      <c r="U844" s="4" t="s">
        <v>1860</v>
      </c>
      <c r="V844" s="5">
        <f>DATE(2021,10,21)</f>
        <v>44490</v>
      </c>
    </row>
    <row r="845" spans="1:24" ht="55.05" customHeight="1" x14ac:dyDescent="0.3">
      <c r="A845" s="4" t="s">
        <v>2095</v>
      </c>
      <c r="B845" s="4" t="s">
        <v>145</v>
      </c>
      <c r="C845" s="4" t="s">
        <v>160</v>
      </c>
      <c r="D845" s="4" t="s">
        <v>20</v>
      </c>
      <c r="E845" s="4" t="s">
        <v>1933</v>
      </c>
      <c r="F845" s="4" t="s">
        <v>162</v>
      </c>
      <c r="G845" s="4" t="s">
        <v>2779</v>
      </c>
      <c r="H845" s="4" t="s">
        <v>24</v>
      </c>
      <c r="I845" s="4" t="s">
        <v>25</v>
      </c>
      <c r="K845" s="4" t="s">
        <v>26</v>
      </c>
      <c r="L845" s="4" t="s">
        <v>2780</v>
      </c>
      <c r="O845" s="4" t="s">
        <v>1937</v>
      </c>
      <c r="P845" s="5">
        <f>DATE(2023,6,16)</f>
        <v>45093</v>
      </c>
      <c r="Q845" s="4" t="s">
        <v>2114</v>
      </c>
      <c r="R845" s="5">
        <f>DATE(2021,12,21)</f>
        <v>44551</v>
      </c>
      <c r="S845" s="4" t="s">
        <v>758</v>
      </c>
      <c r="T845" s="5">
        <f>DATE(2021,10,21)</f>
        <v>44490</v>
      </c>
    </row>
    <row r="846" spans="1:24" ht="55.05" customHeight="1" x14ac:dyDescent="0.3">
      <c r="A846" s="4" t="s">
        <v>2095</v>
      </c>
      <c r="B846" s="4" t="s">
        <v>145</v>
      </c>
      <c r="C846" s="4" t="s">
        <v>160</v>
      </c>
      <c r="D846" s="4" t="s">
        <v>20</v>
      </c>
      <c r="E846" s="4" t="s">
        <v>1933</v>
      </c>
      <c r="F846" s="4" t="s">
        <v>162</v>
      </c>
      <c r="G846" s="4" t="s">
        <v>2781</v>
      </c>
      <c r="H846" s="4" t="s">
        <v>24</v>
      </c>
      <c r="I846" s="4" t="s">
        <v>25</v>
      </c>
      <c r="K846" s="4" t="s">
        <v>26</v>
      </c>
      <c r="L846" s="4" t="s">
        <v>2782</v>
      </c>
      <c r="O846" s="4" t="s">
        <v>1937</v>
      </c>
      <c r="P846" s="5">
        <f>DATE(2023,6,16)</f>
        <v>45093</v>
      </c>
      <c r="Q846" s="4" t="s">
        <v>53</v>
      </c>
      <c r="R846" s="5">
        <f>DATE(2021,12,21)</f>
        <v>44551</v>
      </c>
      <c r="S846" s="4" t="s">
        <v>758</v>
      </c>
      <c r="T846" s="5">
        <f>DATE(2021,10,21)</f>
        <v>44490</v>
      </c>
    </row>
    <row r="847" spans="1:24" ht="55.05" customHeight="1" x14ac:dyDescent="0.3">
      <c r="A847" s="4" t="s">
        <v>2095</v>
      </c>
      <c r="B847" s="4" t="s">
        <v>145</v>
      </c>
      <c r="C847" s="4" t="s">
        <v>160</v>
      </c>
      <c r="D847" s="4" t="s">
        <v>20</v>
      </c>
      <c r="E847" s="4" t="s">
        <v>1933</v>
      </c>
      <c r="F847" s="4" t="s">
        <v>162</v>
      </c>
      <c r="G847" s="4" t="s">
        <v>2783</v>
      </c>
      <c r="H847" s="4" t="s">
        <v>24</v>
      </c>
      <c r="I847" s="4" t="s">
        <v>25</v>
      </c>
      <c r="K847" s="4" t="s">
        <v>26</v>
      </c>
      <c r="L847" s="4" t="s">
        <v>2784</v>
      </c>
      <c r="O847" s="4" t="s">
        <v>557</v>
      </c>
      <c r="P847" s="5">
        <f>DATE(2023,7,13)</f>
        <v>45120</v>
      </c>
      <c r="Q847" s="4" t="s">
        <v>53</v>
      </c>
      <c r="R847" s="5">
        <f>DATE(2021,12,21)</f>
        <v>44551</v>
      </c>
      <c r="S847" s="4" t="s">
        <v>2785</v>
      </c>
      <c r="T847" s="5">
        <f>DATE(2020,6,19)</f>
        <v>44001</v>
      </c>
    </row>
    <row r="848" spans="1:24" ht="55.05" customHeight="1" x14ac:dyDescent="0.3">
      <c r="A848" s="4" t="s">
        <v>2095</v>
      </c>
      <c r="B848" s="4" t="s">
        <v>145</v>
      </c>
      <c r="C848" s="4" t="s">
        <v>160</v>
      </c>
      <c r="D848" s="4" t="s">
        <v>20</v>
      </c>
      <c r="E848" s="4" t="s">
        <v>1933</v>
      </c>
      <c r="F848" s="4" t="s">
        <v>162</v>
      </c>
      <c r="G848" s="4" t="s">
        <v>2786</v>
      </c>
      <c r="H848" s="4" t="s">
        <v>24</v>
      </c>
      <c r="I848" s="4" t="s">
        <v>25</v>
      </c>
      <c r="K848" s="4" t="s">
        <v>26</v>
      </c>
      <c r="L848" s="4" t="s">
        <v>2787</v>
      </c>
      <c r="O848" s="4" t="s">
        <v>1937</v>
      </c>
      <c r="P848" s="5">
        <f>DATE(2023,6,16)</f>
        <v>45093</v>
      </c>
      <c r="Q848" s="4" t="s">
        <v>2114</v>
      </c>
      <c r="R848" s="5">
        <f>DATE(2021,12,21)</f>
        <v>44551</v>
      </c>
      <c r="S848" s="4" t="s">
        <v>2788</v>
      </c>
      <c r="T848" s="5">
        <f>DATE(2020,3,12)</f>
        <v>43902</v>
      </c>
    </row>
    <row r="849" spans="1:24" ht="55.05" customHeight="1" x14ac:dyDescent="0.3">
      <c r="A849" s="4" t="s">
        <v>2095</v>
      </c>
      <c r="B849" s="4" t="s">
        <v>145</v>
      </c>
      <c r="C849" s="4" t="s">
        <v>160</v>
      </c>
      <c r="D849" s="4" t="s">
        <v>20</v>
      </c>
      <c r="E849" s="4" t="s">
        <v>2789</v>
      </c>
      <c r="F849" s="4" t="s">
        <v>162</v>
      </c>
      <c r="G849" s="4" t="s">
        <v>2790</v>
      </c>
      <c r="H849" s="4" t="s">
        <v>24</v>
      </c>
      <c r="I849" s="4" t="s">
        <v>25</v>
      </c>
      <c r="K849" s="4" t="s">
        <v>26</v>
      </c>
      <c r="L849" s="4" t="s">
        <v>2791</v>
      </c>
      <c r="O849" s="4" t="s">
        <v>2792</v>
      </c>
      <c r="P849" s="5">
        <f>DATE(2022,12,15)</f>
        <v>44910</v>
      </c>
      <c r="Q849" s="4" t="s">
        <v>1857</v>
      </c>
      <c r="R849" s="5">
        <f>DATE(2022,8,29)</f>
        <v>44802</v>
      </c>
      <c r="S849" s="4" t="s">
        <v>1448</v>
      </c>
      <c r="T849" s="5">
        <f>DATE(2021,12,21)</f>
        <v>44551</v>
      </c>
      <c r="U849" s="4" t="s">
        <v>1860</v>
      </c>
      <c r="V849" s="5">
        <f>DATE(2021,10,21)</f>
        <v>44490</v>
      </c>
    </row>
    <row r="850" spans="1:24" ht="55.05" customHeight="1" x14ac:dyDescent="0.3">
      <c r="A850" s="4" t="s">
        <v>2095</v>
      </c>
      <c r="B850" s="4" t="s">
        <v>145</v>
      </c>
      <c r="C850" s="4" t="s">
        <v>160</v>
      </c>
      <c r="D850" s="4" t="s">
        <v>20</v>
      </c>
      <c r="E850" s="4" t="s">
        <v>2789</v>
      </c>
      <c r="F850" s="4" t="s">
        <v>162</v>
      </c>
      <c r="G850" s="4" t="s">
        <v>2793</v>
      </c>
      <c r="H850" s="4" t="s">
        <v>24</v>
      </c>
      <c r="I850" s="4" t="s">
        <v>25</v>
      </c>
      <c r="K850" s="4" t="s">
        <v>26</v>
      </c>
      <c r="L850" s="4" t="s">
        <v>2794</v>
      </c>
      <c r="O850" s="4" t="s">
        <v>2795</v>
      </c>
      <c r="P850" s="5">
        <f>DATE(2022,4,4)</f>
        <v>44655</v>
      </c>
      <c r="Q850" s="4" t="s">
        <v>53</v>
      </c>
      <c r="R850" s="5">
        <f t="shared" ref="R850:R855" si="24">DATE(2021,12,21)</f>
        <v>44551</v>
      </c>
      <c r="S850" s="4" t="s">
        <v>1860</v>
      </c>
      <c r="T850" s="5">
        <f>DATE(2021,10,21)</f>
        <v>44490</v>
      </c>
    </row>
    <row r="851" spans="1:24" ht="55.05" customHeight="1" x14ac:dyDescent="0.3">
      <c r="A851" s="4" t="s">
        <v>2095</v>
      </c>
      <c r="B851" s="4" t="s">
        <v>145</v>
      </c>
      <c r="C851" s="4" t="s">
        <v>160</v>
      </c>
      <c r="D851" s="4" t="s">
        <v>20</v>
      </c>
      <c r="E851" s="4" t="s">
        <v>2789</v>
      </c>
      <c r="F851" s="4" t="s">
        <v>162</v>
      </c>
      <c r="G851" s="4" t="s">
        <v>2796</v>
      </c>
      <c r="H851" s="4" t="s">
        <v>24</v>
      </c>
      <c r="I851" s="4" t="s">
        <v>25</v>
      </c>
      <c r="K851" s="4" t="s">
        <v>26</v>
      </c>
      <c r="L851" s="4" t="s">
        <v>2797</v>
      </c>
      <c r="O851" s="4" t="s">
        <v>2798</v>
      </c>
      <c r="P851" s="5">
        <f>DATE(2022,6,14)</f>
        <v>44726</v>
      </c>
      <c r="Q851" s="4" t="s">
        <v>1448</v>
      </c>
      <c r="R851" s="5">
        <f t="shared" si="24"/>
        <v>44551</v>
      </c>
      <c r="S851" s="4" t="s">
        <v>1860</v>
      </c>
      <c r="T851" s="5">
        <f>DATE(2021,10,21)</f>
        <v>44490</v>
      </c>
    </row>
    <row r="852" spans="1:24" ht="55.05" customHeight="1" x14ac:dyDescent="0.3">
      <c r="A852" s="4" t="s">
        <v>2095</v>
      </c>
      <c r="B852" s="4" t="s">
        <v>145</v>
      </c>
      <c r="C852" s="4" t="s">
        <v>160</v>
      </c>
      <c r="D852" s="4" t="s">
        <v>20</v>
      </c>
      <c r="E852" s="4" t="s">
        <v>2789</v>
      </c>
      <c r="F852" s="4" t="s">
        <v>162</v>
      </c>
      <c r="G852" s="4" t="s">
        <v>2799</v>
      </c>
      <c r="H852" s="4" t="s">
        <v>24</v>
      </c>
      <c r="I852" s="4" t="s">
        <v>25</v>
      </c>
      <c r="K852" s="4" t="s">
        <v>26</v>
      </c>
      <c r="L852" s="4" t="s">
        <v>2800</v>
      </c>
      <c r="O852" s="4" t="s">
        <v>2801</v>
      </c>
      <c r="P852" s="5">
        <f>DATE(2022,7,22)</f>
        <v>44764</v>
      </c>
      <c r="Q852" s="4" t="s">
        <v>1448</v>
      </c>
      <c r="R852" s="5">
        <f t="shared" si="24"/>
        <v>44551</v>
      </c>
      <c r="S852" s="4" t="s">
        <v>1860</v>
      </c>
      <c r="T852" s="5">
        <f>DATE(2021,10,21)</f>
        <v>44490</v>
      </c>
    </row>
    <row r="853" spans="1:24" ht="55.05" customHeight="1" x14ac:dyDescent="0.3">
      <c r="A853" s="4" t="s">
        <v>2095</v>
      </c>
      <c r="B853" s="4" t="s">
        <v>145</v>
      </c>
      <c r="C853" s="4" t="s">
        <v>160</v>
      </c>
      <c r="D853" s="4" t="s">
        <v>20</v>
      </c>
      <c r="E853" s="4" t="s">
        <v>2789</v>
      </c>
      <c r="F853" s="4" t="s">
        <v>162</v>
      </c>
      <c r="G853" s="4" t="s">
        <v>2802</v>
      </c>
      <c r="H853" s="4" t="s">
        <v>24</v>
      </c>
      <c r="I853" s="4" t="s">
        <v>25</v>
      </c>
      <c r="K853" s="4" t="s">
        <v>26</v>
      </c>
      <c r="L853" s="4" t="s">
        <v>2803</v>
      </c>
      <c r="O853" s="4" t="s">
        <v>2804</v>
      </c>
      <c r="P853" s="5">
        <f>DATE(2022,8,18)</f>
        <v>44791</v>
      </c>
      <c r="Q853" s="4" t="s">
        <v>1448</v>
      </c>
      <c r="R853" s="5">
        <f t="shared" si="24"/>
        <v>44551</v>
      </c>
      <c r="S853" s="4" t="s">
        <v>1860</v>
      </c>
      <c r="T853" s="5">
        <f>DATE(2021,10,21)</f>
        <v>44490</v>
      </c>
    </row>
    <row r="854" spans="1:24" ht="55.05" customHeight="1" x14ac:dyDescent="0.3">
      <c r="A854" s="4" t="s">
        <v>2095</v>
      </c>
      <c r="B854" s="4" t="s">
        <v>145</v>
      </c>
      <c r="C854" s="4" t="s">
        <v>160</v>
      </c>
      <c r="D854" s="4" t="s">
        <v>20</v>
      </c>
      <c r="E854" s="4" t="s">
        <v>2789</v>
      </c>
      <c r="F854" s="4" t="s">
        <v>162</v>
      </c>
      <c r="G854" s="4" t="s">
        <v>2805</v>
      </c>
      <c r="H854" s="4" t="s">
        <v>24</v>
      </c>
      <c r="I854" s="4" t="s">
        <v>25</v>
      </c>
      <c r="K854" s="4" t="s">
        <v>26</v>
      </c>
      <c r="L854" s="4" t="s">
        <v>2806</v>
      </c>
      <c r="O854" s="4" t="s">
        <v>2807</v>
      </c>
      <c r="P854" s="5">
        <f>DATE(2022,6,14)</f>
        <v>44726</v>
      </c>
      <c r="Q854" s="4" t="s">
        <v>2114</v>
      </c>
      <c r="R854" s="5">
        <f t="shared" si="24"/>
        <v>44551</v>
      </c>
      <c r="S854" s="4" t="s">
        <v>125</v>
      </c>
      <c r="T854" s="5">
        <f>DATE(2020,7,21)</f>
        <v>44033</v>
      </c>
    </row>
    <row r="855" spans="1:24" ht="55.05" customHeight="1" x14ac:dyDescent="0.3">
      <c r="A855" s="4" t="s">
        <v>2095</v>
      </c>
      <c r="B855" s="4" t="s">
        <v>145</v>
      </c>
      <c r="C855" s="4" t="s">
        <v>160</v>
      </c>
      <c r="D855" s="4" t="s">
        <v>20</v>
      </c>
      <c r="E855" s="4" t="s">
        <v>2789</v>
      </c>
      <c r="F855" s="4" t="s">
        <v>162</v>
      </c>
      <c r="G855" s="4" t="s">
        <v>2808</v>
      </c>
      <c r="H855" s="4" t="s">
        <v>24</v>
      </c>
      <c r="I855" s="4" t="s">
        <v>25</v>
      </c>
      <c r="K855" s="4" t="s">
        <v>26</v>
      </c>
      <c r="L855" s="4" t="s">
        <v>2809</v>
      </c>
      <c r="O855" s="4" t="s">
        <v>2804</v>
      </c>
      <c r="P855" s="5">
        <f>DATE(2022,8,18)</f>
        <v>44791</v>
      </c>
      <c r="Q855" s="4" t="s">
        <v>53</v>
      </c>
      <c r="R855" s="5">
        <f t="shared" si="24"/>
        <v>44551</v>
      </c>
      <c r="S855" s="4" t="s">
        <v>1860</v>
      </c>
      <c r="T855" s="5">
        <f>DATE(2021,10,21)</f>
        <v>44490</v>
      </c>
    </row>
    <row r="856" spans="1:24" ht="55.05" customHeight="1" x14ac:dyDescent="0.3">
      <c r="A856" s="4" t="s">
        <v>2095</v>
      </c>
      <c r="B856" s="4" t="s">
        <v>145</v>
      </c>
      <c r="C856" s="4" t="s">
        <v>160</v>
      </c>
      <c r="D856" s="4" t="s">
        <v>20</v>
      </c>
      <c r="E856" s="4" t="s">
        <v>2789</v>
      </c>
      <c r="F856" s="4" t="s">
        <v>162</v>
      </c>
      <c r="G856" s="4" t="s">
        <v>2810</v>
      </c>
      <c r="H856" s="4" t="s">
        <v>24</v>
      </c>
      <c r="I856" s="4" t="s">
        <v>25</v>
      </c>
      <c r="K856" s="4" t="s">
        <v>26</v>
      </c>
      <c r="L856" s="4" t="s">
        <v>2811</v>
      </c>
      <c r="O856" s="4" t="s">
        <v>1857</v>
      </c>
      <c r="P856" s="5">
        <f>DATE(2022,8,29)</f>
        <v>44802</v>
      </c>
      <c r="Q856" s="4" t="s">
        <v>2812</v>
      </c>
      <c r="R856" s="5">
        <f>DATE(2022,7,22)</f>
        <v>44764</v>
      </c>
      <c r="S856" s="4" t="s">
        <v>2813</v>
      </c>
      <c r="T856" s="5">
        <f>DATE(2022,3,18)</f>
        <v>44638</v>
      </c>
      <c r="U856" s="4" t="s">
        <v>2114</v>
      </c>
      <c r="V856" s="5">
        <f>DATE(2021,12,21)</f>
        <v>44551</v>
      </c>
      <c r="W856" s="4" t="s">
        <v>1860</v>
      </c>
      <c r="X856" s="5">
        <f>DATE(2021,10,21)</f>
        <v>44490</v>
      </c>
    </row>
    <row r="857" spans="1:24" ht="55.05" customHeight="1" x14ac:dyDescent="0.3">
      <c r="A857" s="4" t="s">
        <v>2095</v>
      </c>
      <c r="B857" s="4" t="s">
        <v>145</v>
      </c>
      <c r="C857" s="4" t="s">
        <v>160</v>
      </c>
      <c r="D857" s="4" t="s">
        <v>20</v>
      </c>
      <c r="E857" s="4" t="s">
        <v>2789</v>
      </c>
      <c r="F857" s="4" t="s">
        <v>162</v>
      </c>
      <c r="G857" s="4" t="s">
        <v>2814</v>
      </c>
      <c r="H857" s="4" t="s">
        <v>24</v>
      </c>
      <c r="I857" s="4" t="s">
        <v>25</v>
      </c>
      <c r="K857" s="4" t="s">
        <v>26</v>
      </c>
      <c r="L857" s="4" t="s">
        <v>2815</v>
      </c>
      <c r="O857" s="4" t="s">
        <v>1857</v>
      </c>
      <c r="P857" s="5">
        <f>DATE(2022,8,29)</f>
        <v>44802</v>
      </c>
      <c r="Q857" s="4" t="s">
        <v>1859</v>
      </c>
      <c r="R857" s="5">
        <f>DATE(2022,3,18)</f>
        <v>44638</v>
      </c>
      <c r="S857" s="4" t="s">
        <v>53</v>
      </c>
      <c r="T857" s="5">
        <f>DATE(2021,12,21)</f>
        <v>44551</v>
      </c>
      <c r="U857" s="4" t="s">
        <v>1860</v>
      </c>
      <c r="V857" s="5">
        <f>DATE(2021,10,21)</f>
        <v>44490</v>
      </c>
    </row>
    <row r="858" spans="1:24" ht="55.05" customHeight="1" x14ac:dyDescent="0.3">
      <c r="A858" s="4" t="s">
        <v>2095</v>
      </c>
      <c r="B858" s="4" t="s">
        <v>145</v>
      </c>
      <c r="C858" s="4" t="s">
        <v>160</v>
      </c>
      <c r="D858" s="4" t="s">
        <v>20</v>
      </c>
      <c r="E858" s="4" t="s">
        <v>2789</v>
      </c>
      <c r="F858" s="4" t="s">
        <v>162</v>
      </c>
      <c r="G858" s="4" t="s">
        <v>2816</v>
      </c>
      <c r="H858" s="4" t="s">
        <v>24</v>
      </c>
      <c r="I858" s="4" t="s">
        <v>25</v>
      </c>
      <c r="K858" s="4" t="s">
        <v>26</v>
      </c>
      <c r="L858" s="4" t="s">
        <v>2817</v>
      </c>
      <c r="M858" s="4" t="s">
        <v>25</v>
      </c>
      <c r="N858" s="5">
        <f>DATE(1,1,1)</f>
        <v>367</v>
      </c>
      <c r="O858" s="4" t="s">
        <v>2818</v>
      </c>
      <c r="P858" s="5">
        <f>DATE(2023,6,19)</f>
        <v>45096</v>
      </c>
      <c r="Q858" s="4" t="s">
        <v>2114</v>
      </c>
      <c r="R858" s="5">
        <f>DATE(2021,12,21)</f>
        <v>44551</v>
      </c>
      <c r="S858" s="4" t="s">
        <v>758</v>
      </c>
      <c r="T858" s="5">
        <f>DATE(2021,10,21)</f>
        <v>44490</v>
      </c>
    </row>
    <row r="859" spans="1:24" ht="55.05" customHeight="1" x14ac:dyDescent="0.3">
      <c r="A859" s="4" t="s">
        <v>2095</v>
      </c>
      <c r="B859" s="4" t="s">
        <v>145</v>
      </c>
      <c r="C859" s="4" t="s">
        <v>521</v>
      </c>
      <c r="D859" s="4" t="s">
        <v>20</v>
      </c>
      <c r="E859" s="4" t="s">
        <v>1940</v>
      </c>
      <c r="F859" s="4" t="s">
        <v>162</v>
      </c>
      <c r="G859" s="4" t="s">
        <v>2819</v>
      </c>
      <c r="H859" s="4" t="s">
        <v>32</v>
      </c>
      <c r="I859" s="4" t="s">
        <v>1797</v>
      </c>
      <c r="J859" s="5">
        <f>DATE(2023,3,14)</f>
        <v>44999</v>
      </c>
      <c r="K859" s="4" t="s">
        <v>26</v>
      </c>
      <c r="L859" s="4" t="s">
        <v>2820</v>
      </c>
      <c r="O859" s="4" t="s">
        <v>2821</v>
      </c>
      <c r="P859" s="5">
        <f>DATE(2023,3,14)</f>
        <v>44999</v>
      </c>
      <c r="Q859" s="4" t="s">
        <v>1692</v>
      </c>
      <c r="R859" s="5">
        <f>DATE(2022,6,28)</f>
        <v>44740</v>
      </c>
      <c r="S859" s="4" t="s">
        <v>2114</v>
      </c>
      <c r="T859" s="5">
        <f>DATE(2021,12,21)</f>
        <v>44551</v>
      </c>
      <c r="U859" s="4" t="s">
        <v>2115</v>
      </c>
      <c r="V859" s="5">
        <f>DATE(2021,3,9)</f>
        <v>44264</v>
      </c>
      <c r="W859" s="4" t="s">
        <v>125</v>
      </c>
      <c r="X859" s="5">
        <f>DATE(2020,7,21)</f>
        <v>44033</v>
      </c>
    </row>
    <row r="860" spans="1:24" ht="55.05" customHeight="1" x14ac:dyDescent="0.3">
      <c r="A860" s="4" t="s">
        <v>2095</v>
      </c>
      <c r="B860" s="4" t="s">
        <v>145</v>
      </c>
      <c r="C860" s="4" t="s">
        <v>521</v>
      </c>
      <c r="D860" s="4" t="s">
        <v>20</v>
      </c>
      <c r="E860" s="4" t="s">
        <v>1977</v>
      </c>
      <c r="F860" s="4" t="s">
        <v>84</v>
      </c>
      <c r="G860" s="4" t="s">
        <v>2822</v>
      </c>
      <c r="H860" s="4" t="s">
        <v>24</v>
      </c>
      <c r="I860" s="4" t="s">
        <v>25</v>
      </c>
      <c r="K860" s="4" t="s">
        <v>26</v>
      </c>
      <c r="L860" s="4" t="s">
        <v>2823</v>
      </c>
      <c r="O860" s="4" t="s">
        <v>136</v>
      </c>
      <c r="P860" s="5">
        <f>DATE(2022,6,28)</f>
        <v>44740</v>
      </c>
      <c r="Q860" s="4" t="s">
        <v>2114</v>
      </c>
      <c r="R860" s="5">
        <f>DATE(2021,12,21)</f>
        <v>44551</v>
      </c>
      <c r="S860" s="4" t="s">
        <v>125</v>
      </c>
      <c r="T860" s="5">
        <f>DATE(2020,7,21)</f>
        <v>44033</v>
      </c>
    </row>
    <row r="861" spans="1:24" ht="55.05" customHeight="1" x14ac:dyDescent="0.3">
      <c r="A861" s="4" t="s">
        <v>2095</v>
      </c>
      <c r="B861" s="4" t="s">
        <v>145</v>
      </c>
      <c r="C861" s="4" t="s">
        <v>521</v>
      </c>
      <c r="D861" s="4" t="s">
        <v>20</v>
      </c>
      <c r="E861" s="4" t="s">
        <v>1977</v>
      </c>
      <c r="F861" s="4" t="s">
        <v>84</v>
      </c>
      <c r="G861" s="4" t="s">
        <v>2824</v>
      </c>
      <c r="H861" s="4" t="s">
        <v>24</v>
      </c>
      <c r="I861" s="4" t="s">
        <v>25</v>
      </c>
      <c r="K861" s="4" t="s">
        <v>26</v>
      </c>
      <c r="L861" s="4" t="s">
        <v>2825</v>
      </c>
      <c r="O861" s="4" t="s">
        <v>2826</v>
      </c>
      <c r="P861" s="5">
        <f>DATE(2023,6,12)</f>
        <v>45089</v>
      </c>
      <c r="Q861" s="4" t="s">
        <v>2114</v>
      </c>
      <c r="R861" s="5">
        <f>DATE(2021,12,21)</f>
        <v>44551</v>
      </c>
      <c r="S861" s="4" t="s">
        <v>125</v>
      </c>
      <c r="T861" s="5">
        <f>DATE(2020,7,21)</f>
        <v>44033</v>
      </c>
    </row>
    <row r="862" spans="1:24" ht="55.05" customHeight="1" x14ac:dyDescent="0.3">
      <c r="A862" s="4" t="s">
        <v>2095</v>
      </c>
      <c r="B862" s="4" t="s">
        <v>145</v>
      </c>
      <c r="C862" s="4" t="s">
        <v>521</v>
      </c>
      <c r="D862" s="4" t="s">
        <v>20</v>
      </c>
      <c r="E862" s="4" t="s">
        <v>1977</v>
      </c>
      <c r="F862" s="4" t="s">
        <v>84</v>
      </c>
      <c r="G862" s="4" t="s">
        <v>2827</v>
      </c>
      <c r="H862" s="4" t="s">
        <v>24</v>
      </c>
      <c r="I862" s="4" t="s">
        <v>25</v>
      </c>
      <c r="K862" s="4" t="s">
        <v>26</v>
      </c>
      <c r="L862" s="4" t="s">
        <v>2828</v>
      </c>
      <c r="O862" s="4" t="s">
        <v>2829</v>
      </c>
      <c r="P862" s="5">
        <f>DATE(2023,8,9)</f>
        <v>45147</v>
      </c>
      <c r="Q862" s="4" t="s">
        <v>2114</v>
      </c>
      <c r="R862" s="5">
        <f>DATE(2021,12,21)</f>
        <v>44551</v>
      </c>
      <c r="S862" s="4" t="s">
        <v>2830</v>
      </c>
      <c r="T862" s="5">
        <f>DATE(2021,7,22)</f>
        <v>44399</v>
      </c>
    </row>
    <row r="863" spans="1:24" ht="55.05" customHeight="1" x14ac:dyDescent="0.3">
      <c r="A863" s="4" t="s">
        <v>2095</v>
      </c>
      <c r="B863" s="4" t="s">
        <v>145</v>
      </c>
      <c r="C863" s="4" t="s">
        <v>521</v>
      </c>
      <c r="D863" s="4" t="s">
        <v>20</v>
      </c>
      <c r="E863" s="4" t="s">
        <v>522</v>
      </c>
      <c r="F863" s="4" t="s">
        <v>84</v>
      </c>
      <c r="G863" s="4" t="s">
        <v>2831</v>
      </c>
      <c r="H863" s="4" t="s">
        <v>24</v>
      </c>
      <c r="I863" s="4" t="s">
        <v>25</v>
      </c>
      <c r="K863" s="4" t="s">
        <v>26</v>
      </c>
      <c r="L863" s="4" t="s">
        <v>2832</v>
      </c>
      <c r="O863" s="4" t="s">
        <v>1031</v>
      </c>
      <c r="P863" s="5">
        <f>DATE(2023,3,28)</f>
        <v>45013</v>
      </c>
      <c r="Q863" s="4" t="s">
        <v>136</v>
      </c>
      <c r="R863" s="5">
        <f>DATE(2022,6,28)</f>
        <v>44740</v>
      </c>
      <c r="S863" s="4" t="s">
        <v>2114</v>
      </c>
      <c r="T863" s="5">
        <f>DATE(2021,12,21)</f>
        <v>44551</v>
      </c>
      <c r="U863" s="4" t="s">
        <v>125</v>
      </c>
      <c r="V863" s="5">
        <f>DATE(2020,7,21)</f>
        <v>44033</v>
      </c>
    </row>
    <row r="864" spans="1:24" ht="55.05" customHeight="1" x14ac:dyDescent="0.3">
      <c r="A864" s="4" t="s">
        <v>2095</v>
      </c>
      <c r="B864" s="4" t="s">
        <v>145</v>
      </c>
      <c r="C864" s="4" t="s">
        <v>521</v>
      </c>
      <c r="D864" s="4" t="s">
        <v>20</v>
      </c>
      <c r="E864" s="4" t="s">
        <v>522</v>
      </c>
      <c r="F864" s="4" t="s">
        <v>84</v>
      </c>
      <c r="G864" s="4" t="s">
        <v>2833</v>
      </c>
      <c r="H864" s="4" t="s">
        <v>32</v>
      </c>
      <c r="I864" s="4" t="s">
        <v>822</v>
      </c>
      <c r="J864" s="5">
        <f>DATE(2023,3,28)</f>
        <v>45013</v>
      </c>
      <c r="K864" s="4" t="s">
        <v>26</v>
      </c>
      <c r="L864" s="4" t="s">
        <v>2834</v>
      </c>
      <c r="O864" s="4" t="s">
        <v>2114</v>
      </c>
      <c r="P864" s="5">
        <f>DATE(2021,12,21)</f>
        <v>44551</v>
      </c>
      <c r="Q864" s="4" t="s">
        <v>758</v>
      </c>
      <c r="R864" s="5">
        <f>DATE(2021,10,21)</f>
        <v>44490</v>
      </c>
    </row>
    <row r="865" spans="1:22" ht="55.05" customHeight="1" x14ac:dyDescent="0.3">
      <c r="A865" s="4" t="s">
        <v>2095</v>
      </c>
      <c r="B865" s="4" t="s">
        <v>145</v>
      </c>
      <c r="C865" s="4" t="s">
        <v>521</v>
      </c>
      <c r="D865" s="4" t="s">
        <v>20</v>
      </c>
      <c r="E865" s="4" t="s">
        <v>522</v>
      </c>
      <c r="F865" s="4" t="s">
        <v>84</v>
      </c>
      <c r="G865" s="4" t="s">
        <v>2835</v>
      </c>
      <c r="H865" s="4" t="s">
        <v>32</v>
      </c>
      <c r="I865" s="4" t="s">
        <v>822</v>
      </c>
      <c r="J865" s="5">
        <f>DATE(2023,3,28)</f>
        <v>45013</v>
      </c>
      <c r="K865" s="4" t="s">
        <v>26</v>
      </c>
      <c r="L865" s="4" t="s">
        <v>2836</v>
      </c>
      <c r="O865" s="4" t="s">
        <v>2114</v>
      </c>
      <c r="P865" s="5">
        <f>DATE(2021,12,21)</f>
        <v>44551</v>
      </c>
      <c r="Q865" s="4" t="s">
        <v>125</v>
      </c>
      <c r="R865" s="5">
        <f>DATE(2020,7,21)</f>
        <v>44033</v>
      </c>
    </row>
    <row r="866" spans="1:22" ht="55.05" customHeight="1" x14ac:dyDescent="0.3">
      <c r="A866" s="4" t="s">
        <v>2095</v>
      </c>
      <c r="B866" s="4" t="s">
        <v>145</v>
      </c>
      <c r="C866" s="4" t="s">
        <v>521</v>
      </c>
      <c r="D866" s="4" t="s">
        <v>20</v>
      </c>
      <c r="E866" s="4" t="s">
        <v>2837</v>
      </c>
      <c r="F866" s="4" t="s">
        <v>162</v>
      </c>
      <c r="G866" s="4" t="s">
        <v>2838</v>
      </c>
      <c r="H866" s="4" t="s">
        <v>24</v>
      </c>
      <c r="I866" s="4" t="s">
        <v>25</v>
      </c>
      <c r="K866" s="4" t="s">
        <v>26</v>
      </c>
      <c r="L866" s="4" t="s">
        <v>2839</v>
      </c>
      <c r="O866" s="4" t="s">
        <v>557</v>
      </c>
      <c r="P866" s="5">
        <f>DATE(2023,7,13)</f>
        <v>45120</v>
      </c>
      <c r="Q866" s="4" t="s">
        <v>1692</v>
      </c>
      <c r="R866" s="5">
        <f>DATE(2022,6,28)</f>
        <v>44740</v>
      </c>
      <c r="S866" s="4" t="s">
        <v>2114</v>
      </c>
      <c r="T866" s="5">
        <f>DATE(2021,12,21)</f>
        <v>44551</v>
      </c>
      <c r="U866" s="4" t="s">
        <v>125</v>
      </c>
      <c r="V866" s="5">
        <f>DATE(2020,7,21)</f>
        <v>44033</v>
      </c>
    </row>
    <row r="867" spans="1:22" ht="55.05" customHeight="1" x14ac:dyDescent="0.3">
      <c r="A867" s="4" t="s">
        <v>2095</v>
      </c>
      <c r="B867" s="4" t="s">
        <v>145</v>
      </c>
      <c r="C867" s="4" t="s">
        <v>521</v>
      </c>
      <c r="D867" s="4" t="s">
        <v>20</v>
      </c>
      <c r="E867" s="4" t="s">
        <v>2837</v>
      </c>
      <c r="F867" s="4" t="s">
        <v>162</v>
      </c>
      <c r="G867" s="4" t="s">
        <v>2840</v>
      </c>
      <c r="H867" s="4" t="s">
        <v>24</v>
      </c>
      <c r="I867" s="4" t="s">
        <v>25</v>
      </c>
      <c r="K867" s="4" t="s">
        <v>26</v>
      </c>
      <c r="L867" s="4" t="s">
        <v>2841</v>
      </c>
      <c r="O867" s="4" t="s">
        <v>2842</v>
      </c>
      <c r="P867" s="5">
        <f>DATE(2023,6,12)</f>
        <v>45089</v>
      </c>
      <c r="Q867" s="4" t="s">
        <v>2114</v>
      </c>
      <c r="R867" s="5">
        <f>DATE(2021,12,21)</f>
        <v>44551</v>
      </c>
      <c r="S867" s="4" t="s">
        <v>758</v>
      </c>
      <c r="T867" s="5">
        <f>DATE(2021,10,21)</f>
        <v>44490</v>
      </c>
    </row>
    <row r="868" spans="1:22" ht="55.05" customHeight="1" x14ac:dyDescent="0.3">
      <c r="A868" s="4" t="s">
        <v>2095</v>
      </c>
      <c r="B868" s="4" t="s">
        <v>145</v>
      </c>
      <c r="C868" s="4" t="s">
        <v>521</v>
      </c>
      <c r="D868" s="4" t="s">
        <v>20</v>
      </c>
      <c r="E868" s="4" t="s">
        <v>2843</v>
      </c>
      <c r="F868" s="4" t="s">
        <v>162</v>
      </c>
      <c r="G868" s="4" t="s">
        <v>2844</v>
      </c>
      <c r="H868" s="4" t="s">
        <v>24</v>
      </c>
      <c r="I868" s="4" t="s">
        <v>25</v>
      </c>
      <c r="K868" s="4" t="s">
        <v>26</v>
      </c>
      <c r="L868" s="4" t="s">
        <v>2845</v>
      </c>
      <c r="O868" s="4" t="s">
        <v>1692</v>
      </c>
      <c r="P868" s="5">
        <f>DATE(2022,6,28)</f>
        <v>44740</v>
      </c>
      <c r="Q868" s="4" t="s">
        <v>2114</v>
      </c>
      <c r="R868" s="5">
        <f>DATE(2021,12,21)</f>
        <v>44551</v>
      </c>
      <c r="S868" s="4" t="s">
        <v>125</v>
      </c>
      <c r="T868" s="5">
        <f>DATE(2020,7,21)</f>
        <v>44033</v>
      </c>
    </row>
    <row r="869" spans="1:22" ht="55.05" customHeight="1" x14ac:dyDescent="0.3">
      <c r="A869" s="4" t="s">
        <v>2095</v>
      </c>
      <c r="B869" s="4" t="s">
        <v>145</v>
      </c>
      <c r="C869" s="4" t="s">
        <v>521</v>
      </c>
      <c r="D869" s="4" t="s">
        <v>20</v>
      </c>
      <c r="E869" s="4" t="s">
        <v>2843</v>
      </c>
      <c r="F869" s="4" t="s">
        <v>162</v>
      </c>
      <c r="G869" s="4" t="s">
        <v>2846</v>
      </c>
      <c r="H869" s="4" t="s">
        <v>24</v>
      </c>
      <c r="I869" s="4" t="s">
        <v>25</v>
      </c>
      <c r="K869" s="4" t="s">
        <v>26</v>
      </c>
      <c r="L869" s="4" t="s">
        <v>2847</v>
      </c>
      <c r="O869" s="4" t="s">
        <v>2848</v>
      </c>
      <c r="P869" s="5">
        <f>DATE(2022,3,23)</f>
        <v>44643</v>
      </c>
      <c r="Q869" s="4" t="s">
        <v>2114</v>
      </c>
      <c r="R869" s="5">
        <f>DATE(2021,12,21)</f>
        <v>44551</v>
      </c>
      <c r="S869" s="4" t="s">
        <v>125</v>
      </c>
      <c r="T869" s="5">
        <f>DATE(2020,7,21)</f>
        <v>44033</v>
      </c>
    </row>
    <row r="870" spans="1:22" ht="55.05" customHeight="1" x14ac:dyDescent="0.3">
      <c r="A870" s="4" t="s">
        <v>2095</v>
      </c>
      <c r="B870" s="4" t="s">
        <v>145</v>
      </c>
      <c r="C870" s="4" t="s">
        <v>521</v>
      </c>
      <c r="D870" s="4" t="s">
        <v>20</v>
      </c>
      <c r="E870" s="4" t="s">
        <v>1998</v>
      </c>
      <c r="F870" s="4" t="s">
        <v>84</v>
      </c>
      <c r="G870" s="4" t="s">
        <v>2849</v>
      </c>
      <c r="H870" s="4" t="s">
        <v>24</v>
      </c>
      <c r="I870" s="4" t="s">
        <v>25</v>
      </c>
      <c r="K870" s="4" t="s">
        <v>26</v>
      </c>
      <c r="L870" s="4" t="s">
        <v>2850</v>
      </c>
      <c r="O870" s="4" t="s">
        <v>136</v>
      </c>
      <c r="P870" s="5">
        <f>DATE(2022,6,28)</f>
        <v>44740</v>
      </c>
      <c r="Q870" s="4" t="s">
        <v>2114</v>
      </c>
      <c r="R870" s="5">
        <f>DATE(2021,12,21)</f>
        <v>44551</v>
      </c>
      <c r="S870" s="4" t="s">
        <v>125</v>
      </c>
      <c r="T870" s="5">
        <f>DATE(2020,7,21)</f>
        <v>44033</v>
      </c>
    </row>
    <row r="871" spans="1:22" ht="55.05" customHeight="1" x14ac:dyDescent="0.3">
      <c r="A871" s="4" t="s">
        <v>2095</v>
      </c>
      <c r="B871" s="4" t="s">
        <v>145</v>
      </c>
      <c r="C871" s="4" t="s">
        <v>521</v>
      </c>
      <c r="D871" s="4" t="s">
        <v>20</v>
      </c>
      <c r="E871" s="4" t="s">
        <v>1998</v>
      </c>
      <c r="F871" s="4" t="s">
        <v>84</v>
      </c>
      <c r="G871" s="4" t="s">
        <v>2851</v>
      </c>
      <c r="H871" s="4" t="s">
        <v>24</v>
      </c>
      <c r="I871" s="4" t="s">
        <v>25</v>
      </c>
      <c r="K871" s="4" t="s">
        <v>26</v>
      </c>
      <c r="L871" s="4" t="s">
        <v>2852</v>
      </c>
      <c r="O871" s="4" t="s">
        <v>2853</v>
      </c>
      <c r="P871" s="5">
        <f>DATE(2022,8,26)</f>
        <v>44799</v>
      </c>
      <c r="Q871" s="4" t="s">
        <v>2114</v>
      </c>
      <c r="R871" s="5">
        <f>DATE(2021,12,21)</f>
        <v>44551</v>
      </c>
      <c r="S871" s="4" t="s">
        <v>125</v>
      </c>
      <c r="T871" s="5">
        <f>DATE(2020,7,21)</f>
        <v>44033</v>
      </c>
    </row>
    <row r="872" spans="1:22" ht="55.05" customHeight="1" x14ac:dyDescent="0.3">
      <c r="A872" s="4" t="s">
        <v>2095</v>
      </c>
      <c r="B872" s="4" t="s">
        <v>145</v>
      </c>
      <c r="C872" s="4" t="s">
        <v>521</v>
      </c>
      <c r="D872" s="4" t="s">
        <v>20</v>
      </c>
      <c r="E872" s="4" t="s">
        <v>1998</v>
      </c>
      <c r="F872" s="4" t="s">
        <v>84</v>
      </c>
      <c r="G872" s="4" t="s">
        <v>2854</v>
      </c>
      <c r="H872" s="4" t="s">
        <v>24</v>
      </c>
      <c r="I872" s="4" t="s">
        <v>25</v>
      </c>
      <c r="K872" s="4" t="s">
        <v>26</v>
      </c>
      <c r="L872" s="4" t="s">
        <v>2855</v>
      </c>
      <c r="O872" s="4" t="s">
        <v>2003</v>
      </c>
      <c r="P872" s="5">
        <f>DATE(2022,5,30)</f>
        <v>44711</v>
      </c>
      <c r="Q872" s="4" t="s">
        <v>2848</v>
      </c>
      <c r="R872" s="5">
        <f>DATE(2022,3,23)</f>
        <v>44643</v>
      </c>
      <c r="S872" s="4" t="s">
        <v>2114</v>
      </c>
      <c r="T872" s="5">
        <f>DATE(2021,12,21)</f>
        <v>44551</v>
      </c>
      <c r="U872" s="4" t="s">
        <v>125</v>
      </c>
      <c r="V872" s="5">
        <f>DATE(2020,7,21)</f>
        <v>44033</v>
      </c>
    </row>
    <row r="873" spans="1:22" ht="55.05" customHeight="1" x14ac:dyDescent="0.3">
      <c r="A873" s="4" t="s">
        <v>2095</v>
      </c>
      <c r="B873" s="4" t="s">
        <v>145</v>
      </c>
      <c r="C873" s="4" t="s">
        <v>165</v>
      </c>
      <c r="D873" s="4" t="s">
        <v>20</v>
      </c>
      <c r="E873" s="4" t="s">
        <v>531</v>
      </c>
      <c r="F873" s="4" t="s">
        <v>122</v>
      </c>
      <c r="G873" s="4" t="s">
        <v>2856</v>
      </c>
      <c r="H873" s="4" t="s">
        <v>24</v>
      </c>
      <c r="I873" s="4" t="s">
        <v>25</v>
      </c>
      <c r="K873" s="4" t="s">
        <v>26</v>
      </c>
      <c r="L873" s="4" t="s">
        <v>2857</v>
      </c>
      <c r="O873" s="4" t="s">
        <v>2858</v>
      </c>
      <c r="P873" s="5">
        <f>DATE(2022,2,17)</f>
        <v>44609</v>
      </c>
      <c r="Q873" s="4" t="s">
        <v>2114</v>
      </c>
      <c r="R873" s="5">
        <f>DATE(2021,12,21)</f>
        <v>44551</v>
      </c>
      <c r="S873" s="4" t="s">
        <v>2115</v>
      </c>
      <c r="T873" s="5">
        <f>DATE(2021,3,9)</f>
        <v>44264</v>
      </c>
    </row>
    <row r="874" spans="1:22" ht="55.05" customHeight="1" x14ac:dyDescent="0.3">
      <c r="A874" s="4" t="s">
        <v>2095</v>
      </c>
      <c r="B874" s="4" t="s">
        <v>145</v>
      </c>
      <c r="C874" s="4" t="s">
        <v>165</v>
      </c>
      <c r="D874" s="4" t="s">
        <v>20</v>
      </c>
      <c r="E874" s="4" t="s">
        <v>531</v>
      </c>
      <c r="F874" s="4" t="s">
        <v>122</v>
      </c>
      <c r="G874" s="4" t="s">
        <v>2859</v>
      </c>
      <c r="H874" s="4" t="s">
        <v>24</v>
      </c>
      <c r="I874" s="4" t="s">
        <v>25</v>
      </c>
      <c r="K874" s="4" t="s">
        <v>26</v>
      </c>
      <c r="L874" s="4" t="s">
        <v>2860</v>
      </c>
      <c r="O874" s="4" t="s">
        <v>136</v>
      </c>
      <c r="P874" s="5">
        <f>DATE(2022,6,28)</f>
        <v>44740</v>
      </c>
      <c r="Q874" s="4" t="s">
        <v>2143</v>
      </c>
      <c r="R874" s="5">
        <f>DATE(2022,2,16)</f>
        <v>44608</v>
      </c>
      <c r="S874" s="4" t="s">
        <v>2114</v>
      </c>
      <c r="T874" s="5">
        <f>DATE(2021,12,21)</f>
        <v>44551</v>
      </c>
      <c r="U874" s="4" t="s">
        <v>2115</v>
      </c>
      <c r="V874" s="5">
        <f>DATE(2021,3,9)</f>
        <v>44264</v>
      </c>
    </row>
    <row r="875" spans="1:22" ht="55.05" customHeight="1" x14ac:dyDescent="0.3">
      <c r="A875" s="4" t="s">
        <v>2095</v>
      </c>
      <c r="B875" s="4" t="s">
        <v>145</v>
      </c>
      <c r="C875" s="4" t="s">
        <v>165</v>
      </c>
      <c r="D875" s="4" t="s">
        <v>20</v>
      </c>
      <c r="E875" s="4" t="s">
        <v>531</v>
      </c>
      <c r="F875" s="4" t="s">
        <v>122</v>
      </c>
      <c r="G875" s="4" t="s">
        <v>2861</v>
      </c>
      <c r="H875" s="4" t="s">
        <v>24</v>
      </c>
      <c r="I875" s="4" t="s">
        <v>25</v>
      </c>
      <c r="K875" s="4" t="s">
        <v>26</v>
      </c>
      <c r="L875" s="4" t="s">
        <v>2862</v>
      </c>
      <c r="O875" s="4" t="s">
        <v>2863</v>
      </c>
      <c r="P875" s="5">
        <f>DATE(2023,11,6)</f>
        <v>45236</v>
      </c>
      <c r="Q875" s="4" t="s">
        <v>2143</v>
      </c>
      <c r="R875" s="5">
        <f>DATE(2022,2,16)</f>
        <v>44608</v>
      </c>
      <c r="S875" s="4" t="s">
        <v>2864</v>
      </c>
      <c r="T875" s="5">
        <f>DATE(2021,12,28)</f>
        <v>44558</v>
      </c>
    </row>
    <row r="876" spans="1:22" ht="55.05" customHeight="1" x14ac:dyDescent="0.3">
      <c r="A876" s="4" t="s">
        <v>2095</v>
      </c>
      <c r="B876" s="4" t="s">
        <v>145</v>
      </c>
      <c r="C876" s="4" t="s">
        <v>165</v>
      </c>
      <c r="D876" s="4" t="s">
        <v>20</v>
      </c>
      <c r="E876" s="4" t="s">
        <v>531</v>
      </c>
      <c r="F876" s="4" t="s">
        <v>122</v>
      </c>
      <c r="G876" s="4" t="s">
        <v>2865</v>
      </c>
      <c r="H876" s="4" t="s">
        <v>24</v>
      </c>
      <c r="I876" s="4" t="s">
        <v>25</v>
      </c>
      <c r="K876" s="4" t="s">
        <v>26</v>
      </c>
      <c r="L876" s="4" t="s">
        <v>2866</v>
      </c>
      <c r="O876" s="4" t="s">
        <v>2143</v>
      </c>
      <c r="P876" s="5">
        <f>DATE(2022,2,16)</f>
        <v>44608</v>
      </c>
      <c r="Q876" s="4" t="s">
        <v>2864</v>
      </c>
      <c r="R876" s="5">
        <f>DATE(2021,12,28)</f>
        <v>44558</v>
      </c>
    </row>
    <row r="877" spans="1:22" ht="55.05" customHeight="1" x14ac:dyDescent="0.3">
      <c r="A877" s="4" t="s">
        <v>2095</v>
      </c>
      <c r="B877" s="4" t="s">
        <v>145</v>
      </c>
      <c r="C877" s="4" t="s">
        <v>165</v>
      </c>
      <c r="D877" s="4" t="s">
        <v>20</v>
      </c>
      <c r="E877" s="4" t="s">
        <v>2867</v>
      </c>
      <c r="F877" s="4" t="s">
        <v>122</v>
      </c>
      <c r="G877" s="4" t="s">
        <v>2868</v>
      </c>
      <c r="H877" s="4" t="s">
        <v>24</v>
      </c>
      <c r="I877" s="4" t="s">
        <v>25</v>
      </c>
      <c r="K877" s="4" t="s">
        <v>26</v>
      </c>
      <c r="L877" s="4" t="s">
        <v>2869</v>
      </c>
      <c r="O877" s="4" t="s">
        <v>2870</v>
      </c>
      <c r="P877" s="5">
        <f>DATE(2022,9,29)</f>
        <v>44833</v>
      </c>
      <c r="Q877" s="4" t="s">
        <v>2114</v>
      </c>
      <c r="R877" s="5">
        <f>DATE(2021,12,21)</f>
        <v>44551</v>
      </c>
      <c r="S877" s="4" t="s">
        <v>125</v>
      </c>
      <c r="T877" s="5">
        <f>DATE(2020,7,21)</f>
        <v>44033</v>
      </c>
    </row>
    <row r="878" spans="1:22" ht="55.05" customHeight="1" x14ac:dyDescent="0.3">
      <c r="A878" s="4" t="s">
        <v>2095</v>
      </c>
      <c r="B878" s="4" t="s">
        <v>145</v>
      </c>
      <c r="C878" s="4" t="s">
        <v>165</v>
      </c>
      <c r="D878" s="4" t="s">
        <v>20</v>
      </c>
      <c r="E878" s="4" t="s">
        <v>166</v>
      </c>
      <c r="F878" s="4" t="s">
        <v>122</v>
      </c>
      <c r="G878" s="4" t="s">
        <v>2871</v>
      </c>
      <c r="H878" s="4" t="s">
        <v>24</v>
      </c>
      <c r="I878" s="4" t="s">
        <v>25</v>
      </c>
      <c r="K878" s="4" t="s">
        <v>26</v>
      </c>
      <c r="L878" s="4" t="s">
        <v>2872</v>
      </c>
      <c r="O878" s="4" t="s">
        <v>2114</v>
      </c>
      <c r="P878" s="5">
        <f t="shared" ref="P878:P884" si="25">DATE(2021,12,21)</f>
        <v>44551</v>
      </c>
      <c r="Q878" s="4" t="s">
        <v>2115</v>
      </c>
      <c r="R878" s="5">
        <f t="shared" ref="R878:R884" si="26">DATE(2021,3,9)</f>
        <v>44264</v>
      </c>
    </row>
    <row r="879" spans="1:22" ht="55.05" customHeight="1" x14ac:dyDescent="0.3">
      <c r="A879" s="4" t="s">
        <v>2095</v>
      </c>
      <c r="B879" s="4" t="s">
        <v>145</v>
      </c>
      <c r="C879" s="4" t="s">
        <v>165</v>
      </c>
      <c r="D879" s="4" t="s">
        <v>20</v>
      </c>
      <c r="E879" s="4" t="s">
        <v>166</v>
      </c>
      <c r="F879" s="4" t="s">
        <v>122</v>
      </c>
      <c r="G879" s="4" t="s">
        <v>2873</v>
      </c>
      <c r="H879" s="4" t="s">
        <v>24</v>
      </c>
      <c r="I879" s="4" t="s">
        <v>25</v>
      </c>
      <c r="K879" s="4" t="s">
        <v>26</v>
      </c>
      <c r="L879" s="4" t="s">
        <v>2874</v>
      </c>
      <c r="O879" s="4" t="s">
        <v>2114</v>
      </c>
      <c r="P879" s="5">
        <f t="shared" si="25"/>
        <v>44551</v>
      </c>
      <c r="Q879" s="4" t="s">
        <v>2115</v>
      </c>
      <c r="R879" s="5">
        <f t="shared" si="26"/>
        <v>44264</v>
      </c>
    </row>
    <row r="880" spans="1:22" ht="55.05" customHeight="1" x14ac:dyDescent="0.3">
      <c r="A880" s="4" t="s">
        <v>2095</v>
      </c>
      <c r="B880" s="4" t="s">
        <v>145</v>
      </c>
      <c r="C880" s="4" t="s">
        <v>165</v>
      </c>
      <c r="D880" s="4" t="s">
        <v>20</v>
      </c>
      <c r="E880" s="4" t="s">
        <v>166</v>
      </c>
      <c r="F880" s="4" t="s">
        <v>122</v>
      </c>
      <c r="G880" s="4" t="s">
        <v>2875</v>
      </c>
      <c r="H880" s="4" t="s">
        <v>24</v>
      </c>
      <c r="I880" s="4" t="s">
        <v>25</v>
      </c>
      <c r="K880" s="4" t="s">
        <v>26</v>
      </c>
      <c r="L880" s="4" t="s">
        <v>2876</v>
      </c>
      <c r="O880" s="4" t="s">
        <v>2114</v>
      </c>
      <c r="P880" s="5">
        <f t="shared" si="25"/>
        <v>44551</v>
      </c>
      <c r="Q880" s="4" t="s">
        <v>2115</v>
      </c>
      <c r="R880" s="5">
        <f t="shared" si="26"/>
        <v>44264</v>
      </c>
    </row>
    <row r="881" spans="1:24" ht="55.05" customHeight="1" x14ac:dyDescent="0.3">
      <c r="A881" s="4" t="s">
        <v>2095</v>
      </c>
      <c r="B881" s="4" t="s">
        <v>145</v>
      </c>
      <c r="C881" s="4" t="s">
        <v>165</v>
      </c>
      <c r="D881" s="4" t="s">
        <v>20</v>
      </c>
      <c r="E881" s="4" t="s">
        <v>166</v>
      </c>
      <c r="F881" s="4" t="s">
        <v>122</v>
      </c>
      <c r="G881" s="4" t="s">
        <v>2877</v>
      </c>
      <c r="H881" s="4" t="s">
        <v>24</v>
      </c>
      <c r="I881" s="4" t="s">
        <v>25</v>
      </c>
      <c r="K881" s="4" t="s">
        <v>26</v>
      </c>
      <c r="L881" s="4" t="s">
        <v>2878</v>
      </c>
      <c r="O881" s="4" t="s">
        <v>2114</v>
      </c>
      <c r="P881" s="5">
        <f t="shared" si="25"/>
        <v>44551</v>
      </c>
      <c r="Q881" s="4" t="s">
        <v>2115</v>
      </c>
      <c r="R881" s="5">
        <f t="shared" si="26"/>
        <v>44264</v>
      </c>
    </row>
    <row r="882" spans="1:24" ht="55.05" customHeight="1" x14ac:dyDescent="0.3">
      <c r="A882" s="4" t="s">
        <v>2095</v>
      </c>
      <c r="B882" s="4" t="s">
        <v>145</v>
      </c>
      <c r="C882" s="4" t="s">
        <v>165</v>
      </c>
      <c r="D882" s="4" t="s">
        <v>20</v>
      </c>
      <c r="E882" s="4" t="s">
        <v>166</v>
      </c>
      <c r="F882" s="4" t="s">
        <v>122</v>
      </c>
      <c r="G882" s="4" t="s">
        <v>2879</v>
      </c>
      <c r="H882" s="4" t="s">
        <v>24</v>
      </c>
      <c r="I882" s="4" t="s">
        <v>25</v>
      </c>
      <c r="K882" s="4" t="s">
        <v>26</v>
      </c>
      <c r="L882" s="4" t="s">
        <v>2880</v>
      </c>
      <c r="O882" s="4" t="s">
        <v>2114</v>
      </c>
      <c r="P882" s="5">
        <f t="shared" si="25"/>
        <v>44551</v>
      </c>
      <c r="Q882" s="4" t="s">
        <v>2115</v>
      </c>
      <c r="R882" s="5">
        <f t="shared" si="26"/>
        <v>44264</v>
      </c>
    </row>
    <row r="883" spans="1:24" ht="55.05" customHeight="1" x14ac:dyDescent="0.3">
      <c r="A883" s="4" t="s">
        <v>2095</v>
      </c>
      <c r="B883" s="4" t="s">
        <v>145</v>
      </c>
      <c r="C883" s="4" t="s">
        <v>165</v>
      </c>
      <c r="D883" s="4" t="s">
        <v>20</v>
      </c>
      <c r="E883" s="4" t="s">
        <v>166</v>
      </c>
      <c r="F883" s="4" t="s">
        <v>122</v>
      </c>
      <c r="G883" s="4" t="s">
        <v>2881</v>
      </c>
      <c r="H883" s="4" t="s">
        <v>24</v>
      </c>
      <c r="I883" s="4" t="s">
        <v>25</v>
      </c>
      <c r="K883" s="4" t="s">
        <v>26</v>
      </c>
      <c r="L883" s="4" t="s">
        <v>2882</v>
      </c>
      <c r="O883" s="4" t="s">
        <v>2114</v>
      </c>
      <c r="P883" s="5">
        <f t="shared" si="25"/>
        <v>44551</v>
      </c>
      <c r="Q883" s="4" t="s">
        <v>2115</v>
      </c>
      <c r="R883" s="5">
        <f t="shared" si="26"/>
        <v>44264</v>
      </c>
    </row>
    <row r="884" spans="1:24" ht="55.05" customHeight="1" x14ac:dyDescent="0.3">
      <c r="A884" s="4" t="s">
        <v>2095</v>
      </c>
      <c r="B884" s="4" t="s">
        <v>145</v>
      </c>
      <c r="C884" s="4" t="s">
        <v>165</v>
      </c>
      <c r="D884" s="4" t="s">
        <v>20</v>
      </c>
      <c r="E884" s="4" t="s">
        <v>166</v>
      </c>
      <c r="F884" s="4" t="s">
        <v>122</v>
      </c>
      <c r="G884" s="4" t="s">
        <v>2883</v>
      </c>
      <c r="H884" s="4" t="s">
        <v>24</v>
      </c>
      <c r="I884" s="4" t="s">
        <v>25</v>
      </c>
      <c r="K884" s="4" t="s">
        <v>26</v>
      </c>
      <c r="L884" s="4" t="s">
        <v>2884</v>
      </c>
      <c r="O884" s="4" t="s">
        <v>2114</v>
      </c>
      <c r="P884" s="5">
        <f t="shared" si="25"/>
        <v>44551</v>
      </c>
      <c r="Q884" s="4" t="s">
        <v>2115</v>
      </c>
      <c r="R884" s="5">
        <f t="shared" si="26"/>
        <v>44264</v>
      </c>
    </row>
    <row r="885" spans="1:24" ht="55.05" customHeight="1" x14ac:dyDescent="0.3">
      <c r="A885" s="4" t="s">
        <v>2095</v>
      </c>
      <c r="B885" s="4" t="s">
        <v>145</v>
      </c>
      <c r="C885" s="4" t="s">
        <v>165</v>
      </c>
      <c r="D885" s="4" t="s">
        <v>20</v>
      </c>
      <c r="E885" s="4" t="s">
        <v>166</v>
      </c>
      <c r="F885" s="4" t="s">
        <v>122</v>
      </c>
      <c r="G885" s="4" t="s">
        <v>2885</v>
      </c>
      <c r="H885" s="4" t="s">
        <v>24</v>
      </c>
      <c r="I885" s="4" t="s">
        <v>25</v>
      </c>
      <c r="K885" s="4" t="s">
        <v>26</v>
      </c>
      <c r="L885" s="4" t="s">
        <v>2886</v>
      </c>
      <c r="O885" s="4" t="s">
        <v>2870</v>
      </c>
      <c r="P885" s="5">
        <f>DATE(2022,9,29)</f>
        <v>44833</v>
      </c>
      <c r="Q885" s="4" t="s">
        <v>136</v>
      </c>
      <c r="R885" s="5">
        <f>DATE(2022,6,28)</f>
        <v>44740</v>
      </c>
      <c r="S885" s="4" t="s">
        <v>2114</v>
      </c>
      <c r="T885" s="5">
        <f>DATE(2021,12,21)</f>
        <v>44551</v>
      </c>
      <c r="U885" s="4" t="s">
        <v>2115</v>
      </c>
      <c r="V885" s="5">
        <f>DATE(2021,3,9)</f>
        <v>44264</v>
      </c>
    </row>
    <row r="886" spans="1:24" ht="55.05" customHeight="1" x14ac:dyDescent="0.3">
      <c r="A886" s="4" t="s">
        <v>2095</v>
      </c>
      <c r="B886" s="4" t="s">
        <v>145</v>
      </c>
      <c r="C886" s="4" t="s">
        <v>165</v>
      </c>
      <c r="D886" s="4" t="s">
        <v>20</v>
      </c>
      <c r="E886" s="4" t="s">
        <v>2046</v>
      </c>
      <c r="F886" s="4" t="s">
        <v>122</v>
      </c>
      <c r="G886" s="4" t="s">
        <v>2887</v>
      </c>
      <c r="H886" s="4" t="s">
        <v>24</v>
      </c>
      <c r="I886" s="4" t="s">
        <v>25</v>
      </c>
      <c r="K886" s="4" t="s">
        <v>26</v>
      </c>
      <c r="L886" s="4" t="s">
        <v>2888</v>
      </c>
      <c r="O886" s="4" t="s">
        <v>2889</v>
      </c>
      <c r="P886" s="5">
        <f>DATE(2023,5,18)</f>
        <v>45064</v>
      </c>
      <c r="Q886" s="4" t="s">
        <v>2870</v>
      </c>
      <c r="R886" s="5">
        <f>DATE(2022,9,29)</f>
        <v>44833</v>
      </c>
      <c r="S886" s="4" t="s">
        <v>136</v>
      </c>
      <c r="T886" s="5">
        <f>DATE(2022,6,28)</f>
        <v>44740</v>
      </c>
      <c r="U886" s="4" t="s">
        <v>2114</v>
      </c>
      <c r="V886" s="5">
        <f>DATE(2021,12,21)</f>
        <v>44551</v>
      </c>
      <c r="W886" s="4" t="s">
        <v>2115</v>
      </c>
      <c r="X886" s="5">
        <f>DATE(2021,3,9)</f>
        <v>44264</v>
      </c>
    </row>
    <row r="887" spans="1:24" ht="55.05" customHeight="1" x14ac:dyDescent="0.3">
      <c r="A887" s="4" t="s">
        <v>2095</v>
      </c>
      <c r="B887" s="4" t="s">
        <v>145</v>
      </c>
      <c r="C887" s="4" t="s">
        <v>165</v>
      </c>
      <c r="D887" s="4" t="s">
        <v>20</v>
      </c>
      <c r="E887" s="4" t="s">
        <v>2046</v>
      </c>
      <c r="F887" s="4" t="s">
        <v>122</v>
      </c>
      <c r="G887" s="4" t="s">
        <v>2890</v>
      </c>
      <c r="H887" s="4" t="s">
        <v>24</v>
      </c>
      <c r="I887" s="4" t="s">
        <v>25</v>
      </c>
      <c r="K887" s="4" t="s">
        <v>26</v>
      </c>
      <c r="L887" s="4" t="s">
        <v>2891</v>
      </c>
      <c r="O887" s="4" t="s">
        <v>2892</v>
      </c>
      <c r="P887" s="5">
        <f>DATE(2023,5,10)</f>
        <v>45056</v>
      </c>
      <c r="Q887" s="4" t="s">
        <v>2114</v>
      </c>
      <c r="R887" s="5">
        <f>DATE(2021,12,21)</f>
        <v>44551</v>
      </c>
      <c r="S887" s="4" t="s">
        <v>2893</v>
      </c>
      <c r="T887" s="5">
        <f>DATE(2021,12,2)</f>
        <v>44532</v>
      </c>
    </row>
    <row r="888" spans="1:24" ht="55.05" customHeight="1" x14ac:dyDescent="0.3">
      <c r="A888" s="4" t="s">
        <v>2095</v>
      </c>
      <c r="B888" s="4" t="s">
        <v>145</v>
      </c>
      <c r="C888" s="4" t="s">
        <v>165</v>
      </c>
      <c r="D888" s="4" t="s">
        <v>20</v>
      </c>
      <c r="E888" s="4" t="s">
        <v>2046</v>
      </c>
      <c r="F888" s="4" t="s">
        <v>122</v>
      </c>
      <c r="G888" s="4" t="s">
        <v>2894</v>
      </c>
      <c r="H888" s="4" t="s">
        <v>24</v>
      </c>
      <c r="I888" s="4" t="s">
        <v>25</v>
      </c>
      <c r="K888" s="4" t="s">
        <v>26</v>
      </c>
      <c r="L888" s="4" t="s">
        <v>2895</v>
      </c>
      <c r="O888" s="4" t="s">
        <v>2892</v>
      </c>
      <c r="P888" s="5">
        <f>DATE(2023,5,10)</f>
        <v>45056</v>
      </c>
      <c r="Q888" s="4" t="s">
        <v>2114</v>
      </c>
      <c r="R888" s="5">
        <f>DATE(2021,12,21)</f>
        <v>44551</v>
      </c>
      <c r="S888" s="4" t="s">
        <v>2115</v>
      </c>
      <c r="T888" s="5">
        <f>DATE(2021,3,9)</f>
        <v>44264</v>
      </c>
    </row>
    <row r="889" spans="1:24" ht="55.05" customHeight="1" x14ac:dyDescent="0.3">
      <c r="A889" s="4" t="s">
        <v>2095</v>
      </c>
      <c r="B889" s="4" t="s">
        <v>145</v>
      </c>
      <c r="C889" s="4" t="s">
        <v>165</v>
      </c>
      <c r="D889" s="4" t="s">
        <v>20</v>
      </c>
      <c r="E889" s="4" t="s">
        <v>2046</v>
      </c>
      <c r="F889" s="4" t="s">
        <v>122</v>
      </c>
      <c r="G889" s="4" t="s">
        <v>2896</v>
      </c>
      <c r="H889" s="4" t="s">
        <v>24</v>
      </c>
      <c r="I889" s="4" t="s">
        <v>25</v>
      </c>
      <c r="K889" s="4" t="s">
        <v>26</v>
      </c>
      <c r="L889" s="4" t="s">
        <v>2897</v>
      </c>
      <c r="O889" s="4" t="s">
        <v>2892</v>
      </c>
      <c r="P889" s="5">
        <f>DATE(2023,5,10)</f>
        <v>45056</v>
      </c>
      <c r="Q889" s="4" t="s">
        <v>2114</v>
      </c>
      <c r="R889" s="5">
        <f>DATE(2021,12,21)</f>
        <v>44551</v>
      </c>
      <c r="S889" s="4" t="s">
        <v>2893</v>
      </c>
      <c r="T889" s="5">
        <f>DATE(2021,12,2)</f>
        <v>44532</v>
      </c>
    </row>
    <row r="890" spans="1:24" ht="55.05" customHeight="1" x14ac:dyDescent="0.3">
      <c r="A890" s="4" t="s">
        <v>2095</v>
      </c>
      <c r="B890" s="4" t="s">
        <v>145</v>
      </c>
      <c r="C890" s="4" t="s">
        <v>165</v>
      </c>
      <c r="D890" s="4" t="s">
        <v>20</v>
      </c>
      <c r="E890" s="4" t="s">
        <v>2052</v>
      </c>
      <c r="F890" s="4" t="s">
        <v>122</v>
      </c>
      <c r="G890" s="4" t="s">
        <v>2898</v>
      </c>
      <c r="H890" s="4" t="s">
        <v>37</v>
      </c>
      <c r="I890" s="4" t="s">
        <v>25</v>
      </c>
      <c r="K890" s="4" t="s">
        <v>26</v>
      </c>
      <c r="L890" s="4" t="s">
        <v>2899</v>
      </c>
      <c r="O890" s="4" t="s">
        <v>136</v>
      </c>
      <c r="P890" s="5">
        <f>DATE(2022,6,28)</f>
        <v>44740</v>
      </c>
      <c r="Q890" s="4" t="s">
        <v>2143</v>
      </c>
      <c r="R890" s="5">
        <f>DATE(2022,2,16)</f>
        <v>44608</v>
      </c>
    </row>
    <row r="891" spans="1:24" ht="55.05" customHeight="1" x14ac:dyDescent="0.3">
      <c r="A891" s="4" t="s">
        <v>2095</v>
      </c>
      <c r="B891" s="4" t="s">
        <v>145</v>
      </c>
      <c r="C891" s="4" t="s">
        <v>165</v>
      </c>
      <c r="D891" s="4" t="s">
        <v>20</v>
      </c>
      <c r="E891" s="4" t="s">
        <v>2052</v>
      </c>
      <c r="F891" s="4" t="s">
        <v>122</v>
      </c>
      <c r="G891" s="4" t="s">
        <v>2900</v>
      </c>
      <c r="H891" s="4" t="s">
        <v>24</v>
      </c>
      <c r="I891" s="4" t="s">
        <v>25</v>
      </c>
      <c r="K891" s="4" t="s">
        <v>26</v>
      </c>
      <c r="L891" s="4" t="s">
        <v>2901</v>
      </c>
      <c r="O891" s="4" t="s">
        <v>2058</v>
      </c>
      <c r="P891" s="5">
        <f>DATE(2023,12,28)</f>
        <v>45288</v>
      </c>
      <c r="Q891" s="4" t="s">
        <v>2143</v>
      </c>
      <c r="R891" s="5">
        <f>DATE(2022,2,16)</f>
        <v>44608</v>
      </c>
      <c r="S891" s="4" t="s">
        <v>2114</v>
      </c>
      <c r="T891" s="5">
        <f>DATE(2021,12,21)</f>
        <v>44551</v>
      </c>
      <c r="U891" s="4" t="s">
        <v>2115</v>
      </c>
      <c r="V891" s="5">
        <f>DATE(2021,3,9)</f>
        <v>44264</v>
      </c>
    </row>
    <row r="892" spans="1:24" ht="55.05" customHeight="1" x14ac:dyDescent="0.3">
      <c r="A892" s="4" t="s">
        <v>2095</v>
      </c>
      <c r="B892" s="4" t="s">
        <v>145</v>
      </c>
      <c r="C892" s="4" t="s">
        <v>165</v>
      </c>
      <c r="D892" s="4" t="s">
        <v>20</v>
      </c>
      <c r="E892" s="4" t="s">
        <v>2052</v>
      </c>
      <c r="F892" s="4" t="s">
        <v>122</v>
      </c>
      <c r="G892" s="4" t="s">
        <v>2902</v>
      </c>
      <c r="H892" s="4" t="s">
        <v>24</v>
      </c>
      <c r="I892" s="4" t="s">
        <v>25</v>
      </c>
      <c r="K892" s="4" t="s">
        <v>26</v>
      </c>
      <c r="L892" s="4" t="s">
        <v>2903</v>
      </c>
      <c r="O892" s="4" t="s">
        <v>2143</v>
      </c>
      <c r="P892" s="5">
        <f>DATE(2022,2,16)</f>
        <v>44608</v>
      </c>
      <c r="Q892" s="4" t="s">
        <v>2114</v>
      </c>
      <c r="R892" s="5">
        <f>DATE(2021,12,21)</f>
        <v>44551</v>
      </c>
      <c r="S892" s="4" t="s">
        <v>2115</v>
      </c>
      <c r="T892" s="5">
        <f>DATE(2021,3,9)</f>
        <v>44264</v>
      </c>
    </row>
    <row r="893" spans="1:24" ht="55.05" customHeight="1" x14ac:dyDescent="0.3">
      <c r="A893" s="4" t="s">
        <v>2095</v>
      </c>
      <c r="B893" s="4" t="s">
        <v>145</v>
      </c>
      <c r="C893" s="4" t="s">
        <v>165</v>
      </c>
      <c r="D893" s="4" t="s">
        <v>20</v>
      </c>
      <c r="E893" s="4" t="s">
        <v>2052</v>
      </c>
      <c r="F893" s="4" t="s">
        <v>122</v>
      </c>
      <c r="G893" s="4" t="s">
        <v>2904</v>
      </c>
      <c r="H893" s="4" t="s">
        <v>24</v>
      </c>
      <c r="I893" s="4" t="s">
        <v>25</v>
      </c>
      <c r="K893" s="4" t="s">
        <v>26</v>
      </c>
      <c r="L893" s="4" t="s">
        <v>2905</v>
      </c>
      <c r="O893" s="4" t="s">
        <v>2906</v>
      </c>
      <c r="P893" s="5">
        <f>DATE(2023,3,2)</f>
        <v>44987</v>
      </c>
      <c r="Q893" s="4" t="s">
        <v>2143</v>
      </c>
      <c r="R893" s="5">
        <f>DATE(2022,2,16)</f>
        <v>44608</v>
      </c>
      <c r="S893" s="4" t="s">
        <v>2114</v>
      </c>
      <c r="T893" s="5">
        <f>DATE(2021,12,21)</f>
        <v>44551</v>
      </c>
      <c r="U893" s="4" t="s">
        <v>2115</v>
      </c>
      <c r="V893" s="5">
        <f>DATE(2021,3,9)</f>
        <v>44264</v>
      </c>
    </row>
    <row r="894" spans="1:24" ht="55.05" customHeight="1" x14ac:dyDescent="0.3">
      <c r="A894" s="4" t="s">
        <v>2095</v>
      </c>
      <c r="B894" s="4" t="s">
        <v>145</v>
      </c>
      <c r="C894" s="4" t="s">
        <v>165</v>
      </c>
      <c r="D894" s="4" t="s">
        <v>20</v>
      </c>
      <c r="E894" s="4" t="s">
        <v>2052</v>
      </c>
      <c r="F894" s="4" t="s">
        <v>122</v>
      </c>
      <c r="G894" s="4" t="s">
        <v>2907</v>
      </c>
      <c r="H894" s="4" t="s">
        <v>24</v>
      </c>
      <c r="I894" s="4" t="s">
        <v>25</v>
      </c>
      <c r="K894" s="4" t="s">
        <v>26</v>
      </c>
      <c r="L894" s="4" t="s">
        <v>2908</v>
      </c>
      <c r="O894" s="4" t="s">
        <v>2143</v>
      </c>
      <c r="P894" s="5">
        <f>DATE(2022,2,16)</f>
        <v>44608</v>
      </c>
      <c r="Q894" s="4" t="s">
        <v>2114</v>
      </c>
      <c r="R894" s="5">
        <f>DATE(2021,12,21)</f>
        <v>44551</v>
      </c>
      <c r="S894" s="4" t="s">
        <v>2115</v>
      </c>
      <c r="T894" s="5">
        <f>DATE(2021,3,9)</f>
        <v>44264</v>
      </c>
    </row>
    <row r="895" spans="1:24" ht="55.05" customHeight="1" x14ac:dyDescent="0.3">
      <c r="A895" s="4" t="s">
        <v>2095</v>
      </c>
      <c r="B895" s="4" t="s">
        <v>145</v>
      </c>
      <c r="C895" s="4" t="s">
        <v>165</v>
      </c>
      <c r="D895" s="4" t="s">
        <v>20</v>
      </c>
      <c r="E895" s="4" t="s">
        <v>172</v>
      </c>
      <c r="F895" s="4" t="s">
        <v>122</v>
      </c>
      <c r="G895" s="4" t="s">
        <v>2909</v>
      </c>
      <c r="H895" s="4" t="s">
        <v>32</v>
      </c>
      <c r="I895" s="4" t="s">
        <v>130</v>
      </c>
      <c r="J895" s="5">
        <f>DATE(2022,6,28)</f>
        <v>44740</v>
      </c>
      <c r="K895" s="4" t="s">
        <v>26</v>
      </c>
      <c r="L895" s="4" t="s">
        <v>2910</v>
      </c>
      <c r="O895" s="4" t="s">
        <v>2911</v>
      </c>
      <c r="P895" s="5">
        <f>DATE(2022,8,3)</f>
        <v>44776</v>
      </c>
      <c r="Q895" s="4" t="s">
        <v>2114</v>
      </c>
      <c r="R895" s="5">
        <f>DATE(2021,12,21)</f>
        <v>44551</v>
      </c>
      <c r="S895" s="4" t="s">
        <v>2115</v>
      </c>
      <c r="T895" s="5">
        <f>DATE(2021,3,9)</f>
        <v>44264</v>
      </c>
    </row>
    <row r="896" spans="1:24" ht="55.05" customHeight="1" x14ac:dyDescent="0.3">
      <c r="A896" s="4" t="s">
        <v>2095</v>
      </c>
      <c r="B896" s="4" t="s">
        <v>145</v>
      </c>
      <c r="C896" s="4" t="s">
        <v>165</v>
      </c>
      <c r="D896" s="4" t="s">
        <v>20</v>
      </c>
      <c r="E896" s="4" t="s">
        <v>172</v>
      </c>
      <c r="F896" s="4" t="s">
        <v>122</v>
      </c>
      <c r="G896" s="4" t="s">
        <v>2912</v>
      </c>
      <c r="H896" s="4" t="s">
        <v>24</v>
      </c>
      <c r="I896" s="4" t="s">
        <v>25</v>
      </c>
      <c r="K896" s="4" t="s">
        <v>26</v>
      </c>
      <c r="L896" s="4" t="s">
        <v>2913</v>
      </c>
      <c r="O896" s="4" t="s">
        <v>2870</v>
      </c>
      <c r="P896" s="5">
        <f>DATE(2022,9,29)</f>
        <v>44833</v>
      </c>
      <c r="Q896" s="4" t="s">
        <v>136</v>
      </c>
      <c r="R896" s="5">
        <f>DATE(2022,6,28)</f>
        <v>44740</v>
      </c>
      <c r="S896" s="4" t="s">
        <v>2114</v>
      </c>
      <c r="T896" s="5">
        <f>DATE(2021,12,21)</f>
        <v>44551</v>
      </c>
      <c r="U896" s="4" t="s">
        <v>2115</v>
      </c>
      <c r="V896" s="5">
        <f>DATE(2021,3,9)</f>
        <v>44264</v>
      </c>
    </row>
    <row r="897" spans="1:22" ht="55.05" customHeight="1" x14ac:dyDescent="0.3">
      <c r="A897" s="4" t="s">
        <v>2095</v>
      </c>
      <c r="B897" s="4" t="s">
        <v>145</v>
      </c>
      <c r="C897" s="4" t="s">
        <v>165</v>
      </c>
      <c r="D897" s="4" t="s">
        <v>20</v>
      </c>
      <c r="E897" s="4" t="s">
        <v>172</v>
      </c>
      <c r="F897" s="4" t="s">
        <v>122</v>
      </c>
      <c r="G897" s="4" t="s">
        <v>2914</v>
      </c>
      <c r="H897" s="4" t="s">
        <v>24</v>
      </c>
      <c r="I897" s="4" t="s">
        <v>25</v>
      </c>
      <c r="K897" s="4" t="s">
        <v>26</v>
      </c>
      <c r="L897" s="4" t="s">
        <v>2915</v>
      </c>
      <c r="O897" s="4" t="s">
        <v>2911</v>
      </c>
      <c r="P897" s="5">
        <f>DATE(2022,8,3)</f>
        <v>44776</v>
      </c>
      <c r="Q897" s="4" t="s">
        <v>2114</v>
      </c>
      <c r="R897" s="5">
        <f>DATE(2021,12,21)</f>
        <v>44551</v>
      </c>
      <c r="S897" s="4" t="s">
        <v>2115</v>
      </c>
      <c r="T897" s="5">
        <f>DATE(2021,3,9)</f>
        <v>44264</v>
      </c>
    </row>
    <row r="898" spans="1:22" ht="55.05" customHeight="1" x14ac:dyDescent="0.3">
      <c r="A898" s="4" t="s">
        <v>2095</v>
      </c>
      <c r="B898" s="4" t="s">
        <v>145</v>
      </c>
      <c r="C898" s="4" t="s">
        <v>165</v>
      </c>
      <c r="D898" s="4" t="s">
        <v>20</v>
      </c>
      <c r="E898" s="4" t="s">
        <v>172</v>
      </c>
      <c r="F898" s="4" t="s">
        <v>122</v>
      </c>
      <c r="G898" s="4" t="s">
        <v>2916</v>
      </c>
      <c r="H898" s="4" t="s">
        <v>24</v>
      </c>
      <c r="I898" s="4" t="s">
        <v>25</v>
      </c>
      <c r="K898" s="4" t="s">
        <v>26</v>
      </c>
      <c r="L898" s="4" t="s">
        <v>2917</v>
      </c>
      <c r="O898" s="4" t="s">
        <v>136</v>
      </c>
      <c r="P898" s="5">
        <f>DATE(2022,6,28)</f>
        <v>44740</v>
      </c>
      <c r="Q898" s="4" t="s">
        <v>2918</v>
      </c>
      <c r="R898" s="5">
        <f>DATE(2022,3,25)</f>
        <v>44645</v>
      </c>
    </row>
    <row r="899" spans="1:22" ht="55.05" customHeight="1" x14ac:dyDescent="0.3">
      <c r="A899" s="4" t="s">
        <v>2095</v>
      </c>
      <c r="B899" s="4" t="s">
        <v>145</v>
      </c>
      <c r="C899" s="4" t="s">
        <v>165</v>
      </c>
      <c r="D899" s="4" t="s">
        <v>20</v>
      </c>
      <c r="E899" s="4" t="s">
        <v>172</v>
      </c>
      <c r="F899" s="4" t="s">
        <v>122</v>
      </c>
      <c r="G899" s="4" t="s">
        <v>2919</v>
      </c>
      <c r="H899" s="4" t="s">
        <v>24</v>
      </c>
      <c r="I899" s="4" t="s">
        <v>25</v>
      </c>
      <c r="K899" s="4" t="s">
        <v>26</v>
      </c>
      <c r="L899" s="4" t="s">
        <v>2920</v>
      </c>
      <c r="O899" s="4" t="s">
        <v>136</v>
      </c>
      <c r="P899" s="5">
        <f>DATE(2022,6,28)</f>
        <v>44740</v>
      </c>
      <c r="Q899" s="4" t="s">
        <v>2918</v>
      </c>
      <c r="R899" s="5">
        <f>DATE(2022,3,25)</f>
        <v>44645</v>
      </c>
    </row>
    <row r="900" spans="1:22" ht="55.05" customHeight="1" x14ac:dyDescent="0.3">
      <c r="A900" s="4" t="s">
        <v>2095</v>
      </c>
      <c r="B900" s="4" t="s">
        <v>145</v>
      </c>
      <c r="C900" s="4" t="s">
        <v>2088</v>
      </c>
      <c r="D900" s="4" t="s">
        <v>20</v>
      </c>
      <c r="E900" s="4" t="s">
        <v>2921</v>
      </c>
      <c r="F900" s="4" t="s">
        <v>84</v>
      </c>
      <c r="G900" s="4" t="s">
        <v>2922</v>
      </c>
      <c r="H900" s="4" t="s">
        <v>24</v>
      </c>
      <c r="I900" s="4" t="s">
        <v>25</v>
      </c>
      <c r="K900" s="4" t="s">
        <v>26</v>
      </c>
      <c r="L900" s="4" t="s">
        <v>2923</v>
      </c>
      <c r="O900" s="4" t="s">
        <v>2924</v>
      </c>
      <c r="P900" s="5">
        <f>DATE(2022,7,4)</f>
        <v>44746</v>
      </c>
      <c r="Q900" s="4" t="s">
        <v>53</v>
      </c>
      <c r="R900" s="5">
        <f>DATE(2021,12,21)</f>
        <v>44551</v>
      </c>
      <c r="S900" s="4" t="s">
        <v>2700</v>
      </c>
      <c r="T900" s="5">
        <f>DATE(2021,3,30)</f>
        <v>44285</v>
      </c>
    </row>
    <row r="901" spans="1:22" ht="55.05" customHeight="1" x14ac:dyDescent="0.3">
      <c r="A901" s="4" t="s">
        <v>2095</v>
      </c>
      <c r="B901" s="4" t="s">
        <v>145</v>
      </c>
      <c r="C901" s="4" t="s">
        <v>2088</v>
      </c>
      <c r="D901" s="4" t="s">
        <v>20</v>
      </c>
      <c r="E901" s="4" t="s">
        <v>2921</v>
      </c>
      <c r="F901" s="4" t="s">
        <v>84</v>
      </c>
      <c r="G901" s="4" t="s">
        <v>2925</v>
      </c>
      <c r="H901" s="4" t="s">
        <v>24</v>
      </c>
      <c r="I901" s="4" t="s">
        <v>25</v>
      </c>
      <c r="K901" s="4" t="s">
        <v>26</v>
      </c>
      <c r="L901" s="4" t="s">
        <v>2926</v>
      </c>
      <c r="O901" s="4" t="s">
        <v>2222</v>
      </c>
      <c r="P901" s="5">
        <f>DATE(2023,5,18)</f>
        <v>45064</v>
      </c>
      <c r="Q901" s="4" t="s">
        <v>2927</v>
      </c>
      <c r="R901" s="5">
        <f>DATE(2022,7,4)</f>
        <v>44746</v>
      </c>
      <c r="S901" s="4" t="s">
        <v>2114</v>
      </c>
      <c r="T901" s="5">
        <f>DATE(2021,12,21)</f>
        <v>44551</v>
      </c>
      <c r="U901" s="4" t="s">
        <v>2115</v>
      </c>
      <c r="V901" s="5">
        <f>DATE(2021,3,9)</f>
        <v>44264</v>
      </c>
    </row>
    <row r="902" spans="1:22" ht="55.05" customHeight="1" x14ac:dyDescent="0.3">
      <c r="A902" s="4" t="s">
        <v>2095</v>
      </c>
      <c r="B902" s="4" t="s">
        <v>145</v>
      </c>
      <c r="C902" s="4" t="s">
        <v>2088</v>
      </c>
      <c r="D902" s="4" t="s">
        <v>20</v>
      </c>
      <c r="E902" s="4" t="s">
        <v>2921</v>
      </c>
      <c r="F902" s="4" t="s">
        <v>84</v>
      </c>
      <c r="G902" s="4" t="s">
        <v>2928</v>
      </c>
      <c r="H902" s="4" t="s">
        <v>24</v>
      </c>
      <c r="I902" s="4" t="s">
        <v>25</v>
      </c>
      <c r="K902" s="4" t="s">
        <v>26</v>
      </c>
      <c r="L902" s="4" t="s">
        <v>2929</v>
      </c>
      <c r="O902" s="4" t="s">
        <v>2930</v>
      </c>
      <c r="P902" s="5">
        <f>DATE(2022,7,4)</f>
        <v>44746</v>
      </c>
      <c r="Q902" s="4" t="s">
        <v>53</v>
      </c>
      <c r="R902" s="5">
        <f>DATE(2021,12,21)</f>
        <v>44551</v>
      </c>
      <c r="S902" s="4" t="s">
        <v>2115</v>
      </c>
      <c r="T902" s="5">
        <f>DATE(2021,3,9)</f>
        <v>44264</v>
      </c>
    </row>
    <row r="903" spans="1:22" ht="55.05" customHeight="1" x14ac:dyDescent="0.3">
      <c r="A903" s="4" t="s">
        <v>2095</v>
      </c>
      <c r="B903" s="4" t="s">
        <v>145</v>
      </c>
      <c r="C903" s="4" t="s">
        <v>2088</v>
      </c>
      <c r="D903" s="4" t="s">
        <v>20</v>
      </c>
      <c r="E903" s="4" t="s">
        <v>2921</v>
      </c>
      <c r="F903" s="4" t="s">
        <v>84</v>
      </c>
      <c r="G903" s="4" t="s">
        <v>2931</v>
      </c>
      <c r="H903" s="4" t="s">
        <v>24</v>
      </c>
      <c r="I903" s="4" t="s">
        <v>25</v>
      </c>
      <c r="K903" s="4" t="s">
        <v>26</v>
      </c>
      <c r="L903" s="4" t="s">
        <v>2932</v>
      </c>
      <c r="O903" s="4" t="s">
        <v>2930</v>
      </c>
      <c r="P903" s="5">
        <f>DATE(2022,7,4)</f>
        <v>44746</v>
      </c>
      <c r="Q903" s="4" t="s">
        <v>2114</v>
      </c>
      <c r="R903" s="5">
        <f>DATE(2021,12,21)</f>
        <v>44551</v>
      </c>
      <c r="S903" s="4" t="s">
        <v>2115</v>
      </c>
      <c r="T903" s="5">
        <f>DATE(2021,3,9)</f>
        <v>44264</v>
      </c>
    </row>
    <row r="904" spans="1:22" ht="55.05" customHeight="1" x14ac:dyDescent="0.3">
      <c r="A904" s="4" t="s">
        <v>2095</v>
      </c>
      <c r="B904" s="4" t="s">
        <v>145</v>
      </c>
      <c r="C904" s="4" t="s">
        <v>2088</v>
      </c>
      <c r="D904" s="4" t="s">
        <v>20</v>
      </c>
      <c r="E904" s="4" t="s">
        <v>2921</v>
      </c>
      <c r="F904" s="4" t="s">
        <v>84</v>
      </c>
      <c r="G904" s="4" t="s">
        <v>2933</v>
      </c>
      <c r="H904" s="4" t="s">
        <v>24</v>
      </c>
      <c r="I904" s="4" t="s">
        <v>25</v>
      </c>
      <c r="K904" s="4" t="s">
        <v>26</v>
      </c>
      <c r="L904" s="4" t="s">
        <v>2934</v>
      </c>
      <c r="O904" s="4" t="s">
        <v>2930</v>
      </c>
      <c r="P904" s="5">
        <f>DATE(2022,7,4)</f>
        <v>44746</v>
      </c>
      <c r="Q904" s="4" t="s">
        <v>53</v>
      </c>
      <c r="R904" s="5">
        <f>DATE(2021,12,21)</f>
        <v>44551</v>
      </c>
      <c r="S904" s="4" t="s">
        <v>2115</v>
      </c>
      <c r="T904" s="5">
        <f>DATE(2021,3,9)</f>
        <v>44264</v>
      </c>
    </row>
    <row r="905" spans="1:22" ht="55.05" customHeight="1" x14ac:dyDescent="0.3">
      <c r="A905" s="4" t="s">
        <v>2095</v>
      </c>
      <c r="B905" s="4" t="s">
        <v>145</v>
      </c>
      <c r="C905" s="4" t="s">
        <v>2088</v>
      </c>
      <c r="D905" s="4" t="s">
        <v>20</v>
      </c>
      <c r="E905" s="4" t="s">
        <v>2935</v>
      </c>
      <c r="F905" s="4" t="s">
        <v>84</v>
      </c>
      <c r="G905" s="4" t="s">
        <v>2936</v>
      </c>
      <c r="H905" s="4" t="s">
        <v>24</v>
      </c>
      <c r="I905" s="4" t="s">
        <v>25</v>
      </c>
      <c r="K905" s="4" t="s">
        <v>26</v>
      </c>
      <c r="L905" s="4" t="s">
        <v>2937</v>
      </c>
      <c r="M905" s="4" t="s">
        <v>25</v>
      </c>
      <c r="N905" s="5">
        <f>DATE(2023,5,19)</f>
        <v>45065</v>
      </c>
      <c r="O905" s="4" t="s">
        <v>2114</v>
      </c>
      <c r="P905" s="5">
        <f>DATE(2021,12,21)</f>
        <v>44551</v>
      </c>
      <c r="Q905" s="4" t="s">
        <v>2265</v>
      </c>
      <c r="R905" s="5">
        <f>DATE(2021,5,11)</f>
        <v>44327</v>
      </c>
    </row>
    <row r="906" spans="1:22" ht="55.05" customHeight="1" x14ac:dyDescent="0.3">
      <c r="A906" s="4" t="s">
        <v>2095</v>
      </c>
      <c r="B906" s="4" t="s">
        <v>145</v>
      </c>
      <c r="C906" s="4" t="s">
        <v>2088</v>
      </c>
      <c r="D906" s="4" t="s">
        <v>20</v>
      </c>
      <c r="E906" s="4" t="s">
        <v>2089</v>
      </c>
      <c r="F906" s="4" t="s">
        <v>84</v>
      </c>
      <c r="G906" s="4" t="s">
        <v>2938</v>
      </c>
      <c r="H906" s="4" t="s">
        <v>24</v>
      </c>
      <c r="I906" s="4" t="s">
        <v>25</v>
      </c>
      <c r="K906" s="4" t="s">
        <v>26</v>
      </c>
      <c r="L906" s="4" t="s">
        <v>2939</v>
      </c>
      <c r="M906" s="4" t="s">
        <v>25</v>
      </c>
      <c r="N906" s="5">
        <f>DATE(2023,5,29)</f>
        <v>45075</v>
      </c>
      <c r="O906" s="4" t="s">
        <v>53</v>
      </c>
      <c r="P906" s="5">
        <f>DATE(2021,12,21)</f>
        <v>44551</v>
      </c>
      <c r="Q906" s="4" t="s">
        <v>2302</v>
      </c>
      <c r="R906" s="5">
        <f>DATE(2021,3,30)</f>
        <v>44285</v>
      </c>
    </row>
    <row r="907" spans="1:22" ht="55.05" customHeight="1" x14ac:dyDescent="0.3">
      <c r="A907" s="4" t="s">
        <v>2095</v>
      </c>
      <c r="B907" s="4" t="s">
        <v>145</v>
      </c>
      <c r="C907" s="4" t="s">
        <v>2088</v>
      </c>
      <c r="D907" s="4" t="s">
        <v>20</v>
      </c>
      <c r="E907" s="4" t="s">
        <v>2089</v>
      </c>
      <c r="F907" s="4" t="s">
        <v>84</v>
      </c>
      <c r="G907" s="4" t="s">
        <v>2940</v>
      </c>
      <c r="H907" s="4" t="s">
        <v>24</v>
      </c>
      <c r="I907" s="4" t="s">
        <v>25</v>
      </c>
      <c r="K907" s="4" t="s">
        <v>26</v>
      </c>
      <c r="L907" s="4" t="s">
        <v>2941</v>
      </c>
      <c r="M907" s="4" t="s">
        <v>25</v>
      </c>
      <c r="N907" s="5">
        <f>DATE(2023,5,29)</f>
        <v>45075</v>
      </c>
      <c r="O907" s="4" t="s">
        <v>2114</v>
      </c>
      <c r="P907" s="5">
        <f>DATE(2021,12,21)</f>
        <v>44551</v>
      </c>
      <c r="Q907" s="4" t="s">
        <v>2115</v>
      </c>
      <c r="R907" s="5">
        <f>DATE(2021,3,9)</f>
        <v>44264</v>
      </c>
    </row>
    <row r="908" spans="1:22" ht="55.05" customHeight="1" x14ac:dyDescent="0.3">
      <c r="A908" s="4" t="s">
        <v>2095</v>
      </c>
      <c r="B908" s="4" t="s">
        <v>145</v>
      </c>
      <c r="C908" s="4" t="s">
        <v>2088</v>
      </c>
      <c r="D908" s="4" t="s">
        <v>20</v>
      </c>
      <c r="E908" s="4" t="s">
        <v>2089</v>
      </c>
      <c r="F908" s="4" t="s">
        <v>84</v>
      </c>
      <c r="G908" s="4" t="s">
        <v>2942</v>
      </c>
      <c r="H908" s="4" t="s">
        <v>24</v>
      </c>
      <c r="I908" s="4" t="s">
        <v>25</v>
      </c>
      <c r="K908" s="4" t="s">
        <v>26</v>
      </c>
      <c r="L908" s="4" t="s">
        <v>2943</v>
      </c>
      <c r="O908" s="4" t="s">
        <v>2924</v>
      </c>
      <c r="P908" s="5">
        <f>DATE(2022,7,4)</f>
        <v>44746</v>
      </c>
      <c r="Q908" s="4" t="s">
        <v>2114</v>
      </c>
      <c r="R908" s="5">
        <f>DATE(2021,12,21)</f>
        <v>44551</v>
      </c>
      <c r="S908" s="4" t="s">
        <v>2115</v>
      </c>
      <c r="T908" s="5">
        <f>DATE(2021,3,9)</f>
        <v>44264</v>
      </c>
    </row>
    <row r="909" spans="1:22" ht="55.05" customHeight="1" x14ac:dyDescent="0.3">
      <c r="A909" s="4" t="s">
        <v>2095</v>
      </c>
      <c r="B909" s="4" t="s">
        <v>145</v>
      </c>
      <c r="C909" s="4" t="s">
        <v>2088</v>
      </c>
      <c r="D909" s="4" t="s">
        <v>20</v>
      </c>
      <c r="E909" s="4" t="s">
        <v>2089</v>
      </c>
      <c r="F909" s="4" t="s">
        <v>84</v>
      </c>
      <c r="G909" s="4" t="s">
        <v>2944</v>
      </c>
      <c r="H909" s="4" t="s">
        <v>24</v>
      </c>
      <c r="I909" s="4" t="s">
        <v>25</v>
      </c>
      <c r="K909" s="4" t="s">
        <v>26</v>
      </c>
      <c r="L909" s="4" t="s">
        <v>2945</v>
      </c>
      <c r="O909" s="4" t="s">
        <v>2946</v>
      </c>
      <c r="P909" s="5">
        <f>DATE(2022,7,4)</f>
        <v>44746</v>
      </c>
      <c r="Q909" s="4" t="s">
        <v>53</v>
      </c>
      <c r="R909" s="5">
        <f>DATE(2021,12,21)</f>
        <v>44551</v>
      </c>
      <c r="S909" s="4" t="s">
        <v>2115</v>
      </c>
      <c r="T909" s="5">
        <f>DATE(2021,3,9)</f>
        <v>44264</v>
      </c>
    </row>
    <row r="910" spans="1:22" ht="55.05" customHeight="1" x14ac:dyDescent="0.3">
      <c r="A910" s="4" t="s">
        <v>2095</v>
      </c>
      <c r="B910" s="4" t="s">
        <v>145</v>
      </c>
      <c r="C910" s="4" t="s">
        <v>2088</v>
      </c>
      <c r="D910" s="4" t="s">
        <v>20</v>
      </c>
      <c r="E910" s="4" t="s">
        <v>2089</v>
      </c>
      <c r="F910" s="4" t="s">
        <v>84</v>
      </c>
      <c r="G910" s="4" t="s">
        <v>2947</v>
      </c>
      <c r="H910" s="4" t="s">
        <v>24</v>
      </c>
      <c r="I910" s="4" t="s">
        <v>25</v>
      </c>
      <c r="K910" s="4" t="s">
        <v>26</v>
      </c>
      <c r="L910" s="4" t="s">
        <v>2948</v>
      </c>
      <c r="M910" s="4" t="s">
        <v>25</v>
      </c>
      <c r="N910" s="5">
        <f>DATE(2023,5,29)</f>
        <v>45075</v>
      </c>
      <c r="O910" s="4" t="s">
        <v>53</v>
      </c>
      <c r="P910" s="5">
        <f>DATE(2021,12,21)</f>
        <v>44551</v>
      </c>
      <c r="Q910" s="4" t="s">
        <v>2115</v>
      </c>
      <c r="R910" s="5">
        <f>DATE(2021,3,9)</f>
        <v>44264</v>
      </c>
    </row>
    <row r="911" spans="1:22" ht="55.05" customHeight="1" x14ac:dyDescent="0.3">
      <c r="A911" s="4" t="s">
        <v>2095</v>
      </c>
      <c r="B911" s="4" t="s">
        <v>145</v>
      </c>
      <c r="C911" s="4" t="s">
        <v>2088</v>
      </c>
      <c r="D911" s="4" t="s">
        <v>20</v>
      </c>
      <c r="E911" s="4" t="s">
        <v>2089</v>
      </c>
      <c r="F911" s="4" t="s">
        <v>84</v>
      </c>
      <c r="G911" s="4" t="s">
        <v>2949</v>
      </c>
      <c r="H911" s="4" t="s">
        <v>24</v>
      </c>
      <c r="I911" s="4" t="s">
        <v>25</v>
      </c>
      <c r="K911" s="4" t="s">
        <v>26</v>
      </c>
      <c r="L911" s="4" t="s">
        <v>2950</v>
      </c>
      <c r="M911" s="4" t="s">
        <v>25</v>
      </c>
      <c r="N911" s="5">
        <f>DATE(2023,5,29)</f>
        <v>45075</v>
      </c>
      <c r="O911" s="4" t="s">
        <v>2114</v>
      </c>
      <c r="P911" s="5">
        <f>DATE(2021,12,21)</f>
        <v>44551</v>
      </c>
      <c r="Q911" s="4" t="s">
        <v>2115</v>
      </c>
      <c r="R911" s="5">
        <f>DATE(2021,3,9)</f>
        <v>44264</v>
      </c>
    </row>
    <row r="912" spans="1:22" ht="55.05" customHeight="1" x14ac:dyDescent="0.3">
      <c r="A912" s="4" t="s">
        <v>2095</v>
      </c>
      <c r="B912" s="4" t="s">
        <v>18</v>
      </c>
      <c r="C912" s="4" t="s">
        <v>2260</v>
      </c>
      <c r="D912" s="4" t="s">
        <v>20</v>
      </c>
      <c r="E912" s="4" t="s">
        <v>2261</v>
      </c>
      <c r="F912" s="4" t="s">
        <v>22</v>
      </c>
      <c r="G912" s="4" t="s">
        <v>2951</v>
      </c>
      <c r="H912" s="4" t="s">
        <v>37</v>
      </c>
      <c r="I912" s="4" t="s">
        <v>25</v>
      </c>
      <c r="K912" s="4" t="s">
        <v>26</v>
      </c>
      <c r="L912" s="4" t="s">
        <v>2952</v>
      </c>
      <c r="O912" s="4" t="s">
        <v>2953</v>
      </c>
      <c r="P912" s="5">
        <f>DATE(2022,7,22)</f>
        <v>44764</v>
      </c>
    </row>
    <row r="913" spans="1:20" ht="55.05" customHeight="1" x14ac:dyDescent="0.3">
      <c r="A913" s="4" t="s">
        <v>2095</v>
      </c>
      <c r="B913" s="4" t="s">
        <v>18</v>
      </c>
      <c r="C913" s="4" t="s">
        <v>2260</v>
      </c>
      <c r="D913" s="4" t="s">
        <v>20</v>
      </c>
      <c r="E913" s="4" t="s">
        <v>2261</v>
      </c>
      <c r="F913" s="4" t="s">
        <v>22</v>
      </c>
      <c r="G913" s="4" t="s">
        <v>2954</v>
      </c>
      <c r="H913" s="4" t="s">
        <v>37</v>
      </c>
      <c r="I913" s="4" t="s">
        <v>25</v>
      </c>
      <c r="K913" s="4" t="s">
        <v>26</v>
      </c>
      <c r="L913" s="4" t="s">
        <v>2955</v>
      </c>
      <c r="O913" s="4" t="s">
        <v>2953</v>
      </c>
      <c r="P913" s="5">
        <f>DATE(2022,7,22)</f>
        <v>44764</v>
      </c>
    </row>
    <row r="914" spans="1:20" ht="55.05" customHeight="1" x14ac:dyDescent="0.3">
      <c r="A914" s="4" t="s">
        <v>2095</v>
      </c>
      <c r="B914" s="4" t="s">
        <v>18</v>
      </c>
      <c r="C914" s="4" t="s">
        <v>2260</v>
      </c>
      <c r="D914" s="4" t="s">
        <v>20</v>
      </c>
      <c r="E914" s="4" t="s">
        <v>2261</v>
      </c>
      <c r="F914" s="4" t="s">
        <v>22</v>
      </c>
      <c r="G914" s="4" t="s">
        <v>2956</v>
      </c>
      <c r="H914" s="4" t="s">
        <v>37</v>
      </c>
      <c r="I914" s="4" t="s">
        <v>25</v>
      </c>
      <c r="K914" s="4" t="s">
        <v>26</v>
      </c>
      <c r="L914" s="4" t="s">
        <v>2957</v>
      </c>
      <c r="O914" s="4" t="s">
        <v>2953</v>
      </c>
      <c r="P914" s="5">
        <f>DATE(2022,7,22)</f>
        <v>44764</v>
      </c>
    </row>
    <row r="915" spans="1:20" ht="55.05" customHeight="1" x14ac:dyDescent="0.3">
      <c r="A915" s="4" t="s">
        <v>2095</v>
      </c>
      <c r="B915" s="4" t="s">
        <v>145</v>
      </c>
      <c r="C915" s="4" t="s">
        <v>521</v>
      </c>
      <c r="D915" s="4" t="s">
        <v>20</v>
      </c>
      <c r="E915" s="4" t="s">
        <v>1940</v>
      </c>
      <c r="F915" s="4" t="s">
        <v>162</v>
      </c>
      <c r="G915" s="4" t="s">
        <v>2958</v>
      </c>
      <c r="H915" s="4" t="s">
        <v>37</v>
      </c>
      <c r="I915" s="4" t="s">
        <v>25</v>
      </c>
      <c r="K915" s="4" t="s">
        <v>26</v>
      </c>
      <c r="L915" s="4" t="s">
        <v>2959</v>
      </c>
      <c r="O915" s="4" t="s">
        <v>2960</v>
      </c>
      <c r="P915" s="5">
        <f>DATE(2023,3,14)</f>
        <v>44999</v>
      </c>
      <c r="Q915" s="4" t="s">
        <v>2961</v>
      </c>
      <c r="R915" s="5">
        <f>DATE(2023,1,12)</f>
        <v>44938</v>
      </c>
    </row>
    <row r="916" spans="1:20" ht="55.05" customHeight="1" x14ac:dyDescent="0.3">
      <c r="A916" s="4" t="s">
        <v>2095</v>
      </c>
      <c r="B916" s="4" t="s">
        <v>145</v>
      </c>
      <c r="C916" s="4" t="s">
        <v>521</v>
      </c>
      <c r="D916" s="4" t="s">
        <v>20</v>
      </c>
      <c r="E916" s="4" t="s">
        <v>1940</v>
      </c>
      <c r="F916" s="4" t="s">
        <v>162</v>
      </c>
      <c r="G916" s="4" t="s">
        <v>2962</v>
      </c>
      <c r="H916" s="4" t="s">
        <v>24</v>
      </c>
      <c r="I916" s="4" t="s">
        <v>25</v>
      </c>
      <c r="K916" s="4" t="s">
        <v>26</v>
      </c>
      <c r="L916" s="4" t="s">
        <v>2963</v>
      </c>
      <c r="O916" s="4" t="s">
        <v>2961</v>
      </c>
      <c r="P916" s="5">
        <f>DATE(2023,1,12)</f>
        <v>44938</v>
      </c>
    </row>
    <row r="917" spans="1:20" ht="55.05" customHeight="1" x14ac:dyDescent="0.3">
      <c r="A917" s="4" t="s">
        <v>2095</v>
      </c>
      <c r="B917" s="4" t="s">
        <v>119</v>
      </c>
      <c r="C917" s="4" t="s">
        <v>2964</v>
      </c>
      <c r="D917" s="4" t="s">
        <v>20</v>
      </c>
      <c r="E917" s="4" t="s">
        <v>2965</v>
      </c>
      <c r="F917" s="4" t="s">
        <v>407</v>
      </c>
      <c r="G917" s="4" t="s">
        <v>2966</v>
      </c>
      <c r="H917" s="4" t="s">
        <v>32</v>
      </c>
      <c r="I917" s="4" t="s">
        <v>1124</v>
      </c>
      <c r="J917" s="5">
        <f>DATE(2022,6,28)</f>
        <v>44740</v>
      </c>
      <c r="K917" s="4" t="s">
        <v>26</v>
      </c>
      <c r="L917" s="4" t="s">
        <v>2967</v>
      </c>
      <c r="O917" s="4" t="s">
        <v>2114</v>
      </c>
      <c r="P917" s="5">
        <f>DATE(2021,12,21)</f>
        <v>44551</v>
      </c>
      <c r="Q917" s="4" t="s">
        <v>2968</v>
      </c>
      <c r="R917" s="5">
        <f>DATE(2021,3,9)</f>
        <v>44264</v>
      </c>
    </row>
    <row r="918" spans="1:20" ht="55.05" customHeight="1" x14ac:dyDescent="0.3">
      <c r="A918" s="4" t="s">
        <v>2095</v>
      </c>
      <c r="B918" s="4" t="s">
        <v>119</v>
      </c>
      <c r="C918" s="4" t="s">
        <v>2964</v>
      </c>
      <c r="D918" s="4" t="s">
        <v>20</v>
      </c>
      <c r="E918" s="4" t="s">
        <v>2969</v>
      </c>
      <c r="F918" s="4" t="s">
        <v>407</v>
      </c>
      <c r="G918" s="4" t="s">
        <v>2970</v>
      </c>
      <c r="H918" s="4" t="s">
        <v>32</v>
      </c>
      <c r="I918" s="4" t="s">
        <v>1124</v>
      </c>
      <c r="J918" s="5">
        <f>DATE(2022,6,28)</f>
        <v>44740</v>
      </c>
      <c r="K918" s="4" t="s">
        <v>26</v>
      </c>
      <c r="L918" s="4" t="s">
        <v>2971</v>
      </c>
      <c r="O918" s="4" t="s">
        <v>2114</v>
      </c>
      <c r="P918" s="5">
        <f>DATE(2021,12,21)</f>
        <v>44551</v>
      </c>
      <c r="Q918" s="4" t="s">
        <v>2115</v>
      </c>
      <c r="R918" s="5">
        <f>DATE(2021,3,9)</f>
        <v>44264</v>
      </c>
    </row>
    <row r="919" spans="1:20" ht="55.05" customHeight="1" x14ac:dyDescent="0.3">
      <c r="A919" s="4" t="s">
        <v>2095</v>
      </c>
      <c r="B919" s="4" t="s">
        <v>145</v>
      </c>
      <c r="C919" s="4" t="s">
        <v>2972</v>
      </c>
      <c r="D919" s="4" t="s">
        <v>20</v>
      </c>
      <c r="E919" s="4" t="s">
        <v>2973</v>
      </c>
      <c r="F919" s="4" t="s">
        <v>162</v>
      </c>
      <c r="G919" s="4" t="s">
        <v>2974</v>
      </c>
      <c r="H919" s="4" t="s">
        <v>32</v>
      </c>
      <c r="I919" s="4" t="s">
        <v>1797</v>
      </c>
      <c r="J919" s="5">
        <f>DATE(2022,8,17)</f>
        <v>44790</v>
      </c>
      <c r="K919" s="4" t="s">
        <v>26</v>
      </c>
      <c r="L919" s="4" t="s">
        <v>2975</v>
      </c>
      <c r="O919" s="4" t="s">
        <v>2976</v>
      </c>
      <c r="P919" s="5">
        <f>DATE(2022,6,28)</f>
        <v>44740</v>
      </c>
      <c r="Q919" s="4" t="s">
        <v>2114</v>
      </c>
      <c r="R919" s="5">
        <f>DATE(2021,12,21)</f>
        <v>44551</v>
      </c>
      <c r="S919" s="4" t="s">
        <v>125</v>
      </c>
      <c r="T919" s="5">
        <f>DATE(2020,7,21)</f>
        <v>44033</v>
      </c>
    </row>
    <row r="920" spans="1:20" ht="55.05" customHeight="1" x14ac:dyDescent="0.3">
      <c r="A920" s="4" t="s">
        <v>2095</v>
      </c>
      <c r="B920" s="4" t="s">
        <v>2977</v>
      </c>
      <c r="C920" s="4" t="s">
        <v>2978</v>
      </c>
      <c r="D920" s="4" t="s">
        <v>2979</v>
      </c>
      <c r="E920" s="4" t="s">
        <v>2980</v>
      </c>
      <c r="F920" s="4" t="s">
        <v>122</v>
      </c>
      <c r="G920" s="4" t="s">
        <v>2981</v>
      </c>
      <c r="H920" s="4" t="s">
        <v>32</v>
      </c>
      <c r="I920" s="4" t="s">
        <v>130</v>
      </c>
      <c r="J920" s="5">
        <f>DATE(2022,6,28)</f>
        <v>44740</v>
      </c>
      <c r="K920" s="4" t="s">
        <v>26</v>
      </c>
      <c r="L920" s="4" t="s">
        <v>2982</v>
      </c>
      <c r="O920" s="4" t="s">
        <v>2114</v>
      </c>
      <c r="P920" s="5">
        <f>DATE(2021,12,21)</f>
        <v>44551</v>
      </c>
      <c r="Q920" s="4" t="s">
        <v>2115</v>
      </c>
      <c r="R920" s="5">
        <f>DATE(2021,3,9)</f>
        <v>44264</v>
      </c>
    </row>
    <row r="921" spans="1:20" ht="55.05" customHeight="1" x14ac:dyDescent="0.3">
      <c r="A921" s="4" t="s">
        <v>534</v>
      </c>
      <c r="B921" s="4" t="s">
        <v>18</v>
      </c>
      <c r="C921" s="4" t="s">
        <v>19</v>
      </c>
      <c r="D921" s="4" t="s">
        <v>20</v>
      </c>
      <c r="E921" s="4" t="s">
        <v>30</v>
      </c>
      <c r="F921" s="4" t="s">
        <v>22</v>
      </c>
      <c r="G921" s="4" t="s">
        <v>2983</v>
      </c>
      <c r="H921" s="4" t="s">
        <v>37</v>
      </c>
      <c r="I921" s="4" t="s">
        <v>25</v>
      </c>
      <c r="K921" s="4" t="s">
        <v>26</v>
      </c>
      <c r="L921" s="4" t="s">
        <v>2984</v>
      </c>
      <c r="O921" s="4" t="s">
        <v>2985</v>
      </c>
      <c r="P921" s="5">
        <f>DATE(2022,9,27)</f>
        <v>44831</v>
      </c>
    </row>
    <row r="922" spans="1:20" ht="55.05" customHeight="1" x14ac:dyDescent="0.3">
      <c r="A922" s="4" t="s">
        <v>534</v>
      </c>
      <c r="B922" s="4" t="s">
        <v>81</v>
      </c>
      <c r="C922" s="4" t="s">
        <v>82</v>
      </c>
      <c r="D922" s="4" t="s">
        <v>20</v>
      </c>
      <c r="E922" s="4" t="s">
        <v>83</v>
      </c>
      <c r="F922" s="4" t="s">
        <v>84</v>
      </c>
      <c r="G922" s="4" t="s">
        <v>2986</v>
      </c>
      <c r="H922" s="4" t="s">
        <v>37</v>
      </c>
      <c r="I922" s="4" t="s">
        <v>25</v>
      </c>
      <c r="K922" s="4" t="s">
        <v>26</v>
      </c>
      <c r="L922" s="4" t="s">
        <v>2987</v>
      </c>
      <c r="O922" s="4" t="s">
        <v>2988</v>
      </c>
      <c r="P922" s="5">
        <f>DATE(2023,6,19)</f>
        <v>45096</v>
      </c>
    </row>
    <row r="923" spans="1:20" ht="55.05" customHeight="1" x14ac:dyDescent="0.3">
      <c r="A923" s="4" t="s">
        <v>534</v>
      </c>
      <c r="B923" s="4" t="s">
        <v>119</v>
      </c>
      <c r="C923" s="4" t="s">
        <v>120</v>
      </c>
      <c r="D923" s="4" t="s">
        <v>20</v>
      </c>
      <c r="E923" s="4" t="s">
        <v>121</v>
      </c>
      <c r="F923" s="4" t="s">
        <v>122</v>
      </c>
      <c r="G923" s="4" t="s">
        <v>2989</v>
      </c>
      <c r="H923" s="4" t="s">
        <v>37</v>
      </c>
      <c r="I923" s="4" t="s">
        <v>25</v>
      </c>
      <c r="K923" s="4" t="s">
        <v>26</v>
      </c>
      <c r="L923" s="4" t="s">
        <v>2990</v>
      </c>
      <c r="O923" s="4" t="s">
        <v>2991</v>
      </c>
      <c r="P923" s="5">
        <f>DATE(2022,11,30)</f>
        <v>44895</v>
      </c>
    </row>
    <row r="924" spans="1:20" ht="55.05" customHeight="1" x14ac:dyDescent="0.3">
      <c r="A924" s="4" t="s">
        <v>534</v>
      </c>
      <c r="B924" s="4" t="s">
        <v>64</v>
      </c>
      <c r="C924" s="4" t="s">
        <v>65</v>
      </c>
      <c r="D924" s="4" t="s">
        <v>66</v>
      </c>
      <c r="E924" s="4" t="s">
        <v>754</v>
      </c>
      <c r="F924" s="4" t="s">
        <v>22</v>
      </c>
      <c r="G924" s="4" t="s">
        <v>2992</v>
      </c>
      <c r="H924" s="4" t="s">
        <v>37</v>
      </c>
      <c r="I924" s="4" t="s">
        <v>25</v>
      </c>
      <c r="K924" s="4" t="s">
        <v>26</v>
      </c>
      <c r="L924" s="4" t="s">
        <v>2993</v>
      </c>
      <c r="O924" s="4" t="s">
        <v>2994</v>
      </c>
      <c r="P924" s="5">
        <f>DATE(2022,12,13)</f>
        <v>44908</v>
      </c>
    </row>
    <row r="925" spans="1:20" ht="55.05" customHeight="1" x14ac:dyDescent="0.3">
      <c r="A925" s="4" t="s">
        <v>534</v>
      </c>
      <c r="B925" s="4" t="s">
        <v>119</v>
      </c>
      <c r="C925" s="4" t="s">
        <v>120</v>
      </c>
      <c r="D925" s="4" t="s">
        <v>20</v>
      </c>
      <c r="E925" s="4" t="s">
        <v>2647</v>
      </c>
      <c r="F925" s="4" t="s">
        <v>122</v>
      </c>
      <c r="G925" s="4" t="s">
        <v>2995</v>
      </c>
      <c r="H925" s="4" t="s">
        <v>37</v>
      </c>
      <c r="I925" s="4" t="s">
        <v>25</v>
      </c>
      <c r="K925" s="4" t="s">
        <v>26</v>
      </c>
      <c r="L925" s="4" t="s">
        <v>2996</v>
      </c>
      <c r="O925" s="4" t="s">
        <v>2997</v>
      </c>
      <c r="P925" s="5">
        <f>DATE(2022,11,22)</f>
        <v>44887</v>
      </c>
    </row>
    <row r="926" spans="1:20" ht="55.05" customHeight="1" x14ac:dyDescent="0.3">
      <c r="A926" s="4" t="s">
        <v>534</v>
      </c>
      <c r="B926" s="4" t="s">
        <v>18</v>
      </c>
      <c r="C926" s="4" t="s">
        <v>40</v>
      </c>
      <c r="D926" s="4" t="s">
        <v>20</v>
      </c>
      <c r="E926" s="4" t="s">
        <v>41</v>
      </c>
      <c r="F926" s="4" t="s">
        <v>42</v>
      </c>
      <c r="G926" s="4" t="s">
        <v>2998</v>
      </c>
      <c r="H926" s="4" t="s">
        <v>37</v>
      </c>
      <c r="I926" s="4" t="s">
        <v>25</v>
      </c>
      <c r="K926" s="4" t="s">
        <v>26</v>
      </c>
      <c r="L926" s="4" t="s">
        <v>2999</v>
      </c>
      <c r="O926" s="4" t="s">
        <v>3000</v>
      </c>
      <c r="P926" s="5">
        <f>DATE(2022,12,26)</f>
        <v>44921</v>
      </c>
    </row>
    <row r="927" spans="1:20" ht="55.05" customHeight="1" x14ac:dyDescent="0.3">
      <c r="A927" s="4" t="s">
        <v>534</v>
      </c>
      <c r="B927" s="4" t="s">
        <v>81</v>
      </c>
      <c r="C927" s="4" t="s">
        <v>436</v>
      </c>
      <c r="D927" s="4" t="s">
        <v>20</v>
      </c>
      <c r="E927" s="4" t="s">
        <v>443</v>
      </c>
      <c r="F927" s="4" t="s">
        <v>444</v>
      </c>
      <c r="G927" s="4" t="s">
        <v>3001</v>
      </c>
      <c r="H927" s="4" t="s">
        <v>37</v>
      </c>
      <c r="I927" s="4" t="s">
        <v>25</v>
      </c>
      <c r="K927" s="4" t="s">
        <v>26</v>
      </c>
      <c r="L927" s="4" t="s">
        <v>3002</v>
      </c>
      <c r="O927" s="4" t="s">
        <v>3003</v>
      </c>
      <c r="P927" s="5">
        <f>DATE(2022,12,28)</f>
        <v>44923</v>
      </c>
    </row>
    <row r="928" spans="1:20" ht="55.05" customHeight="1" x14ac:dyDescent="0.3">
      <c r="A928" s="4" t="s">
        <v>2095</v>
      </c>
      <c r="B928" s="4" t="s">
        <v>145</v>
      </c>
      <c r="C928" s="4" t="s">
        <v>521</v>
      </c>
      <c r="D928" s="4" t="s">
        <v>20</v>
      </c>
      <c r="E928" s="4" t="s">
        <v>522</v>
      </c>
      <c r="F928" s="4" t="s">
        <v>84</v>
      </c>
      <c r="G928" s="4" t="s">
        <v>3004</v>
      </c>
      <c r="H928" s="4" t="s">
        <v>37</v>
      </c>
      <c r="I928" s="4" t="s">
        <v>25</v>
      </c>
      <c r="K928" s="4" t="s">
        <v>26</v>
      </c>
      <c r="L928" s="4" t="s">
        <v>3005</v>
      </c>
      <c r="O928" s="4" t="s">
        <v>1031</v>
      </c>
      <c r="P928" s="5">
        <f t="shared" ref="P928:P933" si="27">DATE(2023,3,28)</f>
        <v>45013</v>
      </c>
    </row>
    <row r="929" spans="1:18" ht="55.05" customHeight="1" x14ac:dyDescent="0.3">
      <c r="A929" s="4" t="s">
        <v>2095</v>
      </c>
      <c r="B929" s="4" t="s">
        <v>145</v>
      </c>
      <c r="C929" s="4" t="s">
        <v>521</v>
      </c>
      <c r="D929" s="4" t="s">
        <v>20</v>
      </c>
      <c r="E929" s="4" t="s">
        <v>522</v>
      </c>
      <c r="F929" s="4" t="s">
        <v>84</v>
      </c>
      <c r="G929" s="4" t="s">
        <v>3006</v>
      </c>
      <c r="H929" s="4" t="s">
        <v>37</v>
      </c>
      <c r="I929" s="4" t="s">
        <v>25</v>
      </c>
      <c r="K929" s="4" t="s">
        <v>26</v>
      </c>
      <c r="L929" s="4" t="s">
        <v>3007</v>
      </c>
      <c r="O929" s="4" t="s">
        <v>1031</v>
      </c>
      <c r="P929" s="5">
        <f t="shared" si="27"/>
        <v>45013</v>
      </c>
    </row>
    <row r="930" spans="1:18" ht="55.05" customHeight="1" x14ac:dyDescent="0.3">
      <c r="A930" s="4" t="s">
        <v>2095</v>
      </c>
      <c r="B930" s="4" t="s">
        <v>145</v>
      </c>
      <c r="C930" s="4" t="s">
        <v>521</v>
      </c>
      <c r="D930" s="4" t="s">
        <v>20</v>
      </c>
      <c r="E930" s="4" t="s">
        <v>522</v>
      </c>
      <c r="F930" s="4" t="s">
        <v>84</v>
      </c>
      <c r="G930" s="4" t="s">
        <v>3008</v>
      </c>
      <c r="H930" s="4" t="s">
        <v>37</v>
      </c>
      <c r="I930" s="4" t="s">
        <v>25</v>
      </c>
      <c r="K930" s="4" t="s">
        <v>26</v>
      </c>
      <c r="L930" s="4" t="s">
        <v>3009</v>
      </c>
      <c r="O930" s="4" t="s">
        <v>1031</v>
      </c>
      <c r="P930" s="5">
        <f t="shared" si="27"/>
        <v>45013</v>
      </c>
    </row>
    <row r="931" spans="1:18" ht="55.05" customHeight="1" x14ac:dyDescent="0.3">
      <c r="A931" s="4" t="s">
        <v>2095</v>
      </c>
      <c r="B931" s="4" t="s">
        <v>145</v>
      </c>
      <c r="C931" s="4" t="s">
        <v>521</v>
      </c>
      <c r="D931" s="4" t="s">
        <v>20</v>
      </c>
      <c r="E931" s="4" t="s">
        <v>522</v>
      </c>
      <c r="F931" s="4" t="s">
        <v>84</v>
      </c>
      <c r="G931" s="4" t="s">
        <v>3010</v>
      </c>
      <c r="H931" s="4" t="s">
        <v>37</v>
      </c>
      <c r="I931" s="4" t="s">
        <v>25</v>
      </c>
      <c r="K931" s="4" t="s">
        <v>26</v>
      </c>
      <c r="L931" s="4" t="s">
        <v>3011</v>
      </c>
      <c r="O931" s="4" t="s">
        <v>1031</v>
      </c>
      <c r="P931" s="5">
        <f t="shared" si="27"/>
        <v>45013</v>
      </c>
    </row>
    <row r="932" spans="1:18" ht="55.05" customHeight="1" x14ac:dyDescent="0.3">
      <c r="A932" s="4" t="s">
        <v>2095</v>
      </c>
      <c r="B932" s="4" t="s">
        <v>145</v>
      </c>
      <c r="C932" s="4" t="s">
        <v>521</v>
      </c>
      <c r="D932" s="4" t="s">
        <v>20</v>
      </c>
      <c r="E932" s="4" t="s">
        <v>522</v>
      </c>
      <c r="F932" s="4" t="s">
        <v>84</v>
      </c>
      <c r="G932" s="4" t="s">
        <v>3012</v>
      </c>
      <c r="H932" s="4" t="s">
        <v>37</v>
      </c>
      <c r="I932" s="4" t="s">
        <v>25</v>
      </c>
      <c r="K932" s="4" t="s">
        <v>26</v>
      </c>
      <c r="L932" s="4" t="s">
        <v>3013</v>
      </c>
      <c r="O932" s="4" t="s">
        <v>1031</v>
      </c>
      <c r="P932" s="5">
        <f t="shared" si="27"/>
        <v>45013</v>
      </c>
    </row>
    <row r="933" spans="1:18" ht="55.05" customHeight="1" x14ac:dyDescent="0.3">
      <c r="A933" s="4" t="s">
        <v>2095</v>
      </c>
      <c r="B933" s="4" t="s">
        <v>145</v>
      </c>
      <c r="C933" s="4" t="s">
        <v>521</v>
      </c>
      <c r="D933" s="4" t="s">
        <v>20</v>
      </c>
      <c r="E933" s="4" t="s">
        <v>522</v>
      </c>
      <c r="F933" s="4" t="s">
        <v>84</v>
      </c>
      <c r="G933" s="4" t="s">
        <v>3014</v>
      </c>
      <c r="H933" s="4" t="s">
        <v>37</v>
      </c>
      <c r="I933" s="4" t="s">
        <v>25</v>
      </c>
      <c r="K933" s="4" t="s">
        <v>26</v>
      </c>
      <c r="L933" s="4" t="s">
        <v>3015</v>
      </c>
      <c r="O933" s="4" t="s">
        <v>1031</v>
      </c>
      <c r="P933" s="5">
        <f t="shared" si="27"/>
        <v>45013</v>
      </c>
    </row>
    <row r="934" spans="1:18" ht="55.05" customHeight="1" x14ac:dyDescent="0.3">
      <c r="A934" s="4" t="s">
        <v>2095</v>
      </c>
      <c r="B934" s="4" t="s">
        <v>145</v>
      </c>
      <c r="C934" s="4" t="s">
        <v>155</v>
      </c>
      <c r="D934" s="4" t="s">
        <v>20</v>
      </c>
      <c r="E934" s="4" t="s">
        <v>2748</v>
      </c>
      <c r="F934" s="4" t="s">
        <v>22</v>
      </c>
      <c r="G934" s="4" t="s">
        <v>3016</v>
      </c>
      <c r="H934" s="4" t="s">
        <v>37</v>
      </c>
      <c r="I934" s="4" t="s">
        <v>25</v>
      </c>
      <c r="K934" s="4" t="s">
        <v>26</v>
      </c>
      <c r="L934" s="4" t="s">
        <v>3017</v>
      </c>
      <c r="O934" s="4" t="s">
        <v>2751</v>
      </c>
      <c r="P934" s="5">
        <f>DATE(2023,3,14)</f>
        <v>44999</v>
      </c>
    </row>
    <row r="935" spans="1:18" ht="55.05" customHeight="1" x14ac:dyDescent="0.3">
      <c r="A935" s="4" t="s">
        <v>534</v>
      </c>
      <c r="B935" s="4" t="s">
        <v>18</v>
      </c>
      <c r="C935" s="4" t="s">
        <v>40</v>
      </c>
      <c r="D935" s="4" t="s">
        <v>20</v>
      </c>
      <c r="E935" s="4" t="s">
        <v>45</v>
      </c>
      <c r="F935" s="4" t="s">
        <v>42</v>
      </c>
      <c r="G935" s="4" t="s">
        <v>3018</v>
      </c>
      <c r="H935" s="4" t="s">
        <v>37</v>
      </c>
      <c r="I935" s="4" t="s">
        <v>25</v>
      </c>
      <c r="K935" s="4" t="s">
        <v>26</v>
      </c>
      <c r="L935" s="4" t="s">
        <v>3019</v>
      </c>
      <c r="O935" s="4" t="s">
        <v>655</v>
      </c>
      <c r="P935" s="5">
        <f>DATE(2023,10,10)</f>
        <v>45209</v>
      </c>
      <c r="Q935" s="4" t="s">
        <v>3020</v>
      </c>
      <c r="R935" s="5">
        <f>DATE(2023,1,16)</f>
        <v>44942</v>
      </c>
    </row>
    <row r="936" spans="1:18" ht="55.05" customHeight="1" x14ac:dyDescent="0.3">
      <c r="A936" s="4" t="s">
        <v>2095</v>
      </c>
      <c r="B936" s="4" t="s">
        <v>145</v>
      </c>
      <c r="C936" s="4" t="s">
        <v>521</v>
      </c>
      <c r="D936" s="4" t="s">
        <v>20</v>
      </c>
      <c r="E936" s="4" t="s">
        <v>1940</v>
      </c>
      <c r="F936" s="4" t="s">
        <v>162</v>
      </c>
      <c r="G936" s="4" t="s">
        <v>3021</v>
      </c>
      <c r="H936" s="4" t="s">
        <v>37</v>
      </c>
      <c r="I936" s="4" t="s">
        <v>25</v>
      </c>
      <c r="K936" s="4" t="s">
        <v>26</v>
      </c>
      <c r="L936" s="4" t="s">
        <v>3022</v>
      </c>
      <c r="O936" s="4" t="s">
        <v>2821</v>
      </c>
      <c r="P936" s="5">
        <f>DATE(2023,3,14)</f>
        <v>44999</v>
      </c>
    </row>
    <row r="937" spans="1:18" ht="55.05" customHeight="1" x14ac:dyDescent="0.3">
      <c r="A937" s="4" t="s">
        <v>2095</v>
      </c>
      <c r="B937" s="4" t="s">
        <v>145</v>
      </c>
      <c r="C937" s="4" t="s">
        <v>521</v>
      </c>
      <c r="D937" s="4" t="s">
        <v>20</v>
      </c>
      <c r="E937" s="4" t="s">
        <v>1940</v>
      </c>
      <c r="F937" s="4" t="s">
        <v>162</v>
      </c>
      <c r="G937" s="4" t="s">
        <v>3023</v>
      </c>
      <c r="H937" s="4" t="s">
        <v>37</v>
      </c>
      <c r="I937" s="4" t="s">
        <v>25</v>
      </c>
      <c r="K937" s="4" t="s">
        <v>26</v>
      </c>
      <c r="L937" s="4" t="s">
        <v>3024</v>
      </c>
      <c r="O937" s="4" t="s">
        <v>2961</v>
      </c>
      <c r="P937" s="5">
        <f>DATE(2023,1,12)</f>
        <v>44938</v>
      </c>
    </row>
    <row r="938" spans="1:18" ht="55.05" customHeight="1" x14ac:dyDescent="0.3">
      <c r="A938" s="4" t="s">
        <v>2095</v>
      </c>
      <c r="B938" s="4" t="s">
        <v>81</v>
      </c>
      <c r="C938" s="4" t="s">
        <v>399</v>
      </c>
      <c r="D938" s="4" t="s">
        <v>20</v>
      </c>
      <c r="E938" s="4" t="s">
        <v>3025</v>
      </c>
      <c r="F938" s="4" t="s">
        <v>22</v>
      </c>
      <c r="G938" s="4" t="s">
        <v>3026</v>
      </c>
      <c r="H938" s="4" t="s">
        <v>37</v>
      </c>
      <c r="I938" s="4" t="s">
        <v>25</v>
      </c>
      <c r="K938" s="4" t="s">
        <v>26</v>
      </c>
      <c r="L938" s="4" t="s">
        <v>3027</v>
      </c>
      <c r="O938" s="4" t="s">
        <v>1031</v>
      </c>
      <c r="P938" s="5">
        <f>DATE(2023,3,28)</f>
        <v>45013</v>
      </c>
    </row>
    <row r="939" spans="1:18" ht="55.05" customHeight="1" x14ac:dyDescent="0.3">
      <c r="A939" s="4" t="s">
        <v>534</v>
      </c>
      <c r="B939" s="4" t="s">
        <v>145</v>
      </c>
      <c r="C939" s="4" t="s">
        <v>2088</v>
      </c>
      <c r="D939" s="4" t="s">
        <v>20</v>
      </c>
      <c r="E939" s="4" t="s">
        <v>2935</v>
      </c>
      <c r="F939" s="4" t="s">
        <v>84</v>
      </c>
      <c r="G939" s="4" t="s">
        <v>3028</v>
      </c>
      <c r="H939" s="4" t="s">
        <v>37</v>
      </c>
      <c r="I939" s="4" t="s">
        <v>25</v>
      </c>
      <c r="K939" s="4" t="s">
        <v>26</v>
      </c>
      <c r="L939" s="4" t="s">
        <v>3029</v>
      </c>
      <c r="O939" s="4" t="s">
        <v>3030</v>
      </c>
      <c r="P939" s="5">
        <f>DATE(2023,3,2)</f>
        <v>44987</v>
      </c>
    </row>
    <row r="940" spans="1:18" ht="55.05" customHeight="1" x14ac:dyDescent="0.3">
      <c r="A940" s="4" t="s">
        <v>534</v>
      </c>
      <c r="B940" s="4" t="s">
        <v>145</v>
      </c>
      <c r="C940" s="4" t="s">
        <v>521</v>
      </c>
      <c r="D940" s="4" t="s">
        <v>20</v>
      </c>
      <c r="E940" s="4" t="s">
        <v>1940</v>
      </c>
      <c r="F940" s="4" t="s">
        <v>162</v>
      </c>
      <c r="G940" s="4" t="s">
        <v>3031</v>
      </c>
      <c r="H940" s="4" t="s">
        <v>37</v>
      </c>
      <c r="I940" s="4" t="s">
        <v>25</v>
      </c>
      <c r="K940" s="4" t="s">
        <v>26</v>
      </c>
      <c r="L940" s="4" t="s">
        <v>3032</v>
      </c>
      <c r="O940" s="4" t="s">
        <v>3033</v>
      </c>
      <c r="P940" s="5">
        <f>DATE(2023,5,10)</f>
        <v>45056</v>
      </c>
    </row>
    <row r="941" spans="1:18" ht="55.05" customHeight="1" x14ac:dyDescent="0.3">
      <c r="A941" s="4" t="s">
        <v>534</v>
      </c>
      <c r="B941" s="4" t="s">
        <v>119</v>
      </c>
      <c r="C941" s="4" t="s">
        <v>137</v>
      </c>
      <c r="D941" s="4" t="s">
        <v>20</v>
      </c>
      <c r="E941" s="4" t="s">
        <v>138</v>
      </c>
      <c r="F941" s="4" t="s">
        <v>22</v>
      </c>
      <c r="G941" s="4" t="s">
        <v>3034</v>
      </c>
      <c r="H941" s="4" t="s">
        <v>37</v>
      </c>
      <c r="I941" s="4" t="s">
        <v>25</v>
      </c>
      <c r="K941" s="4" t="s">
        <v>26</v>
      </c>
      <c r="L941" s="4" t="s">
        <v>3035</v>
      </c>
      <c r="O941" s="4" t="s">
        <v>1782</v>
      </c>
      <c r="P941" s="5">
        <f>DATE(2023,2,27)</f>
        <v>44984</v>
      </c>
    </row>
    <row r="942" spans="1:18" ht="55.05" customHeight="1" x14ac:dyDescent="0.3">
      <c r="A942" s="4" t="s">
        <v>2095</v>
      </c>
      <c r="B942" s="4" t="s">
        <v>81</v>
      </c>
      <c r="C942" s="4" t="s">
        <v>436</v>
      </c>
      <c r="D942" s="4" t="s">
        <v>20</v>
      </c>
      <c r="E942" s="4" t="s">
        <v>443</v>
      </c>
      <c r="F942" s="4" t="s">
        <v>444</v>
      </c>
      <c r="G942" s="4" t="s">
        <v>3036</v>
      </c>
      <c r="H942" s="4" t="s">
        <v>24</v>
      </c>
      <c r="I942" s="4" t="s">
        <v>25</v>
      </c>
      <c r="K942" s="4" t="s">
        <v>26</v>
      </c>
      <c r="L942" s="4" t="s">
        <v>3037</v>
      </c>
      <c r="O942" s="4" t="s">
        <v>1604</v>
      </c>
      <c r="P942" s="5">
        <f>DATE(2023,8,30)</f>
        <v>45168</v>
      </c>
      <c r="Q942" s="4" t="s">
        <v>2560</v>
      </c>
      <c r="R942" s="5">
        <f>DATE(2023,3,14)</f>
        <v>44999</v>
      </c>
    </row>
    <row r="943" spans="1:18" ht="55.05" customHeight="1" x14ac:dyDescent="0.3">
      <c r="A943" s="4" t="s">
        <v>2095</v>
      </c>
      <c r="B943" s="4" t="s">
        <v>81</v>
      </c>
      <c r="C943" s="4" t="s">
        <v>436</v>
      </c>
      <c r="D943" s="4" t="s">
        <v>20</v>
      </c>
      <c r="E943" s="4" t="s">
        <v>443</v>
      </c>
      <c r="F943" s="4" t="s">
        <v>444</v>
      </c>
      <c r="G943" s="4" t="s">
        <v>3038</v>
      </c>
      <c r="H943" s="4" t="s">
        <v>24</v>
      </c>
      <c r="I943" s="4" t="s">
        <v>25</v>
      </c>
      <c r="K943" s="4" t="s">
        <v>26</v>
      </c>
      <c r="L943" s="4" t="s">
        <v>3039</v>
      </c>
      <c r="O943" s="4" t="s">
        <v>1604</v>
      </c>
      <c r="P943" s="5">
        <f>DATE(2023,8,30)</f>
        <v>45168</v>
      </c>
      <c r="Q943" s="4" t="s">
        <v>2560</v>
      </c>
      <c r="R943" s="5">
        <f>DATE(2023,3,14)</f>
        <v>44999</v>
      </c>
    </row>
    <row r="944" spans="1:18" ht="55.05" customHeight="1" x14ac:dyDescent="0.3">
      <c r="A944" s="4" t="s">
        <v>2095</v>
      </c>
      <c r="B944" s="4" t="s">
        <v>18</v>
      </c>
      <c r="C944" s="4" t="s">
        <v>19</v>
      </c>
      <c r="D944" s="4" t="s">
        <v>20</v>
      </c>
      <c r="E944" s="4" t="s">
        <v>30</v>
      </c>
      <c r="F944" s="4" t="s">
        <v>22</v>
      </c>
      <c r="G944" s="4" t="s">
        <v>3040</v>
      </c>
      <c r="H944" s="4" t="s">
        <v>37</v>
      </c>
      <c r="I944" s="4" t="s">
        <v>25</v>
      </c>
      <c r="K944" s="4" t="s">
        <v>26</v>
      </c>
      <c r="L944" s="4" t="s">
        <v>3041</v>
      </c>
      <c r="O944" s="4" t="s">
        <v>578</v>
      </c>
      <c r="P944" s="5">
        <f>DATE(2023,2,28)</f>
        <v>44985</v>
      </c>
    </row>
    <row r="945" spans="1:20" ht="55.05" customHeight="1" x14ac:dyDescent="0.3">
      <c r="A945" s="4" t="s">
        <v>2095</v>
      </c>
      <c r="B945" s="4" t="s">
        <v>18</v>
      </c>
      <c r="C945" s="4" t="s">
        <v>19</v>
      </c>
      <c r="D945" s="4" t="s">
        <v>20</v>
      </c>
      <c r="E945" s="4" t="s">
        <v>30</v>
      </c>
      <c r="F945" s="4" t="s">
        <v>22</v>
      </c>
      <c r="G945" s="4" t="s">
        <v>3042</v>
      </c>
      <c r="H945" s="4" t="s">
        <v>37</v>
      </c>
      <c r="I945" s="4" t="s">
        <v>25</v>
      </c>
      <c r="K945" s="4" t="s">
        <v>26</v>
      </c>
      <c r="L945" s="4" t="s">
        <v>3043</v>
      </c>
      <c r="O945" s="4" t="s">
        <v>578</v>
      </c>
      <c r="P945" s="5">
        <f>DATE(2023,2,28)</f>
        <v>44985</v>
      </c>
    </row>
    <row r="946" spans="1:20" ht="55.05" customHeight="1" x14ac:dyDescent="0.3">
      <c r="A946" s="4" t="s">
        <v>534</v>
      </c>
      <c r="B946" s="4" t="s">
        <v>81</v>
      </c>
      <c r="C946" s="4" t="s">
        <v>82</v>
      </c>
      <c r="D946" s="4" t="s">
        <v>20</v>
      </c>
      <c r="E946" s="4" t="s">
        <v>918</v>
      </c>
      <c r="F946" s="4" t="s">
        <v>84</v>
      </c>
      <c r="G946" s="4" t="s">
        <v>3044</v>
      </c>
      <c r="H946" s="4" t="s">
        <v>37</v>
      </c>
      <c r="I946" s="4" t="s">
        <v>25</v>
      </c>
      <c r="K946" s="4" t="s">
        <v>26</v>
      </c>
      <c r="L946" s="4" t="s">
        <v>3045</v>
      </c>
      <c r="O946" s="4" t="s">
        <v>3046</v>
      </c>
      <c r="P946" s="5">
        <f>DATE(2023,3,30)</f>
        <v>45015</v>
      </c>
    </row>
    <row r="947" spans="1:20" ht="55.05" customHeight="1" x14ac:dyDescent="0.3">
      <c r="A947" s="4" t="s">
        <v>2095</v>
      </c>
      <c r="B947" s="4" t="s">
        <v>119</v>
      </c>
      <c r="C947" s="4" t="s">
        <v>137</v>
      </c>
      <c r="D947" s="4" t="s">
        <v>20</v>
      </c>
      <c r="E947" s="4" t="s">
        <v>2691</v>
      </c>
      <c r="F947" s="4" t="s">
        <v>22</v>
      </c>
      <c r="G947" s="4" t="s">
        <v>3047</v>
      </c>
      <c r="H947" s="4" t="s">
        <v>37</v>
      </c>
      <c r="I947" s="4" t="s">
        <v>25</v>
      </c>
      <c r="K947" s="4" t="s">
        <v>26</v>
      </c>
      <c r="L947" s="4" t="s">
        <v>3048</v>
      </c>
      <c r="O947" s="4" t="s">
        <v>1031</v>
      </c>
      <c r="P947" s="5">
        <f>DATE(2023,3,28)</f>
        <v>45013</v>
      </c>
    </row>
    <row r="948" spans="1:20" ht="55.05" customHeight="1" x14ac:dyDescent="0.3">
      <c r="A948" s="4" t="s">
        <v>2095</v>
      </c>
      <c r="B948" s="4" t="s">
        <v>119</v>
      </c>
      <c r="C948" s="4" t="s">
        <v>126</v>
      </c>
      <c r="D948" s="4" t="s">
        <v>2676</v>
      </c>
      <c r="E948" s="4" t="s">
        <v>2681</v>
      </c>
      <c r="F948" s="4" t="s">
        <v>122</v>
      </c>
      <c r="G948" s="4" t="s">
        <v>3049</v>
      </c>
      <c r="H948" s="4" t="s">
        <v>37</v>
      </c>
      <c r="I948" s="4" t="s">
        <v>25</v>
      </c>
      <c r="K948" s="4" t="s">
        <v>26</v>
      </c>
      <c r="L948" s="4" t="s">
        <v>3050</v>
      </c>
      <c r="O948" s="4" t="s">
        <v>2680</v>
      </c>
      <c r="P948" s="5">
        <f>DATE(2023,4,21)</f>
        <v>45037</v>
      </c>
    </row>
    <row r="949" spans="1:20" ht="55.05" customHeight="1" x14ac:dyDescent="0.3">
      <c r="A949" s="4" t="s">
        <v>2095</v>
      </c>
      <c r="B949" s="4" t="s">
        <v>119</v>
      </c>
      <c r="C949" s="4" t="s">
        <v>126</v>
      </c>
      <c r="D949" s="4" t="s">
        <v>2676</v>
      </c>
      <c r="E949" s="4" t="s">
        <v>2686</v>
      </c>
      <c r="F949" s="4" t="s">
        <v>122</v>
      </c>
      <c r="G949" s="4" t="s">
        <v>3051</v>
      </c>
      <c r="H949" s="4" t="s">
        <v>37</v>
      </c>
      <c r="I949" s="4" t="s">
        <v>25</v>
      </c>
      <c r="K949" s="4" t="s">
        <v>26</v>
      </c>
      <c r="L949" s="4" t="s">
        <v>3052</v>
      </c>
      <c r="O949" s="4" t="s">
        <v>2680</v>
      </c>
      <c r="P949" s="5">
        <f>DATE(2023,4,21)</f>
        <v>45037</v>
      </c>
    </row>
    <row r="950" spans="1:20" ht="55.05" customHeight="1" x14ac:dyDescent="0.3">
      <c r="A950" s="4" t="s">
        <v>2095</v>
      </c>
      <c r="B950" s="4" t="s">
        <v>119</v>
      </c>
      <c r="C950" s="4" t="s">
        <v>126</v>
      </c>
      <c r="D950" s="4" t="s">
        <v>2676</v>
      </c>
      <c r="E950" s="4" t="s">
        <v>2677</v>
      </c>
      <c r="F950" s="4" t="s">
        <v>122</v>
      </c>
      <c r="G950" s="4" t="s">
        <v>3053</v>
      </c>
      <c r="H950" s="4" t="s">
        <v>37</v>
      </c>
      <c r="I950" s="4" t="s">
        <v>25</v>
      </c>
      <c r="K950" s="4" t="s">
        <v>26</v>
      </c>
      <c r="L950" s="4" t="s">
        <v>3054</v>
      </c>
      <c r="O950" s="4" t="s">
        <v>2680</v>
      </c>
      <c r="P950" s="5">
        <f>DATE(2023,4,21)</f>
        <v>45037</v>
      </c>
    </row>
    <row r="951" spans="1:20" ht="55.05" customHeight="1" x14ac:dyDescent="0.3">
      <c r="A951" s="4" t="s">
        <v>2095</v>
      </c>
      <c r="B951" s="4" t="s">
        <v>119</v>
      </c>
      <c r="C951" s="4" t="s">
        <v>126</v>
      </c>
      <c r="D951" s="4" t="s">
        <v>2676</v>
      </c>
      <c r="E951" s="4" t="s">
        <v>2686</v>
      </c>
      <c r="F951" s="4" t="s">
        <v>122</v>
      </c>
      <c r="G951" s="4" t="s">
        <v>3055</v>
      </c>
      <c r="H951" s="4" t="s">
        <v>37</v>
      </c>
      <c r="I951" s="4" t="s">
        <v>25</v>
      </c>
      <c r="K951" s="4" t="s">
        <v>26</v>
      </c>
      <c r="L951" s="4" t="s">
        <v>3056</v>
      </c>
      <c r="O951" s="4" t="s">
        <v>2680</v>
      </c>
      <c r="P951" s="5">
        <f>DATE(2023,4,21)</f>
        <v>45037</v>
      </c>
    </row>
    <row r="952" spans="1:20" ht="55.05" customHeight="1" x14ac:dyDescent="0.3">
      <c r="A952" s="4" t="s">
        <v>534</v>
      </c>
      <c r="B952" s="4" t="s">
        <v>81</v>
      </c>
      <c r="C952" s="4" t="s">
        <v>107</v>
      </c>
      <c r="D952" s="4" t="s">
        <v>20</v>
      </c>
      <c r="E952" s="4" t="s">
        <v>108</v>
      </c>
      <c r="F952" s="4" t="s">
        <v>96</v>
      </c>
      <c r="G952" s="4" t="s">
        <v>3057</v>
      </c>
      <c r="H952" s="4" t="s">
        <v>37</v>
      </c>
      <c r="I952" s="4" t="s">
        <v>25</v>
      </c>
      <c r="K952" s="4" t="s">
        <v>26</v>
      </c>
      <c r="L952" s="4" t="s">
        <v>3058</v>
      </c>
      <c r="O952" s="4" t="s">
        <v>3059</v>
      </c>
      <c r="P952" s="5">
        <f>DATE(2023,4,27)</f>
        <v>45043</v>
      </c>
    </row>
    <row r="953" spans="1:20" ht="55.05" customHeight="1" x14ac:dyDescent="0.3">
      <c r="A953" s="4" t="s">
        <v>534</v>
      </c>
      <c r="B953" s="4" t="s">
        <v>18</v>
      </c>
      <c r="C953" s="4" t="s">
        <v>40</v>
      </c>
      <c r="D953" s="4" t="s">
        <v>20</v>
      </c>
      <c r="E953" s="4" t="s">
        <v>45</v>
      </c>
      <c r="F953" s="4" t="s">
        <v>42</v>
      </c>
      <c r="G953" s="4" t="s">
        <v>3060</v>
      </c>
      <c r="H953" s="4" t="s">
        <v>37</v>
      </c>
      <c r="I953" s="4" t="s">
        <v>25</v>
      </c>
      <c r="K953" s="4" t="s">
        <v>26</v>
      </c>
      <c r="L953" s="4" t="s">
        <v>3061</v>
      </c>
      <c r="O953" s="4" t="s">
        <v>3062</v>
      </c>
      <c r="P953" s="5">
        <f>DATE(2023,9,28)</f>
        <v>45197</v>
      </c>
    </row>
    <row r="954" spans="1:20" ht="55.05" customHeight="1" x14ac:dyDescent="0.3">
      <c r="A954" s="4" t="s">
        <v>534</v>
      </c>
      <c r="B954" s="4" t="s">
        <v>18</v>
      </c>
      <c r="C954" s="4" t="s">
        <v>19</v>
      </c>
      <c r="D954" s="4" t="s">
        <v>20</v>
      </c>
      <c r="E954" s="4" t="s">
        <v>30</v>
      </c>
      <c r="F954" s="4" t="s">
        <v>22</v>
      </c>
      <c r="G954" s="4" t="s">
        <v>3063</v>
      </c>
      <c r="H954" s="4" t="s">
        <v>37</v>
      </c>
      <c r="I954" s="4" t="s">
        <v>25</v>
      </c>
      <c r="K954" s="4" t="s">
        <v>26</v>
      </c>
      <c r="L954" s="4" t="s">
        <v>3064</v>
      </c>
      <c r="O954" s="4" t="s">
        <v>567</v>
      </c>
      <c r="P954" s="5">
        <f>DATE(2023,9,19)</f>
        <v>45188</v>
      </c>
    </row>
    <row r="955" spans="1:20" ht="55.05" customHeight="1" x14ac:dyDescent="0.3">
      <c r="A955" s="4" t="s">
        <v>17</v>
      </c>
      <c r="B955" s="4" t="s">
        <v>18</v>
      </c>
      <c r="C955" s="4" t="s">
        <v>40</v>
      </c>
      <c r="D955" s="4" t="s">
        <v>20</v>
      </c>
      <c r="E955" s="4" t="s">
        <v>45</v>
      </c>
      <c r="F955" s="4" t="s">
        <v>42</v>
      </c>
      <c r="G955" s="4" t="s">
        <v>3065</v>
      </c>
      <c r="H955" s="4" t="s">
        <v>37</v>
      </c>
      <c r="I955" s="4" t="s">
        <v>25</v>
      </c>
      <c r="K955" s="4" t="s">
        <v>26</v>
      </c>
      <c r="L955" s="4" t="s">
        <v>3066</v>
      </c>
      <c r="O955" s="4" t="s">
        <v>49</v>
      </c>
      <c r="P955" s="5">
        <f>DATE(2023,6,27)</f>
        <v>45104</v>
      </c>
      <c r="Q955" s="4" t="s">
        <v>3067</v>
      </c>
      <c r="R955" s="5">
        <f>DATE(2023,4,25)</f>
        <v>45041</v>
      </c>
    </row>
    <row r="956" spans="1:20" ht="55.05" customHeight="1" x14ac:dyDescent="0.3">
      <c r="A956" s="4" t="s">
        <v>534</v>
      </c>
      <c r="B956" s="4" t="s">
        <v>81</v>
      </c>
      <c r="C956" s="4" t="s">
        <v>405</v>
      </c>
      <c r="D956" s="4" t="s">
        <v>20</v>
      </c>
      <c r="E956" s="4" t="s">
        <v>1067</v>
      </c>
      <c r="F956" s="4" t="s">
        <v>407</v>
      </c>
      <c r="G956" s="4" t="s">
        <v>3068</v>
      </c>
      <c r="H956" s="4" t="s">
        <v>37</v>
      </c>
      <c r="I956" s="4" t="s">
        <v>25</v>
      </c>
      <c r="K956" s="4" t="s">
        <v>26</v>
      </c>
      <c r="L956" s="4" t="s">
        <v>3069</v>
      </c>
      <c r="O956" s="4" t="s">
        <v>1175</v>
      </c>
      <c r="P956" s="5">
        <f>DATE(2023,7,7)</f>
        <v>45114</v>
      </c>
    </row>
    <row r="957" spans="1:20" ht="55.05" customHeight="1" x14ac:dyDescent="0.3">
      <c r="A957" s="4" t="s">
        <v>534</v>
      </c>
      <c r="B957" s="4" t="s">
        <v>81</v>
      </c>
      <c r="C957" s="4" t="s">
        <v>82</v>
      </c>
      <c r="D957" s="4" t="s">
        <v>20</v>
      </c>
      <c r="E957" s="4" t="s">
        <v>918</v>
      </c>
      <c r="F957" s="4" t="s">
        <v>84</v>
      </c>
      <c r="G957" s="4" t="s">
        <v>3070</v>
      </c>
      <c r="H957" s="4" t="s">
        <v>37</v>
      </c>
      <c r="I957" s="4" t="s">
        <v>25</v>
      </c>
      <c r="K957" s="4" t="s">
        <v>26</v>
      </c>
      <c r="L957" s="4" t="s">
        <v>3071</v>
      </c>
      <c r="O957" s="4" t="s">
        <v>3072</v>
      </c>
      <c r="P957" s="5">
        <f>DATE(2023,9,4)</f>
        <v>45173</v>
      </c>
    </row>
    <row r="958" spans="1:20" ht="55.05" customHeight="1" x14ac:dyDescent="0.3">
      <c r="A958" s="4" t="s">
        <v>534</v>
      </c>
      <c r="B958" s="4" t="s">
        <v>18</v>
      </c>
      <c r="C958" s="4" t="s">
        <v>19</v>
      </c>
      <c r="D958" s="4" t="s">
        <v>20</v>
      </c>
      <c r="E958" s="4" t="s">
        <v>30</v>
      </c>
      <c r="F958" s="4" t="s">
        <v>22</v>
      </c>
      <c r="G958" s="4" t="s">
        <v>3073</v>
      </c>
      <c r="H958" s="4" t="s">
        <v>37</v>
      </c>
      <c r="I958" s="4" t="s">
        <v>25</v>
      </c>
      <c r="K958" s="4" t="s">
        <v>26</v>
      </c>
      <c r="L958" s="4" t="s">
        <v>3074</v>
      </c>
      <c r="O958" s="4" t="s">
        <v>567</v>
      </c>
      <c r="P958" s="5">
        <f>DATE(2023,9,19)</f>
        <v>45188</v>
      </c>
    </row>
    <row r="959" spans="1:20" ht="55.05" customHeight="1" x14ac:dyDescent="0.3">
      <c r="A959" s="4" t="s">
        <v>534</v>
      </c>
      <c r="B959" s="4" t="s">
        <v>81</v>
      </c>
      <c r="C959" s="4" t="s">
        <v>436</v>
      </c>
      <c r="D959" s="4" t="s">
        <v>20</v>
      </c>
      <c r="E959" s="4" t="s">
        <v>463</v>
      </c>
      <c r="F959" s="4" t="s">
        <v>444</v>
      </c>
      <c r="G959" s="4" t="s">
        <v>3075</v>
      </c>
      <c r="H959" s="4" t="s">
        <v>37</v>
      </c>
      <c r="I959" s="4" t="s">
        <v>25</v>
      </c>
      <c r="K959" s="4" t="s">
        <v>26</v>
      </c>
      <c r="L959" s="4" t="s">
        <v>3076</v>
      </c>
      <c r="O959" s="4" t="s">
        <v>1603</v>
      </c>
      <c r="P959" s="5">
        <f>DATE(2023,12,15)</f>
        <v>45275</v>
      </c>
      <c r="Q959" s="4" t="s">
        <v>1604</v>
      </c>
      <c r="R959" s="5">
        <f>DATE(2023,11,30)</f>
        <v>45260</v>
      </c>
      <c r="S959" s="4" t="s">
        <v>1604</v>
      </c>
      <c r="T959" s="5">
        <f>DATE(2023,8,30)</f>
        <v>45168</v>
      </c>
    </row>
    <row r="960" spans="1:20" ht="55.05" customHeight="1" x14ac:dyDescent="0.3">
      <c r="A960" s="4" t="s">
        <v>534</v>
      </c>
      <c r="B960" s="4" t="s">
        <v>145</v>
      </c>
      <c r="C960" s="4" t="s">
        <v>521</v>
      </c>
      <c r="D960" s="4" t="s">
        <v>20</v>
      </c>
      <c r="E960" s="4" t="s">
        <v>1940</v>
      </c>
      <c r="F960" s="4" t="s">
        <v>162</v>
      </c>
      <c r="G960" s="4" t="s">
        <v>3077</v>
      </c>
      <c r="H960" s="4" t="s">
        <v>37</v>
      </c>
      <c r="I960" s="4" t="s">
        <v>25</v>
      </c>
      <c r="K960" s="4" t="s">
        <v>26</v>
      </c>
      <c r="L960" s="4" t="s">
        <v>3078</v>
      </c>
      <c r="O960" s="4" t="s">
        <v>3079</v>
      </c>
      <c r="P960" s="5">
        <f>DATE(2023,9,29)</f>
        <v>45198</v>
      </c>
    </row>
    <row r="961" spans="1:16" ht="55.05" customHeight="1" x14ac:dyDescent="0.3">
      <c r="A961" s="4" t="s">
        <v>2095</v>
      </c>
      <c r="B961" s="4" t="s">
        <v>145</v>
      </c>
      <c r="C961" s="4" t="s">
        <v>20</v>
      </c>
      <c r="D961" s="4" t="s">
        <v>20</v>
      </c>
      <c r="E961" s="4" t="s">
        <v>500</v>
      </c>
      <c r="F961" s="4" t="s">
        <v>162</v>
      </c>
      <c r="G961" s="4" t="s">
        <v>3080</v>
      </c>
      <c r="H961" s="4" t="s">
        <v>37</v>
      </c>
      <c r="I961" s="4" t="s">
        <v>25</v>
      </c>
      <c r="K961" s="4" t="s">
        <v>26</v>
      </c>
      <c r="L961" s="4" t="s">
        <v>3081</v>
      </c>
      <c r="O961" s="4" t="s">
        <v>2712</v>
      </c>
      <c r="P961" s="5">
        <f>DATE(2023,10,17)</f>
        <v>45216</v>
      </c>
    </row>
    <row r="962" spans="1:16" ht="55.05" customHeight="1" x14ac:dyDescent="0.3">
      <c r="A962" s="4" t="s">
        <v>534</v>
      </c>
      <c r="B962" s="4" t="s">
        <v>145</v>
      </c>
      <c r="C962" s="4" t="s">
        <v>165</v>
      </c>
      <c r="D962" s="4" t="s">
        <v>20</v>
      </c>
      <c r="E962" s="4" t="s">
        <v>2052</v>
      </c>
      <c r="F962" s="4" t="s">
        <v>122</v>
      </c>
      <c r="G962" s="4" t="s">
        <v>3082</v>
      </c>
      <c r="H962" s="4" t="s">
        <v>37</v>
      </c>
      <c r="I962" s="4" t="s">
        <v>25</v>
      </c>
      <c r="K962" s="4" t="s">
        <v>26</v>
      </c>
      <c r="L962" s="4" t="s">
        <v>3083</v>
      </c>
      <c r="O962" s="4" t="s">
        <v>2058</v>
      </c>
      <c r="P962" s="5">
        <f>DATE(2023,12,28)</f>
        <v>45288</v>
      </c>
    </row>
    <row r="963" spans="1:16" ht="55.05" customHeight="1" x14ac:dyDescent="0.3">
      <c r="A963" s="4" t="s">
        <v>534</v>
      </c>
      <c r="B963" s="4" t="s">
        <v>145</v>
      </c>
      <c r="C963" s="4" t="s">
        <v>165</v>
      </c>
      <c r="D963" s="4" t="s">
        <v>20</v>
      </c>
      <c r="E963" s="4" t="s">
        <v>2052</v>
      </c>
      <c r="F963" s="4" t="s">
        <v>122</v>
      </c>
      <c r="G963" s="4" t="s">
        <v>3084</v>
      </c>
      <c r="H963" s="4" t="s">
        <v>37</v>
      </c>
      <c r="I963" s="4" t="s">
        <v>25</v>
      </c>
      <c r="K963" s="4" t="s">
        <v>26</v>
      </c>
      <c r="L963" s="4" t="s">
        <v>3085</v>
      </c>
      <c r="O963" s="4" t="s">
        <v>2058</v>
      </c>
      <c r="P963" s="5">
        <f>DATE(2023,12,27)</f>
        <v>45287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Zuñiga Lazo</dc:creator>
  <cp:lastModifiedBy>Alfonso Zuñiga Lazo</cp:lastModifiedBy>
  <dcterms:created xsi:type="dcterms:W3CDTF">2024-01-08T14:05:49Z</dcterms:created>
  <dcterms:modified xsi:type="dcterms:W3CDTF">2024-01-08T14:06:45Z</dcterms:modified>
</cp:coreProperties>
</file>